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xml"/>
  <Override PartName="/xl/ctrlProps/ctrlProp38.xml" ContentType="application/vnd.ms-excel.controlproperties+xml"/>
  <Override PartName="/xl/worksheets/sheet7.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vbaProject.bin" ContentType="application/vnd.ms-office.vbaProject"/>
  <Override PartName="/xl/ctrlProps/ctrlProp27.xml" ContentType="application/vnd.ms-excel.controlproperties+xml"/>
  <Default Extension="xml" ContentType="application/xml"/>
  <Override PartName="/xl/drawings/drawing2.xml" ContentType="application/vnd.openxmlformats-officedocument.drawing+xml"/>
  <Override PartName="/xl/ctrlProps/ctrlProp34.xml" ContentType="application/vnd.ms-excel.controlproperties+xml"/>
  <Override PartName="/xl/ctrlProps/ctrlProp16.xml" ContentType="application/vnd.ms-excel.controlproperties+xml"/>
  <Override PartName="/xl/charts/style2.xml" ContentType="application/vnd.ms-office.chartstyle+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activeX/activeX1.xml" ContentType="application/vnd.ms-office.activeX+xml"/>
  <Override PartName="/xl/charts/chart27.xml" ContentType="application/vnd.openxmlformats-officedocument.drawingml.chart+xml"/>
  <Override PartName="/xl/charts/chart38.xml" ContentType="application/vnd.openxmlformats-officedocument.drawingml.chart+xml"/>
  <Override PartName="/xl/ctrlProps/ctrlProp23.xml" ContentType="application/vnd.ms-excel.controlproperties+xml"/>
  <Override PartName="/xl/externalLinks/externalLink1.xml" ContentType="application/vnd.openxmlformats-officedocument.spreadsheetml.externalLink+xml"/>
  <Override PartName="/xl/charts/chart16.xml" ContentType="application/vnd.openxmlformats-officedocument.drawingml.chart+xml"/>
  <Override PartName="/xl/charts/chart34.xml" ContentType="application/vnd.openxmlformats-officedocument.drawingml.chart+xml"/>
  <Override PartName="/xl/charts/chart45.xml" ContentType="application/vnd.openxmlformats-officedocument.drawingml.chart+xml"/>
  <Override PartName="/xl/ctrlProps/ctrlProp6.xml" ContentType="application/vnd.ms-excel.controlproperties+xml"/>
  <Override PartName="/xl/ctrlProps/ctrlProp30.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harts/chart23.xml" ContentType="application/vnd.openxmlformats-officedocument.drawingml.chart+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harts/chart30.xml" ContentType="application/vnd.openxmlformats-officedocument.drawingml.chart+xml"/>
  <Override PartName="/xl/charts/chart41.xml" ContentType="application/vnd.openxmlformats-officedocument.drawingml.chart+xml"/>
  <Override PartName="/xl/charts/colors1.xml" ContentType="application/vnd.ms-office.chartcolorstyle+xml"/>
  <Override PartName="/xl/ctrlProps/ctrlProp2.xml" ContentType="application/vnd.ms-excel.controlproperties+xml"/>
  <Override PartName="/xl/worksheets/sheet25.xml" ContentType="application/vnd.openxmlformats-officedocument.spreadsheetml.worksheet+xml"/>
  <Default Extension="bin" ContentType="application/vnd.openxmlformats-officedocument.spreadsheetml.printerSettings"/>
  <Override PartName="/xl/worksheets/sheet14.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drawings/drawing7.xml" ContentType="application/vnd.openxmlformats-officedocument.drawing+xml"/>
  <Override PartName="/xl/ctrlProps/ctrlProp28.xml" ContentType="application/vnd.ms-excel.controlproperties+xml"/>
  <Override PartName="/xl/worksheets/sheet8.xml" ContentType="application/vnd.openxmlformats-officedocument.spreadsheetml.worksheet+xml"/>
  <Override PartName="/xl/worksheets/sheet21.xml" ContentType="application/vnd.openxmlformats-officedocument.spreadsheetml.worksheet+xml"/>
  <Default Extension="emf" ContentType="image/x-emf"/>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pivotCache/pivotCacheDefinition5.xml" ContentType="application/vnd.openxmlformats-officedocument.spreadsheetml.pivotCacheDefinition+xml"/>
  <Override PartName="/xl/activeX/activeX2.xml" ContentType="application/vnd.ms-office.activeX+xml"/>
  <Override PartName="/xl/charts/chart1.xml" ContentType="application/vnd.openxmlformats-officedocument.drawingml.chart+xml"/>
  <Override PartName="/xl/drawings/drawing3.xml" ContentType="application/vnd.openxmlformats-officedocument.drawing+xml"/>
  <Override PartName="/xl/charts/chart39.xml" ContentType="application/vnd.openxmlformats-officedocument.drawingml.chart+xml"/>
  <Override PartName="/xl/ctrlProps/ctrlProp35.xml" ContentType="application/vnd.ms-excel.controlproperties+xml"/>
  <Override PartName="/xl/charts/style1.xml" ContentType="application/vnd.ms-office.chartstyle+xml"/>
  <Override PartName="/xl/ctrlProps/ctrlProp24.xml" ContentType="application/vnd.ms-excel.controlproperties+xml"/>
  <Override PartName="/xl/ctrlProps/ctrlProp9.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harts/chart19.xml" ContentType="application/vnd.openxmlformats-officedocument.drawingml.chart+xml"/>
  <Override PartName="/xl/charts/chart28.xml" ContentType="application/vnd.openxmlformats-officedocument.drawingml.chart+xml"/>
  <Override PartName="/xl/charts/chart37.xml" ContentType="application/vnd.openxmlformats-officedocument.drawingml.chart+xml"/>
  <Override PartName="/xl/ctrlProps/ctrlProp22.xml" ContentType="application/vnd.ms-excel.controlproperties+xml"/>
  <Override PartName="/xl/ctrlProps/ctrlProp13.xml" ContentType="application/vnd.ms-excel.controlproperties+xml"/>
  <Override PartName="/xl/ctrlProps/ctrlProp7.xml" ContentType="application/vnd.ms-excel.controlproperties+xml"/>
  <Override PartName="/xl/ctrlProps/ctrlProp3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harts/chart17.xml" ContentType="application/vnd.openxmlformats-officedocument.drawingml.chart+xml"/>
  <Override PartName="/xl/charts/chart26.xml" ContentType="application/vnd.openxmlformats-officedocument.drawingml.chart+xml"/>
  <Override PartName="/xl/charts/chart35.xml" ContentType="application/vnd.openxmlformats-officedocument.drawingml.chart+xml"/>
  <Override PartName="/xl/charts/chart44.xml" ContentType="application/vnd.openxmlformats-officedocument.drawingml.chart+xml"/>
  <Override PartName="/xl/calcChain.xml" ContentType="application/vnd.openxmlformats-officedocument.spreadsheetml.calcChain+xml"/>
  <Override PartName="/xl/ctrlProps/ctrlProp11.xml" ContentType="application/vnd.ms-excel.controlproperties+xml"/>
  <Override PartName="/xl/ctrlProps/ctrlProp31.xml" ContentType="application/vnd.ms-excel.controlproperties+xml"/>
  <Override PartName="/xl/ctrlProps/ctrlProp5.xml" ContentType="application/vnd.ms-excel.controlproperties+xml"/>
  <Override PartName="/xl/ctrlProps/ctrlProp20.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harts/chart15.xml" ContentType="application/vnd.openxmlformats-officedocument.drawingml.chart+xml"/>
  <Override PartName="/xl/charts/chart24.xml" ContentType="application/vnd.openxmlformats-officedocument.drawingml.chart+xml"/>
  <Override PartName="/xl/charts/chart33.xml" ContentType="application/vnd.openxmlformats-officedocument.drawingml.chart+xml"/>
  <Override PartName="/xl/charts/chart42.xml" ContentType="application/vnd.openxmlformats-officedocument.drawingml.chart+xml"/>
  <Override PartName="/xl/ctrlProps/ctrlProp3.xml" ContentType="application/vnd.ms-excel.controlproperties+xml"/>
  <Override PartName="/xl/charts/colors2.xml" ContentType="application/vnd.ms-office.chartcolorstyle+xml"/>
  <Override PartName="/xl/worksheets/sheet17.xml" ContentType="application/vnd.openxmlformats-officedocument.spreadsheetml.worksheet+xml"/>
  <Override PartName="/xl/worksheets/sheet26.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harts/chart22.xml" ContentType="application/vnd.openxmlformats-officedocument.drawingml.chart+xml"/>
  <Override PartName="/xl/charts/chart31.xml" ContentType="application/vnd.openxmlformats-officedocument.drawingml.chart+xml"/>
  <Override PartName="/xl/charts/chart40.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charts/chart20.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pivotTables/pivotTable4.xml" ContentType="application/vnd.openxmlformats-officedocument.spreadsheetml.pivotTable+xml"/>
  <Override PartName="/xl/drawings/drawing8.xml" ContentType="application/vnd.openxmlformats-officedocument.drawing+xml"/>
  <Override PartName="/xl/ctrlProps/ctrlProp29.xml" ContentType="application/vnd.ms-excel.controlproperties+xml"/>
  <Override PartName="/xl/worksheets/sheet11.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ctrlProps/ctrlProp36.xml" ContentType="application/vnd.ms-excel.controlproperties+xml"/>
  <Override PartName="/xl/ctrlProps/ctrlProp18.xml" ContentType="application/vnd.ms-excel.controlproperties+xml"/>
  <Default Extension="rels" ContentType="application/vnd.openxmlformats-package.relationships+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charts/chart29.xml" ContentType="application/vnd.openxmlformats-officedocument.drawingml.chart+xml"/>
  <Override PartName="/xl/ctrlProps/ctrlProp25.xml" ContentType="application/vnd.ms-excel.controlproperties+xml"/>
  <Override PartName="/xl/externalLinks/externalLink3.xml" ContentType="application/vnd.openxmlformats-officedocument.spreadsheetml.externalLink+xml"/>
  <Override PartName="/xl/charts/chart18.xml" ContentType="application/vnd.openxmlformats-officedocument.drawingml.chart+xml"/>
  <Override PartName="/xl/comments2.xml" ContentType="application/vnd.openxmlformats-officedocument.spreadsheetml.comments+xml"/>
  <Override PartName="/xl/charts/chart36.xml" ContentType="application/vnd.openxmlformats-officedocument.drawingml.chart+xml"/>
  <Override PartName="/xl/ctrlProps/ctrlProp32.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charts/chart25.xml" ContentType="application/vnd.openxmlformats-officedocument.drawingml.chart+xml"/>
  <Override PartName="/xl/ctrlProps/ctrlProp21.xml" ContentType="application/vnd.ms-excel.controlproperties+xml"/>
  <Override PartName="/xl/charts/chart14.xml" ContentType="application/vnd.openxmlformats-officedocument.drawingml.chart+xml"/>
  <Override PartName="/xl/charts/chart32.xml" ContentType="application/vnd.openxmlformats-officedocument.drawingml.chart+xml"/>
  <Override PartName="/xl/charts/chart43.xml" ContentType="application/vnd.openxmlformats-officedocument.drawingml.chart+xml"/>
  <Override PartName="/xl/ctrlProps/ctrlProp10.xml" ContentType="application/vnd.ms-excel.controlproperties+xml"/>
  <Override PartName="/xl/ctrlProps/ctrlProp4.xml" ContentType="application/vnd.ms-excel.controlproperties+xml"/>
  <Override PartName="/xl/worksheets/sheet27.xml" ContentType="application/vnd.openxmlformats-officedocument.spreadsheetml.worksheet+xml"/>
  <Override PartName="/xl/charts/chart21.xml" ContentType="application/vnd.openxmlformats-officedocument.drawingml.chart+xml"/>
  <Override PartName="/xl/worksheets/sheet16.xml" ContentType="application/vnd.openxmlformats-officedocument.spreadsheetml.worksheet+xml"/>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drawings/drawing9.xml" ContentType="application/vnd.openxmlformats-officedocument.drawing+xml"/>
  <Override PartName="/xl/worksheets/sheet23.xml" ContentType="application/vnd.openxmlformats-officedocument.spreadsheetml.worksheet+xml"/>
  <Override PartName="/xl/ctrlProps/ctrlProp19.xml" ContentType="application/vnd.ms-excel.controlproperties+xml"/>
  <Override PartName="/xl/worksheets/sheet6.xml" ContentType="application/vnd.openxmlformats-officedocument.spreadsheetml.worksheet+xml"/>
  <Override PartName="/xl/worksheets/sheet12.xml" ContentType="application/vnd.openxmlformats-officedocument.spreadsheetml.worksheet+xml"/>
  <Override PartName="/xl/charts/chart3.xml" ContentType="application/vnd.openxmlformats-officedocument.drawingml.chart+xml"/>
  <Override PartName="/xl/pivotTables/pivotTable1.xml" ContentType="application/vnd.openxmlformats-officedocument.spreadsheetml.pivotTable+xml"/>
  <Override PartName="/xl/drawings/drawing5.xml" ContentType="application/vnd.openxmlformats-officedocument.drawing+xml"/>
  <Override PartName="/xl/ctrlProps/ctrlProp37.xml" ContentType="application/vnd.ms-excel.controlproperties+xml"/>
  <Override PartName="/xl/ctrlProps/ctrlProp26.xml" ContentType="application/vnd.ms-excel.control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fileSharing userName="delacruz" reservationPassword="C71F"/>
  <workbookPr updateLinks="never" codeName="ThisWorkbook" hidePivotFieldList="1" defaultThemeVersion="124226"/>
  <bookViews>
    <workbookView xWindow="1908" yWindow="180" windowWidth="16800" windowHeight="10716" tabRatio="667" activeTab="7"/>
  </bookViews>
  <sheets>
    <sheet name="EXPEDIENTES" sheetId="1" r:id="rId1"/>
    <sheet name="defensores" sheetId="13" r:id="rId2"/>
    <sheet name="ESTADISTICAS" sheetId="28" r:id="rId3"/>
    <sheet name="Informe Disponibilidad" sheetId="4" r:id="rId4"/>
    <sheet name="Exp por Jueces" sheetId="6" r:id="rId5"/>
    <sheet name="Prev. diarias" sheetId="27" r:id="rId6"/>
    <sheet name="Graficos Estadisticos" sheetId="24" r:id="rId7"/>
    <sheet name="Informe semana" sheetId="7" r:id="rId8"/>
    <sheet name="Informe de Gestión" sheetId="25" r:id="rId9"/>
    <sheet name="Licencias" sheetId="3" r:id="rId10"/>
    <sheet name="no realizadas" sheetId="17" r:id="rId11"/>
    <sheet name="Exp por Encargado" sheetId="9" r:id="rId12"/>
    <sheet name="Feriados" sheetId="5" r:id="rId13"/>
    <sheet name="Jueces" sheetId="10" r:id="rId14"/>
    <sheet name="Internos" sheetId="11" r:id="rId15"/>
    <sheet name="fiscalias penales" sheetId="12" r:id="rId16"/>
    <sheet name="Codigos" sheetId="14" r:id="rId17"/>
    <sheet name="Resultados" sheetId="15" r:id="rId18"/>
    <sheet name="Observac" sheetId="16" r:id="rId19"/>
    <sheet name="Horarios VIEJO" sheetId="18" r:id="rId20"/>
    <sheet name="Tecnicos" sheetId="19" r:id="rId21"/>
    <sheet name="Exp por Encargado - Alvaro" sheetId="20" r:id="rId22"/>
    <sheet name="Personal" sheetId="21" r:id="rId23"/>
    <sheet name="Notificaciones" sheetId="22" r:id="rId24"/>
    <sheet name="AGENDA" sheetId="2" r:id="rId25"/>
    <sheet name="Feria" sheetId="26" r:id="rId26"/>
    <sheet name="AUXAG" sheetId="23" r:id="rId27"/>
  </sheets>
  <functionGroups/>
  <externalReferences>
    <externalReference r:id="rId28"/>
    <externalReference r:id="rId29"/>
    <externalReference r:id="rId30"/>
    <externalReference r:id="rId31"/>
  </externalReferences>
  <definedNames>
    <definedName name="_xlnm._FilterDatabase" localSheetId="0" hidden="1">EXPEDIENTES!$A$2:$AC$2082</definedName>
    <definedName name="_xlnm._FilterDatabase" localSheetId="10" hidden="1">'no realizadas'!$A$1:$P$78</definedName>
    <definedName name="Audiencia_cancelada___inimputabilidad">Resultados!$A$1:$A$49</definedName>
    <definedName name="Dra._Lamas">Internos!$A$1:$A$9</definedName>
    <definedName name="Dra._Zunino">Jueces!$A$1:$A$13</definedName>
    <definedName name="INTERNOS" localSheetId="24">[1]Internos!$A$1:$A$11</definedName>
    <definedName name="INTERNOS" localSheetId="26">[1]Internos!$A$1:$A$11</definedName>
    <definedName name="INTERNOS" localSheetId="25">[2]Internos!$A$1:$A$11</definedName>
    <definedName name="INTERNOS" localSheetId="6">[2]Internos!$A$1:$A$11</definedName>
    <definedName name="Z_0199CA3F_EFF7_4FF3_938A_24486AD9575F_.wvu.Cols" localSheetId="24"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24"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24"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24"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32"/>
    <pivotCache cacheId="1" r:id="rId33"/>
    <pivotCache cacheId="2" r:id="rId34"/>
    <pivotCache cacheId="3" r:id="rId35"/>
    <pivotCache cacheId="4" r:id="rId36"/>
    <pivotCache cacheId="5" r:id="rId37"/>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7"/>
  <c r="B13" s="1"/>
  <c r="A13"/>
  <c r="R2082" i="1"/>
  <c r="T2082"/>
  <c r="P2082"/>
  <c r="O2082"/>
  <c r="K2082"/>
  <c r="R2081"/>
  <c r="T2081"/>
  <c r="P2081"/>
  <c r="O2081"/>
  <c r="K2081"/>
  <c r="R2080"/>
  <c r="T2080"/>
  <c r="P2080"/>
  <c r="O2080"/>
  <c r="K2080"/>
  <c r="R2079"/>
  <c r="T2079"/>
  <c r="P2079"/>
  <c r="O2079"/>
  <c r="K2079"/>
  <c r="R2078"/>
  <c r="T2078"/>
  <c r="P2078"/>
  <c r="O2078"/>
  <c r="K2078"/>
  <c r="R2077"/>
  <c r="T2077"/>
  <c r="P2077"/>
  <c r="O2077"/>
  <c r="K2077"/>
  <c r="R2076"/>
  <c r="T2076"/>
  <c r="P2076"/>
  <c r="O2076"/>
  <c r="K2076"/>
  <c r="R2075"/>
  <c r="T2075"/>
  <c r="P2075"/>
  <c r="O2075"/>
  <c r="K2075"/>
  <c r="R2040"/>
  <c r="T2040"/>
  <c r="P2040"/>
  <c r="O2040"/>
  <c r="K2040"/>
  <c r="R2074"/>
  <c r="T2074"/>
  <c r="P2074"/>
  <c r="O2074"/>
  <c r="K2074"/>
  <c r="R2073"/>
  <c r="T2073"/>
  <c r="P2073"/>
  <c r="O2073"/>
  <c r="K2073"/>
  <c r="R2072"/>
  <c r="T2072"/>
  <c r="P2072"/>
  <c r="O2072"/>
  <c r="K2072"/>
  <c r="R2071"/>
  <c r="T2071"/>
  <c r="P2071"/>
  <c r="O2071"/>
  <c r="K2071"/>
  <c r="R2070"/>
  <c r="T2070"/>
  <c r="P2070"/>
  <c r="O2070"/>
  <c r="K2070"/>
  <c r="V2081"/>
  <c r="V2079"/>
  <c r="V2077"/>
  <c r="V2075"/>
  <c r="V2074"/>
  <c r="V2072"/>
  <c r="V2070"/>
  <c r="V2082"/>
  <c r="V2080"/>
  <c r="V2078"/>
  <c r="V2076"/>
  <c r="V2040"/>
  <c r="V2073"/>
  <c r="V2071"/>
  <c r="R2069" l="1"/>
  <c r="T2069"/>
  <c r="P2069"/>
  <c r="O2069"/>
  <c r="K2069"/>
  <c r="R2030"/>
  <c r="T2030"/>
  <c r="P2030"/>
  <c r="O2030"/>
  <c r="K2030"/>
  <c r="R2068"/>
  <c r="T2068"/>
  <c r="P2068"/>
  <c r="O2068"/>
  <c r="K2068"/>
  <c r="R2051"/>
  <c r="T2051"/>
  <c r="P2051"/>
  <c r="O2051"/>
  <c r="K2051"/>
  <c r="R2045"/>
  <c r="T2045"/>
  <c r="P2045"/>
  <c r="O2045"/>
  <c r="R2067"/>
  <c r="T2067"/>
  <c r="P2067"/>
  <c r="O2067"/>
  <c r="R2066"/>
  <c r="T2066"/>
  <c r="P2066"/>
  <c r="O2066"/>
  <c r="K2066"/>
  <c r="R2065"/>
  <c r="T2065"/>
  <c r="P2065"/>
  <c r="O2065"/>
  <c r="K2065"/>
  <c r="R2064"/>
  <c r="T2064"/>
  <c r="P2064"/>
  <c r="O2064"/>
  <c r="K2064"/>
  <c r="V2069"/>
  <c r="V2067"/>
  <c r="V2064"/>
  <c r="V2065"/>
  <c r="V2051"/>
  <c r="V2066"/>
  <c r="V2045"/>
  <c r="V2030"/>
  <c r="V2068"/>
  <c r="D120" i="28" l="1"/>
  <c r="R1972" i="1"/>
  <c r="T1972"/>
  <c r="P1972"/>
  <c r="O1972"/>
  <c r="E1"/>
  <c r="J102" i="28"/>
  <c r="F123" s="1"/>
  <c r="J101"/>
  <c r="E123" s="1"/>
  <c r="J92"/>
  <c r="F122" s="1"/>
  <c r="J91"/>
  <c r="E122" s="1"/>
  <c r="J82"/>
  <c r="F121" s="1"/>
  <c r="J81"/>
  <c r="E121" s="1"/>
  <c r="J72"/>
  <c r="F120" s="1"/>
  <c r="J71"/>
  <c r="E120" s="1"/>
  <c r="J62"/>
  <c r="F119" s="1"/>
  <c r="J61"/>
  <c r="E119" s="1"/>
  <c r="J52"/>
  <c r="F118" s="1"/>
  <c r="J51"/>
  <c r="E118" s="1"/>
  <c r="J42"/>
  <c r="F117" s="1"/>
  <c r="J41"/>
  <c r="E117" s="1"/>
  <c r="J31"/>
  <c r="E116" s="1"/>
  <c r="J32"/>
  <c r="F116" s="1"/>
  <c r="V1972" i="1"/>
  <c r="J107" i="28" l="1"/>
  <c r="J106"/>
  <c r="F96" i="6"/>
  <c r="R2063" i="1"/>
  <c r="T2063"/>
  <c r="P2063"/>
  <c r="O2063"/>
  <c r="K2063"/>
  <c r="R2050"/>
  <c r="T2050"/>
  <c r="P2050"/>
  <c r="O2050"/>
  <c r="R2046"/>
  <c r="T2046"/>
  <c r="P2046"/>
  <c r="O2046"/>
  <c r="V2046"/>
  <c r="V2050"/>
  <c r="V2063"/>
  <c r="R2062" l="1"/>
  <c r="T2062"/>
  <c r="P2062"/>
  <c r="O2062"/>
  <c r="K2062"/>
  <c r="R2044"/>
  <c r="T2044"/>
  <c r="P2044"/>
  <c r="O2044"/>
  <c r="R2061"/>
  <c r="T2061"/>
  <c r="P2061"/>
  <c r="O2061"/>
  <c r="K2061"/>
  <c r="V2061"/>
  <c r="V2062"/>
  <c r="V2044"/>
  <c r="R2057" l="1"/>
  <c r="T2057"/>
  <c r="P2057"/>
  <c r="O2057"/>
  <c r="K2057"/>
  <c r="G1" i="5"/>
  <c r="F1"/>
  <c r="E2"/>
  <c r="F2" s="1"/>
  <c r="C97" i="6" s="1"/>
  <c r="C99"/>
  <c r="G22" i="9"/>
  <c r="G21"/>
  <c r="G23"/>
  <c r="G24"/>
  <c r="F96" i="28"/>
  <c r="F66"/>
  <c r="J95" i="17"/>
  <c r="R2041" i="1"/>
  <c r="T2041"/>
  <c r="P2041"/>
  <c r="O2041"/>
  <c r="K2041"/>
  <c r="R2043"/>
  <c r="T2043"/>
  <c r="P2043"/>
  <c r="O2043"/>
  <c r="K2043"/>
  <c r="R2039"/>
  <c r="T2039"/>
  <c r="P2039"/>
  <c r="O2039"/>
  <c r="K2039"/>
  <c r="V2043"/>
  <c r="V2057"/>
  <c r="V2039"/>
  <c r="V2041"/>
  <c r="F3" i="5" l="1"/>
  <c r="R2060" i="1"/>
  <c r="T2060"/>
  <c r="P2060"/>
  <c r="O2060"/>
  <c r="K2060"/>
  <c r="R2059"/>
  <c r="T2059"/>
  <c r="P2059"/>
  <c r="O2059"/>
  <c r="K2059"/>
  <c r="R2048"/>
  <c r="T2048"/>
  <c r="P2048"/>
  <c r="O2048"/>
  <c r="R1973"/>
  <c r="T1973"/>
  <c r="P1973"/>
  <c r="O1973"/>
  <c r="K1973"/>
  <c r="R2049"/>
  <c r="T2049"/>
  <c r="P2049"/>
  <c r="O2049"/>
  <c r="K2049"/>
  <c r="R2038"/>
  <c r="T2038"/>
  <c r="P2038"/>
  <c r="O2038"/>
  <c r="K2038"/>
  <c r="R2029"/>
  <c r="T2029"/>
  <c r="P2029"/>
  <c r="O2029"/>
  <c r="K2029"/>
  <c r="R2042"/>
  <c r="T2042"/>
  <c r="P2042"/>
  <c r="O2042"/>
  <c r="K2042"/>
  <c r="V1973"/>
  <c r="V2060"/>
  <c r="V2049"/>
  <c r="V2029"/>
  <c r="V2059"/>
  <c r="V2042"/>
  <c r="V2038"/>
  <c r="V2048"/>
  <c r="R2033" l="1"/>
  <c r="T2033"/>
  <c r="P2033"/>
  <c r="O2033"/>
  <c r="A12" i="7"/>
  <c r="A11"/>
  <c r="A10"/>
  <c r="R2004" i="1"/>
  <c r="T2004"/>
  <c r="P2004"/>
  <c r="O2004"/>
  <c r="K2004"/>
  <c r="R2012"/>
  <c r="T2012"/>
  <c r="P2012"/>
  <c r="O2012"/>
  <c r="K2012"/>
  <c r="E40" i="27"/>
  <c r="E39"/>
  <c r="E38"/>
  <c r="E37"/>
  <c r="E36"/>
  <c r="E35"/>
  <c r="E34"/>
  <c r="E33"/>
  <c r="E32"/>
  <c r="R2036" i="1"/>
  <c r="T2036"/>
  <c r="P2036"/>
  <c r="O2036"/>
  <c r="R2032"/>
  <c r="T2032"/>
  <c r="P2032"/>
  <c r="O2032"/>
  <c r="K2032"/>
  <c r="R2035"/>
  <c r="T2035"/>
  <c r="P2035"/>
  <c r="O2035"/>
  <c r="R2031"/>
  <c r="T2031"/>
  <c r="P2031"/>
  <c r="O2031"/>
  <c r="K2031"/>
  <c r="R2058"/>
  <c r="T2058"/>
  <c r="P2058"/>
  <c r="O2058"/>
  <c r="K2058"/>
  <c r="V2004"/>
  <c r="V2031"/>
  <c r="V2012"/>
  <c r="V2033"/>
  <c r="V2036"/>
  <c r="V2058"/>
  <c r="V2032"/>
  <c r="V2035"/>
  <c r="E42" i="27" l="1"/>
  <c r="E41"/>
  <c r="R2028" i="1"/>
  <c r="T2028"/>
  <c r="P2028"/>
  <c r="O2028"/>
  <c r="K2028"/>
  <c r="R2024"/>
  <c r="T2024"/>
  <c r="P2024"/>
  <c r="O2024"/>
  <c r="R2027"/>
  <c r="T2027"/>
  <c r="P2027"/>
  <c r="O2027"/>
  <c r="K2027"/>
  <c r="R1930"/>
  <c r="T1930"/>
  <c r="P1930"/>
  <c r="O1930"/>
  <c r="R2021"/>
  <c r="T2021"/>
  <c r="P2021"/>
  <c r="O2021"/>
  <c r="K2021"/>
  <c r="R2011"/>
  <c r="T2011"/>
  <c r="P2011"/>
  <c r="O2011"/>
  <c r="R2034"/>
  <c r="T2034"/>
  <c r="P2034"/>
  <c r="O2034"/>
  <c r="K2034"/>
  <c r="V2028"/>
  <c r="V2021"/>
  <c r="V2034"/>
  <c r="V2011"/>
  <c r="V2024"/>
  <c r="V1930"/>
  <c r="V2027"/>
  <c r="R2007" l="1"/>
  <c r="T2007"/>
  <c r="P2007"/>
  <c r="O2007"/>
  <c r="K2007"/>
  <c r="R2025"/>
  <c r="T2025"/>
  <c r="P2025"/>
  <c r="O2025"/>
  <c r="K2025"/>
  <c r="R2019"/>
  <c r="T2019"/>
  <c r="P2019"/>
  <c r="O2019"/>
  <c r="K2019"/>
  <c r="R2015"/>
  <c r="T2015"/>
  <c r="P2015"/>
  <c r="O2015"/>
  <c r="R2020"/>
  <c r="T2020"/>
  <c r="P2020"/>
  <c r="O2020"/>
  <c r="K2020"/>
  <c r="R2003"/>
  <c r="T2003"/>
  <c r="P2003"/>
  <c r="O2003"/>
  <c r="K2003"/>
  <c r="R2005"/>
  <c r="T2005"/>
  <c r="P2005"/>
  <c r="O2005"/>
  <c r="K2005"/>
  <c r="R2009"/>
  <c r="T2009"/>
  <c r="P2009"/>
  <c r="O2009"/>
  <c r="K2009"/>
  <c r="R2037"/>
  <c r="T2037"/>
  <c r="P2037"/>
  <c r="O2037"/>
  <c r="R2008"/>
  <c r="T2008"/>
  <c r="P2008"/>
  <c r="O2008"/>
  <c r="K2008"/>
  <c r="R2023"/>
  <c r="T2023"/>
  <c r="P2023"/>
  <c r="O2023"/>
  <c r="K2023"/>
  <c r="R2026"/>
  <c r="T2026"/>
  <c r="P2026"/>
  <c r="O2026"/>
  <c r="R2054"/>
  <c r="T2054"/>
  <c r="P2054"/>
  <c r="O2054"/>
  <c r="K2054"/>
  <c r="R1962"/>
  <c r="T1962"/>
  <c r="P1962"/>
  <c r="O1962"/>
  <c r="K1962"/>
  <c r="R1948"/>
  <c r="T1948"/>
  <c r="P1948"/>
  <c r="O1948"/>
  <c r="R1940"/>
  <c r="T1940"/>
  <c r="P1940"/>
  <c r="O1940"/>
  <c r="R2014"/>
  <c r="T2014"/>
  <c r="P2014"/>
  <c r="O2014"/>
  <c r="K2014"/>
  <c r="V1962"/>
  <c r="V2054"/>
  <c r="V2025"/>
  <c r="V2007"/>
  <c r="V2019"/>
  <c r="V2023"/>
  <c r="V2026"/>
  <c r="V2037"/>
  <c r="V2008"/>
  <c r="V2020"/>
  <c r="V2014"/>
  <c r="V2003"/>
  <c r="V1948"/>
  <c r="V2005"/>
  <c r="V2015"/>
  <c r="V2009"/>
  <c r="V1940"/>
  <c r="D87" i="27" l="1"/>
  <c r="R1998" i="1" l="1"/>
  <c r="T1998"/>
  <c r="P1998"/>
  <c r="O1998"/>
  <c r="K1998"/>
  <c r="R2022"/>
  <c r="T2022"/>
  <c r="P2022"/>
  <c r="O2022"/>
  <c r="R2017"/>
  <c r="T2017"/>
  <c r="P2017"/>
  <c r="O2017"/>
  <c r="K2017"/>
  <c r="R2002"/>
  <c r="T2002"/>
  <c r="P2002"/>
  <c r="O2002"/>
  <c r="R1994"/>
  <c r="T1994"/>
  <c r="P1994"/>
  <c r="O1994"/>
  <c r="R1934"/>
  <c r="T1934"/>
  <c r="P1934"/>
  <c r="O1934"/>
  <c r="V2022"/>
  <c r="V2002"/>
  <c r="V1934"/>
  <c r="V1994"/>
  <c r="V2017"/>
  <c r="V1998"/>
  <c r="R1983" l="1"/>
  <c r="T1983"/>
  <c r="P1983"/>
  <c r="O1983"/>
  <c r="K1983"/>
  <c r="R1987"/>
  <c r="T1987"/>
  <c r="P1987"/>
  <c r="O1987"/>
  <c r="J93" i="17"/>
  <c r="J92"/>
  <c r="J91"/>
  <c r="R2053" i="1"/>
  <c r="T2053"/>
  <c r="P2053"/>
  <c r="O2053"/>
  <c r="R1964"/>
  <c r="T1964"/>
  <c r="P1964"/>
  <c r="O1964"/>
  <c r="K1964"/>
  <c r="R2016"/>
  <c r="T2016"/>
  <c r="P2016"/>
  <c r="O2016"/>
  <c r="R2018"/>
  <c r="T2018"/>
  <c r="P2018"/>
  <c r="O2018"/>
  <c r="K2018"/>
  <c r="R1991"/>
  <c r="T1991"/>
  <c r="P1991"/>
  <c r="O1991"/>
  <c r="R1993"/>
  <c r="T1993"/>
  <c r="P1993"/>
  <c r="O1993"/>
  <c r="R2001"/>
  <c r="T2001"/>
  <c r="P2001"/>
  <c r="O2001"/>
  <c r="R2013"/>
  <c r="T2013"/>
  <c r="P2013"/>
  <c r="O2013"/>
  <c r="R2000"/>
  <c r="T2000"/>
  <c r="P2000"/>
  <c r="O2000"/>
  <c r="K2000"/>
  <c r="R1959"/>
  <c r="T1959"/>
  <c r="P1959"/>
  <c r="O1959"/>
  <c r="R1986"/>
  <c r="T1986"/>
  <c r="P1986"/>
  <c r="O1986"/>
  <c r="R1990"/>
  <c r="T1990"/>
  <c r="P1990"/>
  <c r="O1990"/>
  <c r="R1997"/>
  <c r="T1997"/>
  <c r="P1997"/>
  <c r="O1997"/>
  <c r="K1997"/>
  <c r="V1993"/>
  <c r="V1991"/>
  <c r="V1959"/>
  <c r="V2000"/>
  <c r="V2018"/>
  <c r="V2013"/>
  <c r="V2016"/>
  <c r="V2001"/>
  <c r="V1964"/>
  <c r="V1987"/>
  <c r="V1986"/>
  <c r="V2053"/>
  <c r="V1983"/>
  <c r="V1990"/>
  <c r="V1997"/>
  <c r="H26" i="28" l="1"/>
  <c r="C90" i="6"/>
  <c r="AP47" i="24"/>
  <c r="B21" i="25"/>
  <c r="D88" i="27" l="1"/>
  <c r="D89"/>
  <c r="D90"/>
  <c r="D91"/>
  <c r="D92"/>
  <c r="D93"/>
  <c r="D94"/>
  <c r="D95"/>
  <c r="D96"/>
  <c r="D86"/>
  <c r="R1982" i="1" l="1"/>
  <c r="T1982"/>
  <c r="P1982"/>
  <c r="O1982"/>
  <c r="D98" i="27"/>
  <c r="D97"/>
  <c r="R1980" i="1"/>
  <c r="T1980"/>
  <c r="P1980"/>
  <c r="O1980"/>
  <c r="K1980"/>
  <c r="R1981"/>
  <c r="T1981"/>
  <c r="P1981"/>
  <c r="O1981"/>
  <c r="R1999"/>
  <c r="T1999"/>
  <c r="P1999"/>
  <c r="O1999"/>
  <c r="K1999"/>
  <c r="R2010"/>
  <c r="T2010"/>
  <c r="P2010"/>
  <c r="O2010"/>
  <c r="R1992"/>
  <c r="T1992"/>
  <c r="P1992"/>
  <c r="O1992"/>
  <c r="K1992"/>
  <c r="R1996"/>
  <c r="T1996"/>
  <c r="P1996"/>
  <c r="O1996"/>
  <c r="K1996"/>
  <c r="V1992"/>
  <c r="V1999"/>
  <c r="V1980"/>
  <c r="V2010"/>
  <c r="V1996"/>
  <c r="V1982"/>
  <c r="V1981"/>
  <c r="R2006" l="1"/>
  <c r="T2006"/>
  <c r="P2006"/>
  <c r="O2006"/>
  <c r="R1949"/>
  <c r="T1949"/>
  <c r="P1949"/>
  <c r="O1949"/>
  <c r="D42" i="27"/>
  <c r="D41"/>
  <c r="P2052" i="1"/>
  <c r="O2052"/>
  <c r="K2052"/>
  <c r="R1950"/>
  <c r="T1950"/>
  <c r="P1950"/>
  <c r="O1950"/>
  <c r="K1950"/>
  <c r="R1985"/>
  <c r="T1985"/>
  <c r="P1985"/>
  <c r="O1985"/>
  <c r="K1985"/>
  <c r="R1979"/>
  <c r="T1979"/>
  <c r="P1979"/>
  <c r="O1979"/>
  <c r="K1979"/>
  <c r="R1995"/>
  <c r="T1995"/>
  <c r="P1995"/>
  <c r="O1995"/>
  <c r="R1916"/>
  <c r="T1916"/>
  <c r="P1916"/>
  <c r="O1916"/>
  <c r="R2047"/>
  <c r="T2047"/>
  <c r="P2047"/>
  <c r="O2047"/>
  <c r="K2047"/>
  <c r="R1984"/>
  <c r="T1984"/>
  <c r="P1984"/>
  <c r="O1984"/>
  <c r="K1984"/>
  <c r="R1923"/>
  <c r="T1923"/>
  <c r="P1923"/>
  <c r="O1923"/>
  <c r="K1923"/>
  <c r="R1977"/>
  <c r="T1977"/>
  <c r="P1977"/>
  <c r="O1977"/>
  <c r="K1977"/>
  <c r="R1978"/>
  <c r="T1978"/>
  <c r="P1978"/>
  <c r="O1978"/>
  <c r="R1960"/>
  <c r="T1960"/>
  <c r="P1960"/>
  <c r="O1960"/>
  <c r="K1960"/>
  <c r="V1949"/>
  <c r="V2006"/>
  <c r="R1947" l="1"/>
  <c r="T1947"/>
  <c r="P1947"/>
  <c r="O1947"/>
  <c r="K1947"/>
  <c r="R1958"/>
  <c r="T1958"/>
  <c r="P1958"/>
  <c r="O1958"/>
  <c r="K1958"/>
  <c r="R1968"/>
  <c r="T1968"/>
  <c r="P1968"/>
  <c r="O1968"/>
  <c r="K1968"/>
  <c r="R1976"/>
  <c r="T1976"/>
  <c r="P1976"/>
  <c r="O1976"/>
  <c r="K1976"/>
  <c r="R1969"/>
  <c r="T1969"/>
  <c r="P1969"/>
  <c r="O1969"/>
  <c r="R1956"/>
  <c r="T1956"/>
  <c r="P1956"/>
  <c r="O1956"/>
  <c r="K1956"/>
  <c r="R1927"/>
  <c r="T1927"/>
  <c r="P1927"/>
  <c r="O1927"/>
  <c r="R1946"/>
  <c r="T1946"/>
  <c r="P1946"/>
  <c r="O1946"/>
  <c r="K1946"/>
  <c r="R1970"/>
  <c r="T1970"/>
  <c r="P1970"/>
  <c r="O1970"/>
  <c r="K1970"/>
  <c r="R1913"/>
  <c r="T1913"/>
  <c r="P1913"/>
  <c r="O1913"/>
  <c r="R1951"/>
  <c r="T1951"/>
  <c r="P1951"/>
  <c r="O1951"/>
  <c r="R1989" l="1"/>
  <c r="T1989"/>
  <c r="P1989"/>
  <c r="O1989"/>
  <c r="R1955"/>
  <c r="T1955"/>
  <c r="P1955"/>
  <c r="O1955"/>
  <c r="K1955"/>
  <c r="R1926"/>
  <c r="T1926"/>
  <c r="P1926"/>
  <c r="O1926"/>
  <c r="K1926"/>
  <c r="R1966"/>
  <c r="T1966"/>
  <c r="P1966"/>
  <c r="O1966"/>
  <c r="K1966"/>
  <c r="R1975"/>
  <c r="T1975"/>
  <c r="P1975"/>
  <c r="O1975"/>
  <c r="K1975"/>
  <c r="R1943"/>
  <c r="T1943"/>
  <c r="P1943"/>
  <c r="O1943"/>
  <c r="K1943"/>
  <c r="R1945"/>
  <c r="T1945"/>
  <c r="P1945"/>
  <c r="O1945"/>
  <c r="K1945"/>
  <c r="R1967"/>
  <c r="T1967"/>
  <c r="P1967"/>
  <c r="O1967"/>
  <c r="R1917"/>
  <c r="T1917"/>
  <c r="P1917"/>
  <c r="O1917"/>
  <c r="K1917"/>
  <c r="J88" i="17"/>
  <c r="R1921" i="1"/>
  <c r="T1921"/>
  <c r="P1921"/>
  <c r="O1921"/>
  <c r="K1921"/>
  <c r="R1954"/>
  <c r="T1954"/>
  <c r="P1954"/>
  <c r="O1954"/>
  <c r="K1954"/>
  <c r="R1918"/>
  <c r="T1918"/>
  <c r="P1918"/>
  <c r="O1918"/>
  <c r="K1918"/>
  <c r="R1936"/>
  <c r="T1936"/>
  <c r="P1936"/>
  <c r="O1936"/>
  <c r="R1942"/>
  <c r="T1942"/>
  <c r="P1942"/>
  <c r="O1942"/>
  <c r="K1942"/>
  <c r="R1963"/>
  <c r="T1963"/>
  <c r="P1963"/>
  <c r="O1963"/>
  <c r="K1963"/>
  <c r="R1922"/>
  <c r="T1922"/>
  <c r="P1922"/>
  <c r="O1922"/>
  <c r="K1922"/>
  <c r="R1988"/>
  <c r="T1988"/>
  <c r="P1988"/>
  <c r="O1988"/>
  <c r="R1912"/>
  <c r="T1912"/>
  <c r="P1912"/>
  <c r="O1912"/>
  <c r="K1912"/>
  <c r="D70" i="27" l="1"/>
  <c r="R1938" i="1"/>
  <c r="T1938"/>
  <c r="P1938"/>
  <c r="O1938"/>
  <c r="R1953"/>
  <c r="T1953"/>
  <c r="P1953"/>
  <c r="O1953"/>
  <c r="K1953"/>
  <c r="R1931"/>
  <c r="T1931"/>
  <c r="P1931"/>
  <c r="O1931"/>
  <c r="K1931"/>
  <c r="R1911"/>
  <c r="T1911"/>
  <c r="P1911"/>
  <c r="O1911"/>
  <c r="K1911"/>
  <c r="R1971"/>
  <c r="T1971"/>
  <c r="P1971"/>
  <c r="O1971"/>
  <c r="R1925"/>
  <c r="T1925"/>
  <c r="P1925"/>
  <c r="O1925"/>
  <c r="K1925"/>
  <c r="R1929"/>
  <c r="T1929"/>
  <c r="P1929"/>
  <c r="O1929"/>
  <c r="K1929"/>
  <c r="R1910"/>
  <c r="T1910"/>
  <c r="P1910"/>
  <c r="O1910"/>
  <c r="R1924"/>
  <c r="T1924"/>
  <c r="P1924"/>
  <c r="O1924"/>
  <c r="K1924"/>
  <c r="R1920"/>
  <c r="T1920"/>
  <c r="P1920"/>
  <c r="O1920"/>
  <c r="K1920"/>
  <c r="R1904"/>
  <c r="T1904"/>
  <c r="P1904"/>
  <c r="O1904"/>
  <c r="K1904"/>
  <c r="R1952"/>
  <c r="T1952"/>
  <c r="P1952"/>
  <c r="O1952"/>
  <c r="K1952"/>
  <c r="R1957"/>
  <c r="T1957"/>
  <c r="P1957"/>
  <c r="O1957"/>
  <c r="R1893"/>
  <c r="T1893"/>
  <c r="P1893"/>
  <c r="O1893"/>
  <c r="R1974"/>
  <c r="T1974"/>
  <c r="P1974"/>
  <c r="O1974"/>
  <c r="D69" i="27" s="1"/>
  <c r="J87" i="17"/>
  <c r="R1933" i="1"/>
  <c r="T1933"/>
  <c r="P1933"/>
  <c r="O1933"/>
  <c r="K1933"/>
  <c r="R1889"/>
  <c r="T1889"/>
  <c r="P1889"/>
  <c r="O1889"/>
  <c r="K1889"/>
  <c r="R1932"/>
  <c r="T1932"/>
  <c r="P1932"/>
  <c r="O1932"/>
  <c r="K1932"/>
  <c r="R1909"/>
  <c r="T1909"/>
  <c r="P1909"/>
  <c r="O1909"/>
  <c r="R1944"/>
  <c r="T1944"/>
  <c r="P1944"/>
  <c r="O1944"/>
  <c r="K1944"/>
  <c r="R1906"/>
  <c r="T1906"/>
  <c r="P1906"/>
  <c r="O1906"/>
  <c r="K1906"/>
  <c r="R1915"/>
  <c r="T1915"/>
  <c r="P1915"/>
  <c r="O1915"/>
  <c r="R1939"/>
  <c r="T1939"/>
  <c r="P1939"/>
  <c r="O1939"/>
  <c r="K1939"/>
  <c r="D67" i="27" l="1"/>
  <c r="R1919" i="1"/>
  <c r="T1919"/>
  <c r="P1919"/>
  <c r="O1919"/>
  <c r="K1919"/>
  <c r="R1941"/>
  <c r="T1941"/>
  <c r="P1941"/>
  <c r="O1941"/>
  <c r="D66" i="27" s="1"/>
  <c r="K1941" i="1"/>
  <c r="R1900"/>
  <c r="T1900"/>
  <c r="P1900"/>
  <c r="O1900"/>
  <c r="K1900"/>
  <c r="R1892"/>
  <c r="T1892"/>
  <c r="P1892"/>
  <c r="O1892"/>
  <c r="R1903"/>
  <c r="T1903"/>
  <c r="P1903"/>
  <c r="O1903"/>
  <c r="K1903"/>
  <c r="R1891"/>
  <c r="T1891"/>
  <c r="P1891"/>
  <c r="O1891"/>
  <c r="K1891"/>
  <c r="R1908"/>
  <c r="T1908"/>
  <c r="P1908"/>
  <c r="O1908"/>
  <c r="K1908"/>
  <c r="R1907"/>
  <c r="T1907"/>
  <c r="P1907"/>
  <c r="O1907"/>
  <c r="R1914"/>
  <c r="T1914"/>
  <c r="P1914"/>
  <c r="O1914"/>
  <c r="K1914"/>
  <c r="R1961"/>
  <c r="T1961"/>
  <c r="P1961"/>
  <c r="O1961"/>
  <c r="K1961"/>
  <c r="D63" i="27" l="1"/>
  <c r="R1871" i="1"/>
  <c r="T1871"/>
  <c r="P1871"/>
  <c r="O1871"/>
  <c r="K1871"/>
  <c r="R1928" l="1"/>
  <c r="T1928"/>
  <c r="P1928"/>
  <c r="O1928"/>
  <c r="D64" i="27" l="1"/>
  <c r="R1902" i="1"/>
  <c r="T1902"/>
  <c r="P1902"/>
  <c r="O1902"/>
  <c r="K1902"/>
  <c r="R1937"/>
  <c r="T1937"/>
  <c r="P1937"/>
  <c r="O1937"/>
  <c r="R1884"/>
  <c r="T1884"/>
  <c r="P1884"/>
  <c r="O1884"/>
  <c r="R1899"/>
  <c r="T1899"/>
  <c r="P1899"/>
  <c r="O1899"/>
  <c r="R1888"/>
  <c r="T1888"/>
  <c r="P1888"/>
  <c r="O1888"/>
  <c r="K1888"/>
  <c r="R1935"/>
  <c r="T1935"/>
  <c r="P1935"/>
  <c r="O1935"/>
  <c r="K1935"/>
  <c r="R1894"/>
  <c r="T1894"/>
  <c r="P1894"/>
  <c r="O1894"/>
  <c r="K1894"/>
  <c r="R1883"/>
  <c r="T1883"/>
  <c r="P1883"/>
  <c r="O1883"/>
  <c r="K1883"/>
  <c r="R1879"/>
  <c r="T1879"/>
  <c r="P1879"/>
  <c r="O1879"/>
  <c r="R1898"/>
  <c r="T1898"/>
  <c r="P1898"/>
  <c r="O1898"/>
  <c r="K1898"/>
  <c r="I96" i="28" l="1"/>
  <c r="D65" i="27"/>
  <c r="R1905" i="1"/>
  <c r="T1905"/>
  <c r="P1905"/>
  <c r="O1905"/>
  <c r="K1905"/>
  <c r="R1897"/>
  <c r="T1897"/>
  <c r="P1897"/>
  <c r="O1897"/>
  <c r="R1882"/>
  <c r="T1882"/>
  <c r="P1882"/>
  <c r="O1882"/>
  <c r="K1882"/>
  <c r="R1878"/>
  <c r="T1878"/>
  <c r="P1878"/>
  <c r="O1878"/>
  <c r="R1859"/>
  <c r="T1859"/>
  <c r="P1859"/>
  <c r="O1859"/>
  <c r="R1858"/>
  <c r="T1858"/>
  <c r="P1858"/>
  <c r="O1858"/>
  <c r="R2055"/>
  <c r="T2055"/>
  <c r="P2055"/>
  <c r="O2055"/>
  <c r="K2055"/>
  <c r="R1861"/>
  <c r="T1861"/>
  <c r="P1861"/>
  <c r="O1861"/>
  <c r="K1861"/>
  <c r="R1881"/>
  <c r="T1881"/>
  <c r="P1881"/>
  <c r="O1881"/>
  <c r="K1881"/>
  <c r="R1831"/>
  <c r="T1831"/>
  <c r="P1831"/>
  <c r="O1831"/>
  <c r="K1831"/>
  <c r="R1887"/>
  <c r="T1887"/>
  <c r="P1887"/>
  <c r="O1887"/>
  <c r="K1887"/>
  <c r="R1886"/>
  <c r="T1886"/>
  <c r="P1886"/>
  <c r="O1886"/>
  <c r="K1886"/>
  <c r="R1866" l="1"/>
  <c r="T1866"/>
  <c r="P1866"/>
  <c r="O1866"/>
  <c r="K1866"/>
  <c r="R1847"/>
  <c r="T1847"/>
  <c r="P1847"/>
  <c r="O1847"/>
  <c r="R1812" l="1"/>
  <c r="T1812"/>
  <c r="P1812"/>
  <c r="O1812"/>
  <c r="J85" i="17"/>
  <c r="R1874" i="1"/>
  <c r="T1874"/>
  <c r="P1874"/>
  <c r="O1874"/>
  <c r="K1874"/>
  <c r="R1870"/>
  <c r="T1870"/>
  <c r="P1870"/>
  <c r="O1870"/>
  <c r="R1869"/>
  <c r="T1869"/>
  <c r="P1869"/>
  <c r="O1869"/>
  <c r="K1869"/>
  <c r="R1822" l="1"/>
  <c r="T1822"/>
  <c r="P1822"/>
  <c r="O1822"/>
  <c r="K1822"/>
  <c r="R1877"/>
  <c r="T1877"/>
  <c r="P1877"/>
  <c r="O1877"/>
  <c r="K1877"/>
  <c r="R1857"/>
  <c r="T1857"/>
  <c r="P1857"/>
  <c r="O1857"/>
  <c r="R1867"/>
  <c r="T1867"/>
  <c r="P1867"/>
  <c r="O1867"/>
  <c r="R1885"/>
  <c r="T1885"/>
  <c r="P1885"/>
  <c r="O1885"/>
  <c r="R1865"/>
  <c r="T1865"/>
  <c r="P1865"/>
  <c r="O1865"/>
  <c r="R1863"/>
  <c r="T1863"/>
  <c r="P1863"/>
  <c r="O1863"/>
  <c r="R1853"/>
  <c r="T1853"/>
  <c r="P1853"/>
  <c r="O1853"/>
  <c r="R2056"/>
  <c r="T2056"/>
  <c r="P2056"/>
  <c r="O2056"/>
  <c r="K2056"/>
  <c r="R1901"/>
  <c r="T1901"/>
  <c r="P1901"/>
  <c r="O1901"/>
  <c r="K1901"/>
  <c r="R1890"/>
  <c r="T1890"/>
  <c r="P1890"/>
  <c r="O1890"/>
  <c r="K1890"/>
  <c r="R1875"/>
  <c r="T1875"/>
  <c r="P1875"/>
  <c r="O1875"/>
  <c r="R1872" l="1"/>
  <c r="T1872"/>
  <c r="P1872"/>
  <c r="O1872"/>
  <c r="K1872"/>
  <c r="R1876"/>
  <c r="T1876"/>
  <c r="P1876"/>
  <c r="O1876"/>
  <c r="R1840"/>
  <c r="T1840"/>
  <c r="P1840"/>
  <c r="O1840"/>
  <c r="R1862"/>
  <c r="T1862"/>
  <c r="P1862"/>
  <c r="O1862"/>
  <c r="K1862"/>
  <c r="R1845"/>
  <c r="T1845"/>
  <c r="P1845"/>
  <c r="O1845"/>
  <c r="R1856"/>
  <c r="T1856"/>
  <c r="P1856"/>
  <c r="O1856"/>
  <c r="R1860"/>
  <c r="T1860"/>
  <c r="P1860"/>
  <c r="O1860"/>
  <c r="R1843"/>
  <c r="T1843"/>
  <c r="P1843"/>
  <c r="O1843"/>
  <c r="R1864"/>
  <c r="T1864"/>
  <c r="P1864"/>
  <c r="O1864"/>
  <c r="R1849"/>
  <c r="T1849"/>
  <c r="P1849"/>
  <c r="O1849"/>
  <c r="R1852"/>
  <c r="T1852"/>
  <c r="P1852"/>
  <c r="O1852"/>
  <c r="R1844"/>
  <c r="T1844"/>
  <c r="P1844"/>
  <c r="O1844"/>
  <c r="AQ22" i="3"/>
  <c r="R1830" i="1"/>
  <c r="T1830"/>
  <c r="P1830"/>
  <c r="O1830"/>
  <c r="R1839"/>
  <c r="T1839"/>
  <c r="P1839"/>
  <c r="O1839"/>
  <c r="R1868"/>
  <c r="T1868"/>
  <c r="P1868"/>
  <c r="O1868"/>
  <c r="R1842" l="1"/>
  <c r="T1842"/>
  <c r="P1842"/>
  <c r="O1842"/>
  <c r="R1855"/>
  <c r="T1855"/>
  <c r="P1855"/>
  <c r="O1855"/>
  <c r="R1846"/>
  <c r="T1846"/>
  <c r="P1846"/>
  <c r="O1846"/>
  <c r="K1846"/>
  <c r="R1838"/>
  <c r="T1838"/>
  <c r="P1838"/>
  <c r="O1838"/>
  <c r="K1838"/>
  <c r="R1837"/>
  <c r="T1837"/>
  <c r="P1837"/>
  <c r="O1837"/>
  <c r="R1836" l="1"/>
  <c r="T1836"/>
  <c r="P1836"/>
  <c r="O1836"/>
  <c r="R1833"/>
  <c r="T1833"/>
  <c r="P1833"/>
  <c r="O1833"/>
  <c r="R1880"/>
  <c r="D60" i="27" s="1"/>
  <c r="T1880" i="1"/>
  <c r="P1880"/>
  <c r="O1880"/>
  <c r="K1880"/>
  <c r="R1841"/>
  <c r="T1841"/>
  <c r="P1841"/>
  <c r="O1841"/>
  <c r="K1841"/>
  <c r="R1850"/>
  <c r="T1850"/>
  <c r="P1850"/>
  <c r="O1850"/>
  <c r="K1850"/>
  <c r="R1783"/>
  <c r="T1783"/>
  <c r="P1783"/>
  <c r="O1783"/>
  <c r="R1828" l="1"/>
  <c r="T1828"/>
  <c r="P1828"/>
  <c r="O1828"/>
  <c r="R1821"/>
  <c r="T1821"/>
  <c r="P1821"/>
  <c r="O1821"/>
  <c r="R1854"/>
  <c r="T1854"/>
  <c r="P1854"/>
  <c r="O1854"/>
  <c r="R1809"/>
  <c r="T1809"/>
  <c r="P1809"/>
  <c r="O1809"/>
  <c r="R1802"/>
  <c r="T1802"/>
  <c r="P1802"/>
  <c r="O1802"/>
  <c r="R1834"/>
  <c r="T1834"/>
  <c r="P1834"/>
  <c r="O1834"/>
  <c r="K1834"/>
  <c r="R1782"/>
  <c r="T1782"/>
  <c r="P1782"/>
  <c r="O1782"/>
  <c r="K1782"/>
  <c r="R1816"/>
  <c r="T1816"/>
  <c r="P1816"/>
  <c r="O1816"/>
  <c r="R1829"/>
  <c r="T1829"/>
  <c r="P1829"/>
  <c r="O1829"/>
  <c r="K1829"/>
  <c r="R1848"/>
  <c r="T1848"/>
  <c r="P1848"/>
  <c r="O1848"/>
  <c r="R1818"/>
  <c r="T1818"/>
  <c r="P1818"/>
  <c r="O1818"/>
  <c r="R1819"/>
  <c r="T1819"/>
  <c r="P1819"/>
  <c r="O1819"/>
  <c r="R1835"/>
  <c r="D12" i="27" s="1"/>
  <c r="T1835" i="1"/>
  <c r="P1835"/>
  <c r="O1835"/>
  <c r="K1835"/>
  <c r="R1820"/>
  <c r="T1820"/>
  <c r="P1820"/>
  <c r="O1820"/>
  <c r="K1820"/>
  <c r="R1832"/>
  <c r="T1832"/>
  <c r="P1832"/>
  <c r="O1832"/>
  <c r="K1832"/>
  <c r="R1810"/>
  <c r="T1810"/>
  <c r="P1810"/>
  <c r="O1810"/>
  <c r="R1823"/>
  <c r="T1823"/>
  <c r="P1823"/>
  <c r="O1823"/>
  <c r="R1817"/>
  <c r="T1817"/>
  <c r="P1817"/>
  <c r="O1817"/>
  <c r="K1817"/>
  <c r="R1800" l="1"/>
  <c r="T1800"/>
  <c r="P1800"/>
  <c r="O1800"/>
  <c r="R1895" l="1"/>
  <c r="T1895"/>
  <c r="P1895"/>
  <c r="O1895"/>
  <c r="K1895"/>
  <c r="R1827"/>
  <c r="T1827"/>
  <c r="P1827"/>
  <c r="O1827"/>
  <c r="R1873"/>
  <c r="D15" i="27" s="1"/>
  <c r="T1873" i="1"/>
  <c r="P1873"/>
  <c r="O1873"/>
  <c r="R1811"/>
  <c r="T1811"/>
  <c r="P1811"/>
  <c r="O1811"/>
  <c r="R1791"/>
  <c r="T1791"/>
  <c r="P1791"/>
  <c r="O1791"/>
  <c r="R1826"/>
  <c r="T1826"/>
  <c r="P1826"/>
  <c r="O1826"/>
  <c r="K1826"/>
  <c r="G13" i="28"/>
  <c r="G14"/>
  <c r="G15"/>
  <c r="G16"/>
  <c r="G17"/>
  <c r="G18"/>
  <c r="G19"/>
  <c r="G12"/>
  <c r="F13"/>
  <c r="F14"/>
  <c r="H14" s="1"/>
  <c r="F15"/>
  <c r="H15" s="1"/>
  <c r="F16"/>
  <c r="F17"/>
  <c r="F18"/>
  <c r="H18" s="1"/>
  <c r="F19"/>
  <c r="H19" s="1"/>
  <c r="F12"/>
  <c r="R1805" i="1"/>
  <c r="T1805"/>
  <c r="P1805"/>
  <c r="O1805"/>
  <c r="R1965"/>
  <c r="T1965"/>
  <c r="P1965"/>
  <c r="O1965"/>
  <c r="K1965"/>
  <c r="R1780"/>
  <c r="T1780"/>
  <c r="P1780"/>
  <c r="O1780"/>
  <c r="K1780"/>
  <c r="R1735"/>
  <c r="T1735"/>
  <c r="P1735"/>
  <c r="O1735"/>
  <c r="K1735"/>
  <c r="R1804"/>
  <c r="T1804"/>
  <c r="P1804"/>
  <c r="O1804"/>
  <c r="K1804"/>
  <c r="R1807"/>
  <c r="T1807"/>
  <c r="P1807"/>
  <c r="O1807"/>
  <c r="K1807"/>
  <c r="R1796"/>
  <c r="T1796"/>
  <c r="P1796"/>
  <c r="O1796"/>
  <c r="K1796"/>
  <c r="R1788"/>
  <c r="T1788"/>
  <c r="P1788"/>
  <c r="O1788"/>
  <c r="R1813"/>
  <c r="T1813"/>
  <c r="P1813"/>
  <c r="O1813"/>
  <c r="K1813"/>
  <c r="R1799"/>
  <c r="T1799"/>
  <c r="P1799"/>
  <c r="O1799"/>
  <c r="K1799"/>
  <c r="R1795"/>
  <c r="T1795"/>
  <c r="P1795"/>
  <c r="O1795"/>
  <c r="R1801"/>
  <c r="T1801"/>
  <c r="P1801"/>
  <c r="O1801"/>
  <c r="K1801"/>
  <c r="R1751"/>
  <c r="T1751"/>
  <c r="P1751"/>
  <c r="O1751"/>
  <c r="K1751"/>
  <c r="I86" i="28" l="1"/>
  <c r="D68" i="27"/>
  <c r="D61"/>
  <c r="H17" i="28"/>
  <c r="H13"/>
  <c r="H16"/>
  <c r="F20"/>
  <c r="G20"/>
  <c r="H12"/>
  <c r="R1776" i="1"/>
  <c r="T1776"/>
  <c r="P1776"/>
  <c r="O1776"/>
  <c r="H20" i="28" l="1"/>
  <c r="R1792" i="1"/>
  <c r="T1792"/>
  <c r="P1792"/>
  <c r="O1792"/>
  <c r="R1787"/>
  <c r="T1787"/>
  <c r="P1787"/>
  <c r="O1787"/>
  <c r="K1787"/>
  <c r="R1781"/>
  <c r="T1781"/>
  <c r="P1781"/>
  <c r="O1781"/>
  <c r="K1781"/>
  <c r="T1825"/>
  <c r="P1825"/>
  <c r="O1825"/>
  <c r="K1825"/>
  <c r="J83" i="17"/>
  <c r="R1797" i="1" l="1"/>
  <c r="T1797"/>
  <c r="P1797"/>
  <c r="O1797"/>
  <c r="K1797"/>
  <c r="R1815"/>
  <c r="T1815"/>
  <c r="P1815"/>
  <c r="O1815"/>
  <c r="K1815"/>
  <c r="R1803"/>
  <c r="T1803"/>
  <c r="P1803"/>
  <c r="O1803"/>
  <c r="K1803"/>
  <c r="R1794"/>
  <c r="T1794"/>
  <c r="P1794"/>
  <c r="O1794"/>
  <c r="R1785"/>
  <c r="T1785"/>
  <c r="P1785"/>
  <c r="O1785"/>
  <c r="K1785"/>
  <c r="R1789" l="1"/>
  <c r="T1789"/>
  <c r="P1789"/>
  <c r="O1789"/>
  <c r="R1779"/>
  <c r="T1779"/>
  <c r="P1779"/>
  <c r="O1779"/>
  <c r="R1793"/>
  <c r="T1793"/>
  <c r="P1793"/>
  <c r="O1793"/>
  <c r="R1798"/>
  <c r="T1798"/>
  <c r="P1798"/>
  <c r="O1798"/>
  <c r="R1824"/>
  <c r="D11" i="27" s="1"/>
  <c r="T1824" i="1"/>
  <c r="P1824"/>
  <c r="O1824"/>
  <c r="R1790"/>
  <c r="T1790"/>
  <c r="P1790"/>
  <c r="O1790"/>
  <c r="R1814"/>
  <c r="D10" i="27" s="1"/>
  <c r="T1814" i="1"/>
  <c r="P1814"/>
  <c r="O1814"/>
  <c r="R1784"/>
  <c r="T1784"/>
  <c r="P1784"/>
  <c r="O1784"/>
  <c r="R1754"/>
  <c r="T1754"/>
  <c r="P1754"/>
  <c r="O1754"/>
  <c r="D8" i="27" l="1"/>
  <c r="R1775" i="1"/>
  <c r="T1775"/>
  <c r="P1775"/>
  <c r="O1775"/>
  <c r="K1775"/>
  <c r="R1808"/>
  <c r="T1808"/>
  <c r="P1808"/>
  <c r="O1808"/>
  <c r="K1808"/>
  <c r="R1747"/>
  <c r="T1747"/>
  <c r="P1747"/>
  <c r="O1747"/>
  <c r="K1747"/>
  <c r="R1774"/>
  <c r="T1774"/>
  <c r="P1774"/>
  <c r="O1774"/>
  <c r="K1774"/>
  <c r="R1771"/>
  <c r="T1771"/>
  <c r="P1771"/>
  <c r="O1771"/>
  <c r="R1772"/>
  <c r="T1772"/>
  <c r="P1772"/>
  <c r="O1772"/>
  <c r="K1772"/>
  <c r="R1806"/>
  <c r="D9" i="27" s="1"/>
  <c r="T1806" i="1"/>
  <c r="P1806"/>
  <c r="O1806"/>
  <c r="R1770"/>
  <c r="T1770"/>
  <c r="P1770"/>
  <c r="O1770"/>
  <c r="K1770"/>
  <c r="R1763"/>
  <c r="T1763"/>
  <c r="P1763"/>
  <c r="O1763"/>
  <c r="K1763"/>
  <c r="R1762"/>
  <c r="T1762"/>
  <c r="P1762"/>
  <c r="O1762"/>
  <c r="K1762"/>
  <c r="R1764"/>
  <c r="T1764"/>
  <c r="P1764"/>
  <c r="O1764"/>
  <c r="R1718"/>
  <c r="T1718"/>
  <c r="P1718"/>
  <c r="O1718"/>
  <c r="K1718"/>
  <c r="R1769"/>
  <c r="T1769"/>
  <c r="P1769"/>
  <c r="O1769"/>
  <c r="K1769"/>
  <c r="R1778" l="1"/>
  <c r="T1778"/>
  <c r="P1778"/>
  <c r="O1778"/>
  <c r="K1778"/>
  <c r="R1767"/>
  <c r="T1767"/>
  <c r="P1767"/>
  <c r="O1767"/>
  <c r="R1740"/>
  <c r="T1740"/>
  <c r="P1740"/>
  <c r="O1740"/>
  <c r="K1740"/>
  <c r="R1761"/>
  <c r="T1761"/>
  <c r="P1761"/>
  <c r="O1761"/>
  <c r="K1761"/>
  <c r="R1730"/>
  <c r="T1730"/>
  <c r="P1730"/>
  <c r="O1730"/>
  <c r="R1738"/>
  <c r="T1738"/>
  <c r="P1738"/>
  <c r="O1738"/>
  <c r="K1738"/>
  <c r="R1768"/>
  <c r="T1768"/>
  <c r="P1768"/>
  <c r="O1768"/>
  <c r="K1768"/>
  <c r="R1760"/>
  <c r="T1760"/>
  <c r="P1760"/>
  <c r="O1760"/>
  <c r="R1752"/>
  <c r="T1752"/>
  <c r="P1752"/>
  <c r="O1752"/>
  <c r="K1752"/>
  <c r="R1757"/>
  <c r="T1757"/>
  <c r="P1757"/>
  <c r="O1757"/>
  <c r="R1759"/>
  <c r="T1759"/>
  <c r="P1759"/>
  <c r="O1759"/>
  <c r="R1753"/>
  <c r="T1753"/>
  <c r="P1753"/>
  <c r="O1753"/>
  <c r="K1753"/>
  <c r="R1750"/>
  <c r="T1750"/>
  <c r="P1750"/>
  <c r="O1750"/>
  <c r="K1750"/>
  <c r="R1758"/>
  <c r="T1758"/>
  <c r="P1758"/>
  <c r="O1758"/>
  <c r="K1758"/>
  <c r="R1766"/>
  <c r="T1766"/>
  <c r="P1766"/>
  <c r="O1766"/>
  <c r="K1766"/>
  <c r="T1715"/>
  <c r="P1715"/>
  <c r="O1715"/>
  <c r="J80" i="17"/>
  <c r="R1743" i="1" l="1"/>
  <c r="T1743"/>
  <c r="P1743"/>
  <c r="O1743"/>
  <c r="K1743"/>
  <c r="R1732"/>
  <c r="T1732"/>
  <c r="P1732"/>
  <c r="O1732"/>
  <c r="R1765"/>
  <c r="T1765"/>
  <c r="P1765"/>
  <c r="O1765"/>
  <c r="K1765"/>
  <c r="C41" i="27"/>
  <c r="C42"/>
  <c r="R1741" i="1"/>
  <c r="T1741"/>
  <c r="P1741"/>
  <c r="O1741"/>
  <c r="R1749"/>
  <c r="T1749"/>
  <c r="P1749"/>
  <c r="O1749"/>
  <c r="K1749"/>
  <c r="R1737"/>
  <c r="T1737"/>
  <c r="P1737"/>
  <c r="O1737"/>
  <c r="K1737"/>
  <c r="R1734"/>
  <c r="T1734"/>
  <c r="P1734"/>
  <c r="O1734"/>
  <c r="K1734"/>
  <c r="R1733"/>
  <c r="T1733"/>
  <c r="P1733"/>
  <c r="O1733"/>
  <c r="R1748"/>
  <c r="T1748"/>
  <c r="P1748"/>
  <c r="O1748"/>
  <c r="R1739"/>
  <c r="T1739"/>
  <c r="P1739"/>
  <c r="O1739"/>
  <c r="K1739"/>
  <c r="R1744"/>
  <c r="T1744"/>
  <c r="P1744"/>
  <c r="O1744"/>
  <c r="R1694"/>
  <c r="T1694"/>
  <c r="P1694"/>
  <c r="O1694"/>
  <c r="J79" i="17"/>
  <c r="R1756" i="1" l="1"/>
  <c r="T1756"/>
  <c r="P1756"/>
  <c r="O1756"/>
  <c r="K1756"/>
  <c r="R1722"/>
  <c r="T1722"/>
  <c r="P1722"/>
  <c r="O1722"/>
  <c r="K1722"/>
  <c r="R1714"/>
  <c r="T1714"/>
  <c r="P1714"/>
  <c r="O1714"/>
  <c r="K1714"/>
  <c r="R1725"/>
  <c r="T1725"/>
  <c r="P1725"/>
  <c r="O1725"/>
  <c r="R1713"/>
  <c r="T1713"/>
  <c r="P1713"/>
  <c r="O1713"/>
  <c r="K1713"/>
  <c r="R1721"/>
  <c r="T1721"/>
  <c r="P1721"/>
  <c r="O1721"/>
  <c r="R1711" l="1"/>
  <c r="T1711"/>
  <c r="P1711"/>
  <c r="O1711"/>
  <c r="K1711"/>
  <c r="R1707"/>
  <c r="T1707"/>
  <c r="P1707"/>
  <c r="O1707"/>
  <c r="R1755"/>
  <c r="T1755"/>
  <c r="P1755"/>
  <c r="O1755"/>
  <c r="K1755"/>
  <c r="R1726"/>
  <c r="T1726"/>
  <c r="P1726"/>
  <c r="O1726"/>
  <c r="K1726"/>
  <c r="R1720"/>
  <c r="T1720"/>
  <c r="P1720"/>
  <c r="O1720"/>
  <c r="K1720"/>
  <c r="R1698" l="1"/>
  <c r="T1698"/>
  <c r="P1698"/>
  <c r="O1698"/>
  <c r="R1710"/>
  <c r="T1710"/>
  <c r="P1710"/>
  <c r="O1710"/>
  <c r="K1710"/>
  <c r="R1745"/>
  <c r="T1745"/>
  <c r="P1745"/>
  <c r="O1745"/>
  <c r="K1745"/>
  <c r="R1728" l="1"/>
  <c r="T1728"/>
  <c r="P1728"/>
  <c r="O1728"/>
  <c r="K1728"/>
  <c r="R1716"/>
  <c r="T1716"/>
  <c r="P1716"/>
  <c r="O1716"/>
  <c r="K1716"/>
  <c r="R1706"/>
  <c r="T1706"/>
  <c r="P1706"/>
  <c r="O1706"/>
  <c r="Q29" i="17"/>
  <c r="C75" i="6" s="1"/>
  <c r="R13" i="17"/>
  <c r="R14"/>
  <c r="R15"/>
  <c r="R16"/>
  <c r="R17"/>
  <c r="R18"/>
  <c r="R19"/>
  <c r="R20"/>
  <c r="R21"/>
  <c r="R22"/>
  <c r="R23"/>
  <c r="R24"/>
  <c r="R25"/>
  <c r="R26"/>
  <c r="R12"/>
  <c r="R11"/>
  <c r="R7"/>
  <c r="R1727" i="1"/>
  <c r="T1727"/>
  <c r="P1727"/>
  <c r="O1727"/>
  <c r="K1727"/>
  <c r="R1620"/>
  <c r="T1620"/>
  <c r="P1620"/>
  <c r="O1620"/>
  <c r="K1620"/>
  <c r="R1709"/>
  <c r="T1709"/>
  <c r="P1709"/>
  <c r="O1709"/>
  <c r="K1709"/>
  <c r="R1687"/>
  <c r="T1687"/>
  <c r="P1687"/>
  <c r="O1687"/>
  <c r="K1687"/>
  <c r="R1682"/>
  <c r="T1682"/>
  <c r="P1682"/>
  <c r="O1682"/>
  <c r="K1682"/>
  <c r="R1717"/>
  <c r="T1717"/>
  <c r="P1717"/>
  <c r="O1717"/>
  <c r="K1717"/>
  <c r="R1742"/>
  <c r="T1742"/>
  <c r="P1742"/>
  <c r="O1742"/>
  <c r="K1742"/>
  <c r="R1731"/>
  <c r="T1731"/>
  <c r="P1731"/>
  <c r="O1731"/>
  <c r="K1731"/>
  <c r="R1724"/>
  <c r="T1724"/>
  <c r="P1724"/>
  <c r="O1724"/>
  <c r="K1724"/>
  <c r="R1736"/>
  <c r="T1736"/>
  <c r="P1736"/>
  <c r="O1736"/>
  <c r="K1736"/>
  <c r="R1719"/>
  <c r="T1719"/>
  <c r="P1719"/>
  <c r="O1719"/>
  <c r="R1723"/>
  <c r="T1723"/>
  <c r="P1723"/>
  <c r="O1723"/>
  <c r="R1704"/>
  <c r="T1704"/>
  <c r="P1704"/>
  <c r="O1704"/>
  <c r="K1704"/>
  <c r="R1701" l="1"/>
  <c r="T1701"/>
  <c r="P1701"/>
  <c r="O1701"/>
  <c r="R1705"/>
  <c r="T1705"/>
  <c r="P1705"/>
  <c r="O1705"/>
  <c r="K1705"/>
  <c r="R1686"/>
  <c r="T1686"/>
  <c r="P1686"/>
  <c r="O1686"/>
  <c r="K1686"/>
  <c r="R1646"/>
  <c r="T1646"/>
  <c r="P1646"/>
  <c r="O1646"/>
  <c r="R1680"/>
  <c r="T1680"/>
  <c r="P1680"/>
  <c r="O1680"/>
  <c r="R1645"/>
  <c r="T1645"/>
  <c r="P1645"/>
  <c r="O1645"/>
  <c r="K1645"/>
  <c r="R1700"/>
  <c r="T1700"/>
  <c r="P1700"/>
  <c r="O1700"/>
  <c r="K1700"/>
  <c r="R1703"/>
  <c r="T1703"/>
  <c r="P1703"/>
  <c r="O1703"/>
  <c r="R1708"/>
  <c r="T1708"/>
  <c r="P1708"/>
  <c r="O1708"/>
  <c r="R1712" l="1"/>
  <c r="T1712"/>
  <c r="P1712"/>
  <c r="O1712"/>
  <c r="K1712"/>
  <c r="R1690" l="1"/>
  <c r="T1690"/>
  <c r="P1690"/>
  <c r="O1690"/>
  <c r="K1690"/>
  <c r="R1697"/>
  <c r="T1697"/>
  <c r="P1697"/>
  <c r="O1697"/>
  <c r="R1685"/>
  <c r="T1685"/>
  <c r="P1685"/>
  <c r="O1685"/>
  <c r="K1685"/>
  <c r="R1696" l="1"/>
  <c r="T1696"/>
  <c r="P1696"/>
  <c r="O1696"/>
  <c r="K1696"/>
  <c r="R1746"/>
  <c r="T1746"/>
  <c r="P1746"/>
  <c r="O1746"/>
  <c r="K1746"/>
  <c r="R1692"/>
  <c r="T1692"/>
  <c r="P1692"/>
  <c r="O1692"/>
  <c r="K1692"/>
  <c r="R1684"/>
  <c r="T1684"/>
  <c r="P1684"/>
  <c r="O1684"/>
  <c r="R1689"/>
  <c r="T1689"/>
  <c r="P1689"/>
  <c r="O1689"/>
  <c r="R1695"/>
  <c r="T1695"/>
  <c r="P1695"/>
  <c r="O1695"/>
  <c r="K1695"/>
  <c r="R1691"/>
  <c r="T1691"/>
  <c r="P1691"/>
  <c r="O1691"/>
  <c r="K1691"/>
  <c r="R1666" l="1"/>
  <c r="T1666"/>
  <c r="P1666"/>
  <c r="O1666"/>
  <c r="K1666"/>
  <c r="R1683"/>
  <c r="T1683"/>
  <c r="P1683"/>
  <c r="O1683"/>
  <c r="K1683"/>
  <c r="R1688"/>
  <c r="T1688"/>
  <c r="P1688"/>
  <c r="O1688"/>
  <c r="K1688"/>
  <c r="R1676"/>
  <c r="T1676"/>
  <c r="P1676"/>
  <c r="O1676"/>
  <c r="K1676"/>
  <c r="R1669" l="1"/>
  <c r="T1669"/>
  <c r="P1669"/>
  <c r="O1669"/>
  <c r="K1669"/>
  <c r="R1679"/>
  <c r="T1679"/>
  <c r="P1679"/>
  <c r="O1679"/>
  <c r="K1679"/>
  <c r="R1702"/>
  <c r="T1702"/>
  <c r="P1702"/>
  <c r="O1702"/>
  <c r="R1777"/>
  <c r="T1777"/>
  <c r="P1777"/>
  <c r="O1777"/>
  <c r="K1777"/>
  <c r="R1786"/>
  <c r="T1786"/>
  <c r="P1786"/>
  <c r="O1786"/>
  <c r="K1786"/>
  <c r="R1896"/>
  <c r="T1896"/>
  <c r="P1896"/>
  <c r="O1896"/>
  <c r="K1896"/>
  <c r="R1657"/>
  <c r="T1657"/>
  <c r="P1657"/>
  <c r="O1657"/>
  <c r="R1693"/>
  <c r="T1693"/>
  <c r="P1693"/>
  <c r="O1693"/>
  <c r="I76" i="28" l="1"/>
  <c r="D62" i="27"/>
  <c r="D7"/>
  <c r="R1617" i="1"/>
  <c r="T1617"/>
  <c r="P1617"/>
  <c r="O1617"/>
  <c r="T1611"/>
  <c r="P1611"/>
  <c r="O1611"/>
  <c r="R1588"/>
  <c r="T1588"/>
  <c r="P1588"/>
  <c r="O1588"/>
  <c r="R1662"/>
  <c r="T1662"/>
  <c r="P1662"/>
  <c r="O1662"/>
  <c r="R1668"/>
  <c r="T1668"/>
  <c r="P1668"/>
  <c r="O1668"/>
  <c r="K1668"/>
  <c r="R1667"/>
  <c r="T1667"/>
  <c r="P1667"/>
  <c r="O1667"/>
  <c r="K1667"/>
  <c r="D72" i="27" l="1"/>
  <c r="D71"/>
  <c r="T1675" i="1"/>
  <c r="P1675"/>
  <c r="O1675"/>
  <c r="R1655"/>
  <c r="T1655"/>
  <c r="P1655"/>
  <c r="O1655"/>
  <c r="R1674"/>
  <c r="T1674"/>
  <c r="P1674"/>
  <c r="O1674"/>
  <c r="K1674"/>
  <c r="R1729" l="1"/>
  <c r="T1729"/>
  <c r="P1729"/>
  <c r="O1729"/>
  <c r="K1729"/>
  <c r="R1699"/>
  <c r="T1699"/>
  <c r="P1699"/>
  <c r="O1699"/>
  <c r="K1699"/>
  <c r="R1665"/>
  <c r="T1665"/>
  <c r="P1665"/>
  <c r="O1665"/>
  <c r="R1664"/>
  <c r="T1664"/>
  <c r="P1664"/>
  <c r="O1664"/>
  <c r="K1664"/>
  <c r="R1663"/>
  <c r="T1663"/>
  <c r="P1663"/>
  <c r="O1663"/>
  <c r="K1663"/>
  <c r="R1651"/>
  <c r="T1651"/>
  <c r="P1651"/>
  <c r="O1651"/>
  <c r="R1650" l="1"/>
  <c r="T1650"/>
  <c r="P1650"/>
  <c r="O1650"/>
  <c r="K1650"/>
  <c r="R1661"/>
  <c r="T1661"/>
  <c r="P1661"/>
  <c r="O1661"/>
  <c r="R1678"/>
  <c r="T1678"/>
  <c r="P1678"/>
  <c r="O1678"/>
  <c r="K1678"/>
  <c r="R1673" l="1"/>
  <c r="T1673"/>
  <c r="P1673"/>
  <c r="O1673"/>
  <c r="T1656"/>
  <c r="P1656"/>
  <c r="O1656"/>
  <c r="R1851"/>
  <c r="D13" i="27" s="1"/>
  <c r="T1851" i="1"/>
  <c r="P1851"/>
  <c r="O1851"/>
  <c r="K20" i="25" s="1"/>
  <c r="K1851" i="1"/>
  <c r="R1643"/>
  <c r="T1643"/>
  <c r="P1643"/>
  <c r="O1643"/>
  <c r="K1643"/>
  <c r="R1654"/>
  <c r="T1654"/>
  <c r="P1654"/>
  <c r="O1654"/>
  <c r="J75" i="17" l="1"/>
  <c r="R1660" i="1"/>
  <c r="T1660"/>
  <c r="P1660"/>
  <c r="O1660"/>
  <c r="R1631" l="1"/>
  <c r="T1631"/>
  <c r="P1631"/>
  <c r="O1631"/>
  <c r="K1631"/>
  <c r="R1672" l="1"/>
  <c r="T1672"/>
  <c r="P1672"/>
  <c r="O1672"/>
  <c r="R1576"/>
  <c r="T1576"/>
  <c r="P1576"/>
  <c r="O1576"/>
  <c r="K1576"/>
  <c r="R1616"/>
  <c r="T1616"/>
  <c r="P1616"/>
  <c r="O1616"/>
  <c r="K1616"/>
  <c r="R1653"/>
  <c r="T1653"/>
  <c r="P1653"/>
  <c r="O1653"/>
  <c r="K1653"/>
  <c r="R1640"/>
  <c r="T1640"/>
  <c r="P1640"/>
  <c r="O1640"/>
  <c r="K1640"/>
  <c r="J74" i="17"/>
  <c r="J73"/>
  <c r="V495" i="1"/>
  <c r="V1967"/>
  <c r="V291"/>
  <c r="V1172"/>
  <c r="V314"/>
  <c r="V1393"/>
  <c r="V211"/>
  <c r="V1174"/>
  <c r="V1860"/>
  <c r="V1469"/>
  <c r="V1935"/>
  <c r="V1124"/>
  <c r="V325"/>
  <c r="V714"/>
  <c r="V638"/>
  <c r="V221"/>
  <c r="V1919"/>
  <c r="V359"/>
  <c r="V836"/>
  <c r="V1699"/>
  <c r="V956"/>
  <c r="V860"/>
  <c r="V656"/>
  <c r="V488"/>
  <c r="V1684"/>
  <c r="V927"/>
  <c r="V100"/>
  <c r="V159"/>
  <c r="V274"/>
  <c r="V175"/>
  <c r="V1397"/>
  <c r="V397"/>
  <c r="V1529"/>
  <c r="V771"/>
  <c r="V630"/>
  <c r="V1615"/>
  <c r="V312"/>
  <c r="V1346"/>
  <c r="V148"/>
  <c r="V1503"/>
  <c r="V754"/>
  <c r="V887"/>
  <c r="V1682"/>
  <c r="V493"/>
  <c r="V1741"/>
  <c r="V1815"/>
  <c r="V1237"/>
  <c r="V1055"/>
  <c r="V1088"/>
  <c r="V149"/>
  <c r="V29"/>
  <c r="V1321"/>
  <c r="V806"/>
  <c r="V244"/>
  <c r="V288"/>
  <c r="V1178"/>
  <c r="V1939"/>
  <c r="V1119"/>
  <c r="V723"/>
  <c r="V1955"/>
  <c r="V1240"/>
  <c r="V1400"/>
  <c r="V130"/>
  <c r="V464"/>
  <c r="V191"/>
  <c r="V637"/>
  <c r="V1350"/>
  <c r="V1944"/>
  <c r="V413"/>
  <c r="V51"/>
  <c r="V1090"/>
  <c r="V1640"/>
  <c r="V958"/>
  <c r="V1461"/>
  <c r="V1330"/>
  <c r="V1268"/>
  <c r="V1497"/>
  <c r="V79"/>
  <c r="V1427"/>
  <c r="V337"/>
  <c r="V1821"/>
  <c r="V1505"/>
  <c r="V722"/>
  <c r="V847"/>
  <c r="V143"/>
  <c r="V834"/>
  <c r="V1417"/>
  <c r="V1630"/>
  <c r="V327"/>
  <c r="V567"/>
  <c r="V899"/>
  <c r="V1583"/>
  <c r="V1075"/>
  <c r="V1576"/>
  <c r="V1195"/>
  <c r="V80"/>
  <c r="V589"/>
  <c r="V305"/>
  <c r="V433"/>
  <c r="V1907"/>
  <c r="V1534"/>
  <c r="V627"/>
  <c r="V1797"/>
  <c r="V1449"/>
  <c r="V118"/>
  <c r="V1661"/>
  <c r="V876"/>
  <c r="V1645"/>
  <c r="V967"/>
  <c r="V1669"/>
  <c r="V339"/>
  <c r="V1551"/>
  <c r="V624"/>
  <c r="V820"/>
  <c r="V1572"/>
  <c r="V1566"/>
  <c r="V128"/>
  <c r="V1128"/>
  <c r="V322"/>
  <c r="V797"/>
  <c r="V679"/>
  <c r="V455"/>
  <c r="V1913"/>
  <c r="V1704"/>
  <c r="V1835"/>
  <c r="V457"/>
  <c r="V1553"/>
  <c r="V1829"/>
  <c r="V385"/>
  <c r="V231"/>
  <c r="V1598"/>
  <c r="V1235"/>
  <c r="V1287"/>
  <c r="V1116"/>
  <c r="V511"/>
  <c r="V1059"/>
  <c r="V476"/>
  <c r="V1854"/>
  <c r="V1942"/>
  <c r="V1711"/>
  <c r="V316"/>
  <c r="V1809"/>
  <c r="V313"/>
  <c r="V829"/>
  <c r="V1098"/>
  <c r="V1011"/>
  <c r="V873"/>
  <c r="V1506"/>
  <c r="V850"/>
  <c r="V98"/>
  <c r="V841"/>
  <c r="V925"/>
  <c r="V1457"/>
  <c r="V1649"/>
  <c r="V1988"/>
  <c r="V1112"/>
  <c r="V1083"/>
  <c r="V208"/>
  <c r="V311"/>
  <c r="V401"/>
  <c r="V986"/>
  <c r="V411"/>
  <c r="V1538"/>
  <c r="V1015"/>
  <c r="V1263"/>
  <c r="V1046"/>
  <c r="V1918"/>
  <c r="V1770"/>
  <c r="V1290"/>
  <c r="V996"/>
  <c r="V35"/>
  <c r="V1351"/>
  <c r="V335"/>
  <c r="V1293"/>
  <c r="V1338"/>
  <c r="V165"/>
  <c r="V1910"/>
  <c r="V1951"/>
  <c r="V815"/>
  <c r="V1888"/>
  <c r="V27"/>
  <c r="V508"/>
  <c r="V170"/>
  <c r="V223"/>
  <c r="V867"/>
  <c r="V977"/>
  <c r="V1357"/>
  <c r="V1728"/>
  <c r="V640"/>
  <c r="V412"/>
  <c r="V950"/>
  <c r="V1099"/>
  <c r="V1146"/>
  <c r="V869"/>
  <c r="V514"/>
  <c r="V1541"/>
  <c r="V1607"/>
  <c r="V1963"/>
  <c r="V215"/>
  <c r="V375"/>
  <c r="V152"/>
  <c r="V166"/>
  <c r="V1412"/>
  <c r="V50"/>
  <c r="V1690"/>
  <c r="V623"/>
  <c r="V781"/>
  <c r="V1307"/>
  <c r="V1832"/>
  <c r="V906"/>
  <c r="V146"/>
  <c r="V667"/>
  <c r="V704"/>
  <c r="V659"/>
  <c r="V1089"/>
  <c r="V111"/>
  <c r="V173"/>
  <c r="V1633"/>
  <c r="V1296"/>
  <c r="V1329"/>
  <c r="V1378"/>
  <c r="V1779"/>
  <c r="V324"/>
  <c r="V772"/>
  <c r="V1315"/>
  <c r="V559"/>
  <c r="V1106"/>
  <c r="V113"/>
  <c r="V802"/>
  <c r="V1085"/>
  <c r="V181"/>
  <c r="V1491"/>
  <c r="V362"/>
  <c r="V1687"/>
  <c r="V24"/>
  <c r="V1190"/>
  <c r="V672"/>
  <c r="V1041"/>
  <c r="V1026"/>
  <c r="V64"/>
  <c r="V233"/>
  <c r="V768"/>
  <c r="V1600"/>
  <c r="V81"/>
  <c r="V1795"/>
  <c r="V1490"/>
  <c r="V882"/>
  <c r="V547"/>
  <c r="V1911"/>
  <c r="V1432"/>
  <c r="V823"/>
  <c r="V1550"/>
  <c r="V564"/>
  <c r="V250"/>
  <c r="V936"/>
  <c r="V242"/>
  <c r="V1093"/>
  <c r="V1833"/>
  <c r="V531"/>
  <c r="V1564"/>
  <c r="V379"/>
  <c r="V807"/>
  <c r="V1752"/>
  <c r="V769"/>
  <c r="V361"/>
  <c r="V123"/>
  <c r="V1086"/>
  <c r="V865"/>
  <c r="V1300"/>
  <c r="V394"/>
  <c r="V467"/>
  <c r="V1076"/>
  <c r="V828"/>
  <c r="V1459"/>
  <c r="V1348"/>
  <c r="V692"/>
  <c r="V1197"/>
  <c r="V974"/>
  <c r="V1555"/>
  <c r="V53"/>
  <c r="V944"/>
  <c r="V1893"/>
  <c r="V503"/>
  <c r="V1830"/>
  <c r="V846"/>
  <c r="V1426"/>
  <c r="V1727"/>
  <c r="V731"/>
  <c r="V1295"/>
  <c r="V533"/>
  <c r="V1071"/>
  <c r="V1185"/>
  <c r="V1243"/>
  <c r="V580"/>
  <c r="V1141"/>
  <c r="V1627"/>
  <c r="V1724"/>
  <c r="V97"/>
  <c r="V286"/>
  <c r="V652"/>
  <c r="V817"/>
  <c r="V1842"/>
  <c r="V1664"/>
  <c r="V803"/>
  <c r="V1110"/>
  <c r="V527"/>
  <c r="V1313"/>
  <c r="V980"/>
  <c r="V1087"/>
  <c r="V1337"/>
  <c r="V1718"/>
  <c r="V1840"/>
  <c r="V1084"/>
  <c r="V1581"/>
  <c r="V934"/>
  <c r="V1435"/>
  <c r="V1571"/>
  <c r="V1995"/>
  <c r="V1590"/>
  <c r="V1819"/>
  <c r="V1693"/>
  <c r="V1140"/>
  <c r="V594"/>
  <c r="V609"/>
  <c r="V460"/>
  <c r="V235"/>
  <c r="V606"/>
  <c r="V75"/>
  <c r="V116"/>
  <c r="V1038"/>
  <c r="V1974"/>
  <c r="V1667"/>
  <c r="V196"/>
  <c r="V8"/>
  <c r="V20"/>
  <c r="V210"/>
  <c r="V1130"/>
  <c r="V1544"/>
  <c r="V600"/>
  <c r="V47"/>
  <c r="V753"/>
  <c r="V1298"/>
  <c r="V1065"/>
  <c r="V544"/>
  <c r="V92"/>
  <c r="V1612"/>
  <c r="V225"/>
  <c r="V369"/>
  <c r="V1857"/>
  <c r="V1605"/>
  <c r="V1569"/>
  <c r="V46"/>
  <c r="V818"/>
  <c r="V1183"/>
  <c r="V1381"/>
  <c r="V989"/>
  <c r="V1024"/>
  <c r="V28"/>
  <c r="V1574"/>
  <c r="V1264"/>
  <c r="V524"/>
  <c r="V1791"/>
  <c r="V833"/>
  <c r="V1897"/>
  <c r="V1058"/>
  <c r="V3"/>
  <c r="V1861"/>
  <c r="V468"/>
  <c r="V1945"/>
  <c r="V386"/>
  <c r="V1168"/>
  <c r="V837"/>
  <c r="V1335"/>
  <c r="V1217"/>
  <c r="V1269"/>
  <c r="V1395"/>
  <c r="V104"/>
  <c r="V499"/>
  <c r="V238"/>
  <c r="V23"/>
  <c r="V294"/>
  <c r="V1251"/>
  <c r="V1419"/>
  <c r="V280"/>
  <c r="V1377"/>
  <c r="V1424"/>
  <c r="V1339"/>
  <c r="V1334"/>
  <c r="V1558"/>
  <c r="V194"/>
  <c r="V942"/>
  <c r="V550"/>
  <c r="V1064"/>
  <c r="V1023"/>
  <c r="V1104"/>
  <c r="V894"/>
  <c r="V366"/>
  <c r="V383"/>
  <c r="V363"/>
  <c r="V1701"/>
  <c r="V392"/>
  <c r="V421"/>
  <c r="V254"/>
  <c r="V1956"/>
  <c r="V1729"/>
  <c r="V69"/>
  <c r="V811"/>
  <c r="V300"/>
  <c r="V1494"/>
  <c r="V1578"/>
  <c r="V1820"/>
  <c r="V1761"/>
  <c r="V973"/>
  <c r="V1234"/>
  <c r="V962"/>
  <c r="V785"/>
  <c r="V1405"/>
  <c r="V1904"/>
  <c r="V1928"/>
  <c r="V169"/>
  <c r="V607"/>
  <c r="V354"/>
  <c r="V1560"/>
  <c r="V1458"/>
  <c r="V1310"/>
  <c r="V1475"/>
  <c r="V458"/>
  <c r="V370"/>
  <c r="V685"/>
  <c r="V1929"/>
  <c r="V788"/>
  <c r="V382"/>
  <c r="V787"/>
  <c r="V121"/>
  <c r="V1899"/>
  <c r="V729"/>
  <c r="V1673"/>
  <c r="V1803"/>
  <c r="V1676"/>
  <c r="V1556"/>
  <c r="V41"/>
  <c r="V376"/>
  <c r="V924"/>
  <c r="V1209"/>
  <c r="V1651"/>
  <c r="V913"/>
  <c r="V1852"/>
  <c r="V1107"/>
  <c r="V1210"/>
  <c r="V449"/>
  <c r="V1049"/>
  <c r="V695"/>
  <c r="V1131"/>
  <c r="V821"/>
  <c r="V263"/>
  <c r="V1227"/>
  <c r="V1610"/>
  <c r="V260"/>
  <c r="V1455"/>
  <c r="V733"/>
  <c r="V1201"/>
  <c r="V1206"/>
  <c r="V1732"/>
  <c r="V1977"/>
  <c r="V12"/>
  <c r="V1594"/>
  <c r="V1713"/>
  <c r="V1698"/>
  <c r="V492"/>
  <c r="V1754"/>
  <c r="V491"/>
  <c r="V975"/>
  <c r="V239"/>
  <c r="V1936"/>
  <c r="V1159"/>
  <c r="V1331"/>
  <c r="V995"/>
  <c r="V303"/>
  <c r="V172"/>
  <c r="V1524"/>
  <c r="V937"/>
  <c r="V487"/>
  <c r="V1657"/>
  <c r="V697"/>
  <c r="V822"/>
  <c r="V693"/>
  <c r="V1483"/>
  <c r="V228"/>
  <c r="V329"/>
  <c r="V670"/>
  <c r="V1666"/>
  <c r="V480"/>
  <c r="V417"/>
  <c r="V1308"/>
  <c r="V1762"/>
  <c r="V99"/>
  <c r="V451"/>
  <c r="V373"/>
  <c r="V1030"/>
  <c r="V1644"/>
  <c r="V485"/>
  <c r="V683"/>
  <c r="V1273"/>
  <c r="V348"/>
  <c r="V1254"/>
  <c r="V1151"/>
  <c r="V1540"/>
  <c r="V1482"/>
  <c r="V1278"/>
  <c r="V1184"/>
  <c r="V719"/>
  <c r="V1881"/>
  <c r="V49"/>
  <c r="V1817"/>
  <c r="V1022"/>
  <c r="V414"/>
  <c r="V267"/>
  <c r="V1001"/>
  <c r="V443"/>
  <c r="V748"/>
  <c r="V1100"/>
  <c r="V1438"/>
  <c r="V1537"/>
  <c r="V126"/>
  <c r="V473"/>
  <c r="V147"/>
  <c r="V1132"/>
  <c r="V89"/>
  <c r="V1476"/>
  <c r="V902"/>
  <c r="V642"/>
  <c r="V1363"/>
  <c r="V658"/>
  <c r="V812"/>
  <c r="V295"/>
  <c r="V139"/>
  <c r="V338"/>
  <c r="V742"/>
  <c r="V1606"/>
  <c r="V479"/>
  <c r="V620"/>
  <c r="V1683"/>
  <c r="V991"/>
  <c r="V921"/>
  <c r="V1040"/>
  <c r="V830"/>
  <c r="V1460"/>
  <c r="V1828"/>
  <c r="V932"/>
  <c r="V1927"/>
  <c r="V319"/>
  <c r="V1207"/>
  <c r="V283"/>
  <c r="V1103"/>
  <c r="V140"/>
  <c r="V1875"/>
  <c r="V177"/>
  <c r="V83"/>
  <c r="V1567"/>
  <c r="V1523"/>
  <c r="V1236"/>
  <c r="V1703"/>
  <c r="V1781"/>
  <c r="V399"/>
  <c r="V1472"/>
  <c r="V1479"/>
  <c r="V599"/>
  <c r="V1311"/>
  <c r="V1272"/>
  <c r="V287"/>
  <c r="V1333"/>
  <c r="V1176"/>
  <c r="V819"/>
  <c r="V501"/>
  <c r="V1463"/>
  <c r="V543"/>
  <c r="V523"/>
  <c r="V38"/>
  <c r="V1117"/>
  <c r="V264"/>
  <c r="V1358"/>
  <c r="V1525"/>
  <c r="V573"/>
  <c r="V117"/>
  <c r="V450"/>
  <c r="V214"/>
  <c r="V1253"/>
  <c r="V1288"/>
  <c r="V518"/>
  <c r="V434"/>
  <c r="V915"/>
  <c r="V696"/>
  <c r="V1451"/>
  <c r="V1719"/>
  <c r="V1281"/>
  <c r="V618"/>
  <c r="V648"/>
  <c r="V1969"/>
  <c r="V429"/>
  <c r="V127"/>
  <c r="V1851"/>
  <c r="V344"/>
  <c r="V1294"/>
  <c r="V1082"/>
  <c r="V1772"/>
  <c r="V662"/>
  <c r="V992"/>
  <c r="V953"/>
  <c r="V1246"/>
  <c r="V1325"/>
  <c r="V345"/>
  <c r="V595"/>
  <c r="V1916"/>
  <c r="V179"/>
  <c r="V631"/>
  <c r="V1380"/>
  <c r="V31"/>
  <c r="V1759"/>
  <c r="V946"/>
  <c r="V1017"/>
  <c r="V463"/>
  <c r="V1923"/>
  <c r="V1662"/>
  <c r="V380"/>
  <c r="V1617"/>
  <c r="V1398"/>
  <c r="V259"/>
  <c r="V388"/>
  <c r="V881"/>
  <c r="V590"/>
  <c r="V422"/>
  <c r="V470"/>
  <c r="V1588"/>
  <c r="V1352"/>
  <c r="V522"/>
  <c r="V1408"/>
  <c r="V227"/>
  <c r="V715"/>
  <c r="V1885"/>
  <c r="V1871"/>
  <c r="V398"/>
  <c r="V1573"/>
  <c r="V1518"/>
  <c r="V1219"/>
  <c r="V933"/>
  <c r="V407"/>
  <c r="V432"/>
  <c r="V896"/>
  <c r="V112"/>
  <c r="V222"/>
  <c r="V497"/>
  <c r="V588"/>
  <c r="V1445"/>
  <c r="V1650"/>
  <c r="V1069"/>
  <c r="V1774"/>
  <c r="V1898"/>
  <c r="V1639"/>
  <c r="V1579"/>
  <c r="V289"/>
  <c r="V622"/>
  <c r="V597"/>
  <c r="V1366"/>
  <c r="V1478"/>
  <c r="V602"/>
  <c r="V1009"/>
  <c r="V164"/>
  <c r="V1877"/>
  <c r="V1671"/>
  <c r="V1376"/>
  <c r="V55"/>
  <c r="V1208"/>
  <c r="V814"/>
  <c r="V13"/>
  <c r="V285"/>
  <c r="V131"/>
  <c r="V984"/>
  <c r="V255"/>
  <c r="V1792"/>
  <c r="V571"/>
  <c r="V848"/>
  <c r="V739"/>
  <c r="V1226"/>
  <c r="V387"/>
  <c r="V426"/>
  <c r="V603"/>
  <c r="V490"/>
  <c r="V629"/>
  <c r="V1763"/>
  <c r="V713"/>
  <c r="V336"/>
  <c r="V1224"/>
  <c r="V593"/>
  <c r="V1439"/>
  <c r="V1045"/>
  <c r="V61"/>
  <c r="V1592"/>
  <c r="V888"/>
  <c r="V964"/>
  <c r="V1847"/>
  <c r="V356"/>
  <c r="V1584"/>
  <c r="V943"/>
  <c r="V1039"/>
  <c r="V381"/>
  <c r="V1139"/>
  <c r="V530"/>
  <c r="V1127"/>
  <c r="V372"/>
  <c r="V1597"/>
  <c r="V446"/>
  <c r="V528"/>
  <c r="V1838"/>
  <c r="V178"/>
  <c r="V808"/>
  <c r="V1846"/>
  <c r="V615"/>
  <c r="V415"/>
  <c r="V484"/>
  <c r="V1848"/>
  <c r="V832"/>
  <c r="V1794"/>
  <c r="V265"/>
  <c r="V560"/>
  <c r="V1810"/>
  <c r="V634"/>
  <c r="V129"/>
  <c r="V1359"/>
  <c r="V1688"/>
  <c r="V1856"/>
  <c r="V770"/>
  <c r="V871"/>
  <c r="V1705"/>
  <c r="V245"/>
  <c r="V1054"/>
  <c r="V929"/>
  <c r="V19"/>
  <c r="V1738"/>
  <c r="V471"/>
  <c r="V1003"/>
  <c r="V1094"/>
  <c r="V646"/>
  <c r="V409"/>
  <c r="V1410"/>
  <c r="V1341"/>
  <c r="V725"/>
  <c r="V1912"/>
  <c r="V1005"/>
  <c r="V1933"/>
  <c r="V1164"/>
  <c r="V1007"/>
  <c r="V410"/>
  <c r="V885"/>
  <c r="V427"/>
  <c r="V1096"/>
  <c r="V535"/>
  <c r="V1411"/>
  <c r="V752"/>
  <c r="V1430"/>
  <c r="V1000"/>
  <c r="V1448"/>
  <c r="V192"/>
  <c r="V91"/>
  <c r="V203"/>
  <c r="V59"/>
  <c r="V145"/>
  <c r="V1769"/>
  <c r="V1328"/>
  <c r="V764"/>
  <c r="V1519"/>
  <c r="V1216"/>
  <c r="V447"/>
  <c r="V954"/>
  <c r="V251"/>
  <c r="V1317"/>
  <c r="V1044"/>
  <c r="V1473"/>
  <c r="V1060"/>
  <c r="V252"/>
  <c r="V405"/>
  <c r="V1265"/>
  <c r="V437"/>
  <c r="V368"/>
  <c r="V534"/>
  <c r="V1886"/>
  <c r="V777"/>
  <c r="V482"/>
  <c r="V690"/>
  <c r="V1532"/>
  <c r="V1033"/>
  <c r="V86"/>
  <c r="V1526"/>
  <c r="V916"/>
  <c r="V786"/>
  <c r="V57"/>
  <c r="V947"/>
  <c r="V1079"/>
  <c r="V1508"/>
  <c r="V1745"/>
  <c r="V1133"/>
  <c r="V137"/>
  <c r="V654"/>
  <c r="V824"/>
  <c r="V1305"/>
  <c r="V1373"/>
  <c r="V408"/>
  <c r="V1488"/>
  <c r="V1648"/>
  <c r="V1608"/>
  <c r="V1921"/>
  <c r="V653"/>
  <c r="V1238"/>
  <c r="V328"/>
  <c r="V1277"/>
  <c r="V310"/>
  <c r="V1675"/>
  <c r="V315"/>
  <c r="V1145"/>
  <c r="V1121"/>
  <c r="V1256"/>
  <c r="V502"/>
  <c r="V1531"/>
  <c r="V691"/>
  <c r="V1480"/>
  <c r="V391"/>
  <c r="V755"/>
  <c r="V970"/>
  <c r="V1166"/>
  <c r="V912"/>
  <c r="V1513"/>
  <c r="V553"/>
  <c r="V1771"/>
  <c r="V981"/>
  <c r="V1019"/>
  <c r="V1777"/>
  <c r="V1800"/>
  <c r="V281"/>
  <c r="V1327"/>
  <c r="V481"/>
  <c r="V1229"/>
  <c r="V838"/>
  <c r="V304"/>
  <c r="V783"/>
  <c r="V983"/>
  <c r="V949"/>
  <c r="V114"/>
  <c r="V1320"/>
  <c r="V1186"/>
  <c r="V1751"/>
  <c r="V1908"/>
  <c r="V561"/>
  <c r="V1428"/>
  <c r="V1415"/>
  <c r="V728"/>
  <c r="V1906"/>
  <c r="V1487"/>
  <c r="V666"/>
  <c r="V939"/>
  <c r="V1943"/>
  <c r="V864"/>
  <c r="V1844"/>
  <c r="V641"/>
  <c r="V854"/>
  <c r="V1914"/>
  <c r="V1114"/>
  <c r="V1484"/>
  <c r="V792"/>
  <c r="V699"/>
  <c r="V438"/>
  <c r="V578"/>
  <c r="V1453"/>
  <c r="V990"/>
  <c r="V1621"/>
  <c r="V218"/>
  <c r="V569"/>
  <c r="V831"/>
  <c r="V115"/>
  <c r="V1864"/>
  <c r="V163"/>
  <c r="V563"/>
  <c r="V1509"/>
  <c r="V1324"/>
  <c r="V365"/>
  <c r="V21"/>
  <c r="V14"/>
  <c r="V474"/>
  <c r="V1892"/>
  <c r="V1520"/>
  <c r="V1020"/>
  <c r="V500"/>
  <c r="V884"/>
  <c r="V82"/>
  <c r="V256"/>
  <c r="V702"/>
  <c r="V767"/>
  <c r="V1514"/>
  <c r="V1624"/>
  <c r="V273"/>
  <c r="V1542"/>
  <c r="V269"/>
  <c r="V466"/>
  <c r="V444"/>
  <c r="V1813"/>
  <c r="V419"/>
  <c r="V1211"/>
  <c r="V1710"/>
  <c r="V507"/>
  <c r="V644"/>
  <c r="V1102"/>
  <c r="V1582"/>
  <c r="V1654"/>
  <c r="V416"/>
  <c r="V1894"/>
  <c r="V1368"/>
  <c r="V516"/>
  <c r="V705"/>
  <c r="V297"/>
  <c r="V698"/>
  <c r="V793"/>
  <c r="V1051"/>
  <c r="V77"/>
  <c r="V1399"/>
  <c r="V293"/>
  <c r="V710"/>
  <c r="V1825"/>
  <c r="V784"/>
  <c r="V420"/>
  <c r="V1122"/>
  <c r="V1465"/>
  <c r="V558"/>
  <c r="V791"/>
  <c r="V1989"/>
  <c r="V1717"/>
  <c r="V1790"/>
  <c r="V1736"/>
  <c r="V1262"/>
  <c r="V1391"/>
  <c r="V863"/>
  <c r="V1258"/>
  <c r="V271"/>
  <c r="V1031"/>
  <c r="V548"/>
  <c r="V570"/>
  <c r="V1027"/>
  <c r="V425"/>
  <c r="V1850"/>
  <c r="V1647"/>
  <c r="V9"/>
  <c r="V1230"/>
  <c r="V93"/>
  <c r="V512"/>
  <c r="V1527"/>
  <c r="V720"/>
  <c r="V483"/>
  <c r="V1796"/>
  <c r="V565"/>
  <c r="V436"/>
  <c r="V1966"/>
  <c r="V156"/>
  <c r="V1501"/>
  <c r="V862"/>
  <c r="V1516"/>
  <c r="V859"/>
  <c r="V1618"/>
  <c r="V649"/>
  <c r="V277"/>
  <c r="V72"/>
  <c r="V1322"/>
  <c r="V1409"/>
  <c r="V1816"/>
  <c r="V1686"/>
  <c r="V680"/>
  <c r="V1768"/>
  <c r="V1429"/>
  <c r="V1057"/>
  <c r="V62"/>
  <c r="V84"/>
  <c r="V1062"/>
  <c r="V1677"/>
  <c r="V1420"/>
  <c r="V515"/>
  <c r="V342"/>
  <c r="V1748"/>
  <c r="V1371"/>
  <c r="V32"/>
  <c r="V520"/>
  <c r="V18"/>
  <c r="V1814"/>
  <c r="V1029"/>
  <c r="V124"/>
  <c r="V1539"/>
  <c r="V1535"/>
  <c r="V320"/>
  <c r="V1521"/>
  <c r="V875"/>
  <c r="V1952"/>
  <c r="V378"/>
  <c r="V718"/>
  <c r="V1375"/>
  <c r="V674"/>
  <c r="V353"/>
  <c r="V1407"/>
  <c r="V1369"/>
  <c r="V180"/>
  <c r="V1004"/>
  <c r="V141"/>
  <c r="V613"/>
  <c r="V730"/>
  <c r="V1292"/>
  <c r="V299"/>
  <c r="V1780"/>
  <c r="V1660"/>
  <c r="V1979"/>
  <c r="V1775"/>
  <c r="V1665"/>
  <c r="V773"/>
  <c r="V1890"/>
  <c r="V1345"/>
  <c r="V232"/>
  <c r="V717"/>
  <c r="V1125"/>
  <c r="V750"/>
  <c r="V1205"/>
  <c r="V1418"/>
  <c r="V1433"/>
  <c r="V122"/>
  <c r="V1113"/>
  <c r="V910"/>
  <c r="V1575"/>
  <c r="V358"/>
  <c r="V1323"/>
  <c r="V1715"/>
  <c r="V1179"/>
  <c r="V724"/>
  <c r="V1625"/>
  <c r="V541"/>
  <c r="V1361"/>
  <c r="V70"/>
  <c r="V1504"/>
  <c r="V489"/>
  <c r="V993"/>
  <c r="V1191"/>
  <c r="V857"/>
  <c r="V1067"/>
  <c r="V1585"/>
  <c r="V907"/>
  <c r="V1271"/>
  <c r="V1975"/>
  <c r="V278"/>
  <c r="V1743"/>
  <c r="V396"/>
  <c r="V1634"/>
  <c r="V601"/>
  <c r="V1153"/>
  <c r="V26"/>
  <c r="V712"/>
  <c r="V1468"/>
  <c r="V1261"/>
  <c r="V1097"/>
  <c r="V1286"/>
  <c r="V1968"/>
  <c r="V136"/>
  <c r="V1874"/>
  <c r="V1073"/>
  <c r="V826"/>
  <c r="V257"/>
  <c r="V1869"/>
  <c r="V689"/>
  <c r="V616"/>
  <c r="V1477"/>
  <c r="V1199"/>
  <c r="V1434"/>
  <c r="V790"/>
  <c r="V1678"/>
  <c r="V678"/>
  <c r="V1492"/>
  <c r="V1602"/>
  <c r="V1021"/>
  <c r="V1436"/>
  <c r="V994"/>
  <c r="V1367"/>
  <c r="V661"/>
  <c r="V579"/>
  <c r="V1248"/>
  <c r="V216"/>
  <c r="V377"/>
  <c r="V1903"/>
  <c r="V292"/>
  <c r="V1275"/>
  <c r="V454"/>
  <c r="V727"/>
  <c r="V1306"/>
  <c r="V760"/>
  <c r="V1867"/>
  <c r="V1126"/>
  <c r="V183"/>
  <c r="V1961"/>
  <c r="V1160"/>
  <c r="V1383"/>
  <c r="V1947"/>
  <c r="V1374"/>
  <c r="V1464"/>
  <c r="V496"/>
  <c r="V1343"/>
  <c r="V1247"/>
  <c r="V1970"/>
  <c r="V751"/>
  <c r="V7"/>
  <c r="V1767"/>
  <c r="V1080"/>
  <c r="V1180"/>
  <c r="V1758"/>
  <c r="V1014"/>
  <c r="V1188"/>
  <c r="V1249"/>
  <c r="V872"/>
  <c r="V919"/>
  <c r="V686"/>
  <c r="V30"/>
  <c r="V568"/>
  <c r="V1105"/>
  <c r="V853"/>
  <c r="V1785"/>
  <c r="V789"/>
  <c r="V1043"/>
  <c r="V1731"/>
  <c r="V1695"/>
  <c r="V1793"/>
  <c r="V1712"/>
  <c r="V1739"/>
  <c r="V22"/>
  <c r="V185"/>
  <c r="V809"/>
  <c r="V25"/>
  <c r="V1586"/>
  <c r="V611"/>
  <c r="V1957"/>
  <c r="V1839"/>
  <c r="V1404"/>
  <c r="V16"/>
  <c r="V1909"/>
  <c r="V334"/>
  <c r="V253"/>
  <c r="V1101"/>
  <c r="V776"/>
  <c r="V647"/>
  <c r="V1707"/>
  <c r="V1143"/>
  <c r="V1922"/>
  <c r="V282"/>
  <c r="V154"/>
  <c r="V1502"/>
  <c r="V1245"/>
  <c r="V1628"/>
  <c r="V1353"/>
  <c r="V66"/>
  <c r="V1267"/>
  <c r="V158"/>
  <c r="V605"/>
  <c r="V1528"/>
  <c r="V439"/>
  <c r="V555"/>
  <c r="V1720"/>
  <c r="V107"/>
  <c r="V1220"/>
  <c r="V1735"/>
  <c r="V1870"/>
  <c r="V56"/>
  <c r="V675"/>
  <c r="V1403"/>
  <c r="V549"/>
  <c r="V486"/>
  <c r="V585"/>
  <c r="V861"/>
  <c r="V54"/>
  <c r="V856"/>
  <c r="V909"/>
  <c r="V1653"/>
  <c r="V761"/>
  <c r="V961"/>
  <c r="V1250"/>
  <c r="V1938"/>
  <c r="V204"/>
  <c r="V17"/>
  <c r="V979"/>
  <c r="V1152"/>
  <c r="V1181"/>
  <c r="V1533"/>
  <c r="V621"/>
  <c r="V241"/>
  <c r="V1784"/>
  <c r="V44"/>
  <c r="V1137"/>
  <c r="V1730"/>
  <c r="V734"/>
  <c r="V1568"/>
  <c r="V655"/>
  <c r="V74"/>
  <c r="V800"/>
  <c r="V209"/>
  <c r="V110"/>
  <c r="V959"/>
  <c r="V758"/>
  <c r="V142"/>
  <c r="V36"/>
  <c r="V893"/>
  <c r="V224"/>
  <c r="V1291"/>
  <c r="V1882"/>
  <c r="V619"/>
  <c r="V922"/>
  <c r="V45"/>
  <c r="V969"/>
  <c r="V134"/>
  <c r="V135"/>
  <c r="V592"/>
  <c r="V587"/>
  <c r="V1818"/>
  <c r="V1563"/>
  <c r="V400"/>
  <c r="V341"/>
  <c r="V395"/>
  <c r="V1804"/>
  <c r="V1723"/>
  <c r="V1304"/>
  <c r="V1577"/>
  <c r="V171"/>
  <c r="V1157"/>
  <c r="V596"/>
  <c r="V849"/>
  <c r="V1299"/>
  <c r="V1652"/>
  <c r="V1318"/>
  <c r="V1709"/>
  <c r="V155"/>
  <c r="V1203"/>
  <c r="V749"/>
  <c r="V465"/>
  <c r="V941"/>
  <c r="V612"/>
  <c r="V1931"/>
  <c r="V1915"/>
  <c r="V883"/>
  <c r="V475"/>
  <c r="V1034"/>
  <c r="V1635"/>
  <c r="V1658"/>
  <c r="V963"/>
  <c r="V430"/>
  <c r="V1074"/>
  <c r="V1037"/>
  <c r="V477"/>
  <c r="V904"/>
  <c r="V1799"/>
  <c r="V1591"/>
  <c r="V1077"/>
  <c r="V1081"/>
  <c r="V198"/>
  <c r="V536"/>
  <c r="V866"/>
  <c r="V133"/>
  <c r="V60"/>
  <c r="V1778"/>
  <c r="V1194"/>
  <c r="V664"/>
  <c r="V350"/>
  <c r="V1880"/>
  <c r="V1776"/>
  <c r="V1826"/>
  <c r="V1493"/>
  <c r="V1766"/>
  <c r="V1169"/>
  <c r="V462"/>
  <c r="V1960"/>
  <c r="V1129"/>
  <c r="V1878"/>
  <c r="V1843"/>
  <c r="V810"/>
  <c r="V1123"/>
  <c r="V645"/>
  <c r="V763"/>
  <c r="V844"/>
  <c r="V309"/>
  <c r="V1218"/>
  <c r="V1716"/>
  <c r="V96"/>
  <c r="V1616"/>
  <c r="V1466"/>
  <c r="V240"/>
  <c r="V1006"/>
  <c r="V195"/>
  <c r="V1637"/>
  <c r="V220"/>
  <c r="V1884"/>
  <c r="V1144"/>
  <c r="V643"/>
  <c r="V940"/>
  <c r="V1303"/>
  <c r="V441"/>
  <c r="V1674"/>
  <c r="V997"/>
  <c r="V1883"/>
  <c r="V103"/>
  <c r="V189"/>
  <c r="V1926"/>
  <c r="V340"/>
  <c r="V744"/>
  <c r="V513"/>
  <c r="V1866"/>
  <c r="V371"/>
  <c r="V174"/>
  <c r="V1937"/>
  <c r="V1370"/>
  <c r="V1173"/>
  <c r="V1726"/>
  <c r="V78"/>
  <c r="V1559"/>
  <c r="V1953"/>
  <c r="V1619"/>
  <c r="V813"/>
  <c r="V1035"/>
  <c r="V985"/>
  <c r="V780"/>
  <c r="V1622"/>
  <c r="V504"/>
  <c r="V1811"/>
  <c r="V360"/>
  <c r="V1222"/>
  <c r="V1134"/>
  <c r="V1280"/>
  <c r="V1668"/>
  <c r="V756"/>
  <c r="V459"/>
  <c r="V625"/>
  <c r="V1836"/>
  <c r="V1783"/>
  <c r="V1414"/>
  <c r="V825"/>
  <c r="V1891"/>
  <c r="V1192"/>
  <c r="V1437"/>
  <c r="V1507"/>
  <c r="V582"/>
  <c r="V1557"/>
  <c r="V1078"/>
  <c r="V529"/>
  <c r="V1858"/>
  <c r="V76"/>
  <c r="V1496"/>
  <c r="V1954"/>
  <c r="V1663"/>
  <c r="V583"/>
  <c r="V1120"/>
  <c r="V1016"/>
  <c r="V538"/>
  <c r="V1786"/>
  <c r="V1485"/>
  <c r="V889"/>
  <c r="V1561"/>
  <c r="V574"/>
  <c r="V1257"/>
  <c r="V737"/>
  <c r="V1655"/>
  <c r="V85"/>
  <c r="V1068"/>
  <c r="V908"/>
  <c r="V1740"/>
  <c r="V598"/>
  <c r="V153"/>
  <c r="V845"/>
  <c r="V1580"/>
  <c r="V694"/>
  <c r="V1737"/>
  <c r="V1643"/>
  <c r="V1462"/>
  <c r="V1589"/>
  <c r="V1530"/>
  <c r="V1012"/>
  <c r="V1984"/>
  <c r="V349"/>
  <c r="V1111"/>
  <c r="V519"/>
  <c r="V1587"/>
  <c r="V684"/>
  <c r="V1646"/>
  <c r="V331"/>
  <c r="V1332"/>
  <c r="V323"/>
  <c r="V669"/>
  <c r="V1546"/>
  <c r="V248"/>
  <c r="V1170"/>
  <c r="V546"/>
  <c r="V1388"/>
  <c r="V626"/>
  <c r="V799"/>
  <c r="V355"/>
  <c r="V1389"/>
  <c r="V1394"/>
  <c r="V1631"/>
  <c r="V542"/>
  <c r="V839"/>
  <c r="V1510"/>
  <c r="V1202"/>
  <c r="V1837"/>
  <c r="V877"/>
  <c r="V577"/>
  <c r="V1063"/>
  <c r="V660"/>
  <c r="V668"/>
  <c r="V835"/>
  <c r="V703"/>
  <c r="V775"/>
  <c r="V1175"/>
  <c r="V663"/>
  <c r="V682"/>
  <c r="V636"/>
  <c r="V1052"/>
  <c r="V898"/>
  <c r="V1872"/>
  <c r="V633"/>
  <c r="V1319"/>
  <c r="V955"/>
  <c r="V604"/>
  <c r="V461"/>
  <c r="V506"/>
  <c r="V1543"/>
  <c r="V1196"/>
  <c r="V741"/>
  <c r="V747"/>
  <c r="V229"/>
  <c r="V796"/>
  <c r="V102"/>
  <c r="V4"/>
  <c r="V1536"/>
  <c r="V105"/>
  <c r="V71"/>
  <c r="V1733"/>
  <c r="V1354"/>
  <c r="V1167"/>
  <c r="V258"/>
  <c r="V935"/>
  <c r="V87"/>
  <c r="V1689"/>
  <c r="V794"/>
  <c r="V1511"/>
  <c r="V234"/>
  <c r="V1827"/>
  <c r="V586"/>
  <c r="V307"/>
  <c r="V270"/>
  <c r="V1270"/>
  <c r="V1431"/>
  <c r="V552"/>
  <c r="V1824"/>
  <c r="V1285"/>
  <c r="V706"/>
  <c r="V651"/>
  <c r="V930"/>
  <c r="V746"/>
  <c r="V200"/>
  <c r="V1547"/>
  <c r="V581"/>
  <c r="V1901"/>
  <c r="V665"/>
  <c r="V431"/>
  <c r="V868"/>
  <c r="V891"/>
  <c r="V1047"/>
  <c r="V1549"/>
  <c r="V1416"/>
  <c r="V279"/>
  <c r="V1873"/>
  <c r="V1941"/>
  <c r="V1721"/>
  <c r="V617"/>
  <c r="V920"/>
  <c r="V301"/>
  <c r="V326"/>
  <c r="V1978"/>
  <c r="V1301"/>
  <c r="V226"/>
  <c r="V1522"/>
  <c r="V290"/>
  <c r="V1920"/>
  <c r="V1917"/>
  <c r="V190"/>
  <c r="V94"/>
  <c r="V15"/>
  <c r="V2047"/>
  <c r="V1629"/>
  <c r="V966"/>
  <c r="V108"/>
  <c r="V878"/>
  <c r="V1204"/>
  <c r="V1950"/>
  <c r="V886"/>
  <c r="V1965"/>
  <c r="V960"/>
  <c r="V957"/>
  <c r="V1620"/>
  <c r="V572"/>
  <c r="V743"/>
  <c r="V931"/>
  <c r="V261"/>
  <c r="V1182"/>
  <c r="V676"/>
  <c r="V978"/>
  <c r="V1681"/>
  <c r="V701"/>
  <c r="V1755"/>
  <c r="V879"/>
  <c r="V1812"/>
  <c r="V575"/>
  <c r="V42"/>
  <c r="V249"/>
  <c r="V1362"/>
  <c r="V230"/>
  <c r="V1312"/>
  <c r="V160"/>
  <c r="V157"/>
  <c r="V905"/>
  <c r="V161"/>
  <c r="V1148"/>
  <c r="V1255"/>
  <c r="V246"/>
  <c r="V1342"/>
  <c r="V364"/>
  <c r="V709"/>
  <c r="V1193"/>
  <c r="V1244"/>
  <c r="V1155"/>
  <c r="V1985"/>
  <c r="V275"/>
  <c r="V1025"/>
  <c r="V1109"/>
  <c r="V1632"/>
  <c r="V1659"/>
  <c r="V95"/>
  <c r="V988"/>
  <c r="V1442"/>
  <c r="V1515"/>
  <c r="V321"/>
  <c r="V1379"/>
  <c r="V393"/>
  <c r="V774"/>
  <c r="V557"/>
  <c r="V1150"/>
  <c r="V1670"/>
  <c r="V1722"/>
  <c r="V1895"/>
  <c r="V1900"/>
  <c r="V68"/>
  <c r="V1365"/>
  <c r="V1808"/>
  <c r="V1696"/>
  <c r="V1599"/>
  <c r="V1066"/>
  <c r="V1744"/>
  <c r="V1297"/>
  <c r="V738"/>
  <c r="V972"/>
  <c r="V1946"/>
  <c r="V1138"/>
  <c r="V1266"/>
  <c r="V1932"/>
  <c r="V545"/>
  <c r="V1562"/>
  <c r="V120"/>
  <c r="V63"/>
  <c r="V1200"/>
  <c r="V551"/>
  <c r="V1446"/>
  <c r="V1512"/>
  <c r="V779"/>
  <c r="V1284"/>
  <c r="V1896"/>
  <c r="V951"/>
  <c r="V895"/>
  <c r="V1072"/>
  <c r="V858"/>
  <c r="V1423"/>
  <c r="V610"/>
  <c r="V1595"/>
  <c r="V1228"/>
  <c r="V1158"/>
  <c r="V608"/>
  <c r="V517"/>
  <c r="V1565"/>
  <c r="V1444"/>
  <c r="V201"/>
  <c r="V357"/>
  <c r="V43"/>
  <c r="V1177"/>
  <c r="V1697"/>
  <c r="V1061"/>
  <c r="V1187"/>
  <c r="V766"/>
  <c r="V1495"/>
  <c r="V1189"/>
  <c r="V1212"/>
  <c r="V202"/>
  <c r="V1862"/>
  <c r="V948"/>
  <c r="V101"/>
  <c r="V1725"/>
  <c r="V1642"/>
  <c r="V296"/>
  <c r="V435"/>
  <c r="V1823"/>
  <c r="V591"/>
  <c r="V952"/>
  <c r="V1760"/>
  <c r="V1349"/>
  <c r="V1834"/>
  <c r="V1215"/>
  <c r="V614"/>
  <c r="V1596"/>
  <c r="V1802"/>
  <c r="V1604"/>
  <c r="V1162"/>
  <c r="V726"/>
  <c r="V402"/>
  <c r="V132"/>
  <c r="V1171"/>
  <c r="V109"/>
  <c r="V318"/>
  <c r="V805"/>
  <c r="V187"/>
  <c r="V6"/>
  <c r="V1441"/>
  <c r="V1309"/>
  <c r="V469"/>
  <c r="V1499"/>
  <c r="V212"/>
  <c r="V1471"/>
  <c r="V759"/>
  <c r="V207"/>
  <c r="V1355"/>
  <c r="V1198"/>
  <c r="V1887"/>
  <c r="V1672"/>
  <c r="V1863"/>
  <c r="V566"/>
  <c r="V176"/>
  <c r="V262"/>
  <c r="V851"/>
  <c r="V247"/>
  <c r="V33"/>
  <c r="V1798"/>
  <c r="V505"/>
  <c r="V1548"/>
  <c r="V1626"/>
  <c r="V1413"/>
  <c r="V236"/>
  <c r="V1822"/>
  <c r="V1154"/>
  <c r="V1749"/>
  <c r="V272"/>
  <c r="V681"/>
  <c r="V510"/>
  <c r="V1498"/>
  <c r="V5"/>
  <c r="V1849"/>
  <c r="V390"/>
  <c r="V971"/>
  <c r="V926"/>
  <c r="V639"/>
  <c r="V562"/>
  <c r="V632"/>
  <c r="V890"/>
  <c r="V938"/>
  <c r="V1259"/>
  <c r="V205"/>
  <c r="V1641"/>
  <c r="V911"/>
  <c r="V1756"/>
  <c r="V526"/>
  <c r="V801"/>
  <c r="V193"/>
  <c r="V1340"/>
  <c r="V1302"/>
  <c r="V10"/>
  <c r="V456"/>
  <c r="V1601"/>
  <c r="V1402"/>
  <c r="V52"/>
  <c r="V1231"/>
  <c r="V1656"/>
  <c r="V1356"/>
  <c r="V1056"/>
  <c r="V852"/>
  <c r="V1489"/>
  <c r="V1700"/>
  <c r="V736"/>
  <c r="V1702"/>
  <c r="V1091"/>
  <c r="V1156"/>
  <c r="V219"/>
  <c r="V1018"/>
  <c r="V778"/>
  <c r="V928"/>
  <c r="V1902"/>
  <c r="V389"/>
  <c r="V424"/>
  <c r="V840"/>
  <c r="V88"/>
  <c r="V782"/>
  <c r="V237"/>
  <c r="V367"/>
  <c r="V374"/>
  <c r="V1108"/>
  <c r="V1385"/>
  <c r="V1454"/>
  <c r="V688"/>
  <c r="V333"/>
  <c r="V1242"/>
  <c r="V1636"/>
  <c r="V521"/>
  <c r="V1805"/>
  <c r="V308"/>
  <c r="V1757"/>
  <c r="V1142"/>
  <c r="V1221"/>
  <c r="V1092"/>
  <c r="V1326"/>
  <c r="V1958"/>
  <c r="V1831"/>
  <c r="V976"/>
  <c r="V657"/>
  <c r="V352"/>
  <c r="V384"/>
  <c r="V1239"/>
  <c r="V1450"/>
  <c r="V306"/>
  <c r="V1613"/>
  <c r="V1213"/>
  <c r="V1233"/>
  <c r="V687"/>
  <c r="V182"/>
  <c r="V150"/>
  <c r="V1971"/>
  <c r="V1401"/>
  <c r="V1750"/>
  <c r="V1392"/>
  <c r="V330"/>
  <c r="V1753"/>
  <c r="V1013"/>
  <c r="V968"/>
  <c r="V765"/>
  <c r="V1876"/>
  <c r="V1214"/>
  <c r="V1028"/>
  <c r="V138"/>
  <c r="V1734"/>
  <c r="V58"/>
  <c r="V537"/>
  <c r="V1161"/>
  <c r="V403"/>
  <c r="V650"/>
  <c r="V1387"/>
  <c r="V1470"/>
  <c r="V1452"/>
  <c r="V440"/>
  <c r="V1467"/>
  <c r="V509"/>
  <c r="V167"/>
  <c r="V1316"/>
  <c r="V1603"/>
  <c r="V106"/>
  <c r="V1382"/>
  <c r="V897"/>
  <c r="V1360"/>
  <c r="V1859"/>
  <c r="V1036"/>
  <c r="V804"/>
  <c r="V1765"/>
  <c r="V982"/>
  <c r="V892"/>
  <c r="V1386"/>
  <c r="V1283"/>
  <c r="V965"/>
  <c r="V332"/>
  <c r="V1008"/>
  <c r="V1421"/>
  <c r="V762"/>
  <c r="V1135"/>
  <c r="V1042"/>
  <c r="V448"/>
  <c r="V1789"/>
  <c r="V119"/>
  <c r="V1241"/>
  <c r="V1976"/>
  <c r="V1274"/>
  <c r="V2056"/>
  <c r="V1422"/>
  <c r="V745"/>
  <c r="V540"/>
  <c r="V816"/>
  <c r="V162"/>
  <c r="V37"/>
  <c r="V1276"/>
  <c r="V1609"/>
  <c r="V404"/>
  <c r="V1396"/>
  <c r="V39"/>
  <c r="V1440"/>
  <c r="V1889"/>
  <c r="V798"/>
  <c r="V1115"/>
  <c r="V1788"/>
  <c r="V478"/>
  <c r="V914"/>
  <c r="V188"/>
  <c r="V186"/>
  <c r="V1481"/>
  <c r="V217"/>
  <c r="V1163"/>
  <c r="V11"/>
  <c r="V707"/>
  <c r="V1845"/>
  <c r="V671"/>
  <c r="V65"/>
  <c r="V351"/>
  <c r="V276"/>
  <c r="V1517"/>
  <c r="V498"/>
  <c r="V917"/>
  <c r="V445"/>
  <c r="V1232"/>
  <c r="V1679"/>
  <c r="V556"/>
  <c r="V1924"/>
  <c r="V442"/>
  <c r="V998"/>
  <c r="V243"/>
  <c r="V757"/>
  <c r="V317"/>
  <c r="V144"/>
  <c r="V1289"/>
  <c r="V903"/>
  <c r="V1853"/>
  <c r="V945"/>
  <c r="V343"/>
  <c r="V1694"/>
  <c r="V151"/>
  <c r="V716"/>
  <c r="V1746"/>
  <c r="V900"/>
  <c r="V880"/>
  <c r="V1136"/>
  <c r="V268"/>
  <c r="V532"/>
  <c r="V2055"/>
  <c r="V298"/>
  <c r="V721"/>
  <c r="V347"/>
  <c r="V525"/>
  <c r="V1474"/>
  <c r="V34"/>
  <c r="V842"/>
  <c r="V1260"/>
  <c r="V197"/>
  <c r="V1773"/>
  <c r="V1225"/>
  <c r="V1279"/>
  <c r="V1425"/>
  <c r="V1050"/>
  <c r="V67"/>
  <c r="V1692"/>
  <c r="V700"/>
  <c r="V923"/>
  <c r="V1364"/>
  <c r="V1147"/>
  <c r="V1048"/>
  <c r="V1344"/>
  <c r="V1614"/>
  <c r="V795"/>
  <c r="V453"/>
  <c r="V855"/>
  <c r="V918"/>
  <c r="V1390"/>
  <c r="V708"/>
  <c r="V48"/>
  <c r="V1806"/>
  <c r="V554"/>
  <c r="V73"/>
  <c r="V1095"/>
  <c r="V1685"/>
  <c r="V539"/>
  <c r="V266"/>
  <c r="V635"/>
  <c r="V711"/>
  <c r="V987"/>
  <c r="V1764"/>
  <c r="V1855"/>
  <c r="V1787"/>
  <c r="V740"/>
  <c r="V406"/>
  <c r="V735"/>
  <c r="V346"/>
  <c r="V1165"/>
  <c r="V628"/>
  <c r="V1053"/>
  <c r="V1680"/>
  <c r="V206"/>
  <c r="V1347"/>
  <c r="V199"/>
  <c r="V1554"/>
  <c r="V1841"/>
  <c r="V1570"/>
  <c r="V1443"/>
  <c r="V1456"/>
  <c r="V1500"/>
  <c r="V673"/>
  <c r="V1336"/>
  <c r="V1782"/>
  <c r="V1002"/>
  <c r="V1905"/>
  <c r="V1611"/>
  <c r="V125"/>
  <c r="V472"/>
  <c r="V999"/>
  <c r="V1925"/>
  <c r="V1384"/>
  <c r="V1879"/>
  <c r="V1010"/>
  <c r="V584"/>
  <c r="V1552"/>
  <c r="V1865"/>
  <c r="V870"/>
  <c r="V732"/>
  <c r="V1314"/>
  <c r="V576"/>
  <c r="V1545"/>
  <c r="V901"/>
  <c r="V213"/>
  <c r="V1070"/>
  <c r="V1032"/>
  <c r="V1447"/>
  <c r="V1118"/>
  <c r="V1868"/>
  <c r="V1747"/>
  <c r="V428"/>
  <c r="V843"/>
  <c r="V284"/>
  <c r="V1149"/>
  <c r="V90"/>
  <c r="V1807"/>
  <c r="V452"/>
  <c r="V418"/>
  <c r="V184"/>
  <c r="V1406"/>
  <c r="V827"/>
  <c r="V1486"/>
  <c r="V1223"/>
  <c r="V423"/>
  <c r="V1372"/>
  <c r="V40"/>
  <c r="V1742"/>
  <c r="V302"/>
  <c r="V1593"/>
  <c r="V494"/>
  <c r="V1691"/>
  <c r="V1706"/>
  <c r="V1638"/>
  <c r="V677"/>
  <c r="V1714"/>
  <c r="V1801"/>
  <c r="V1282"/>
  <c r="V1252"/>
  <c r="V1623"/>
  <c r="V874"/>
  <c r="V1708"/>
  <c r="V168"/>
  <c r="R1641" l="1"/>
  <c r="T1641"/>
  <c r="P1641"/>
  <c r="O1641"/>
  <c r="K1641"/>
  <c r="R1644"/>
  <c r="T1644"/>
  <c r="P1644"/>
  <c r="O1644"/>
  <c r="R1629"/>
  <c r="T1629"/>
  <c r="P1629"/>
  <c r="O1629"/>
  <c r="K1629"/>
  <c r="R1628"/>
  <c r="T1628"/>
  <c r="P1628"/>
  <c r="O1628"/>
  <c r="K1627"/>
  <c r="R1627"/>
  <c r="T1627"/>
  <c r="P1627"/>
  <c r="O1627"/>
  <c r="R1649"/>
  <c r="T1649"/>
  <c r="P1649"/>
  <c r="O1649"/>
  <c r="T1615"/>
  <c r="P1615"/>
  <c r="O1615"/>
  <c r="K1615"/>
  <c r="R1652"/>
  <c r="T1652"/>
  <c r="P1652"/>
  <c r="O1652"/>
  <c r="J72" i="17"/>
  <c r="T1632" i="1"/>
  <c r="P1632"/>
  <c r="O1632"/>
  <c r="K1632"/>
  <c r="R1610"/>
  <c r="T1610"/>
  <c r="P1610"/>
  <c r="O1610"/>
  <c r="R1538"/>
  <c r="T1538"/>
  <c r="P1538"/>
  <c r="O1538"/>
  <c r="K1538"/>
  <c r="J71" i="17"/>
  <c r="R1520" i="1" l="1"/>
  <c r="T1520"/>
  <c r="P1520"/>
  <c r="O1520"/>
  <c r="K1520"/>
  <c r="R1638"/>
  <c r="T1638"/>
  <c r="P1638"/>
  <c r="O1638"/>
  <c r="K1638"/>
  <c r="J70" i="17"/>
  <c r="R1623" i="1"/>
  <c r="T1623"/>
  <c r="P1623"/>
  <c r="O1623"/>
  <c r="R1681"/>
  <c r="T1681"/>
  <c r="P1681"/>
  <c r="O1681"/>
  <c r="R1634" l="1"/>
  <c r="T1634"/>
  <c r="P1634"/>
  <c r="O1634"/>
  <c r="K1634"/>
  <c r="J68" i="17"/>
  <c r="J67"/>
  <c r="J66"/>
  <c r="R1639" i="1"/>
  <c r="T1639"/>
  <c r="P1639"/>
  <c r="O1639"/>
  <c r="K1639"/>
  <c r="T1648"/>
  <c r="P1648"/>
  <c r="O1648"/>
  <c r="K1648"/>
  <c r="R1566" l="1"/>
  <c r="T1566"/>
  <c r="P1566"/>
  <c r="O1566"/>
  <c r="K1566"/>
  <c r="R1601"/>
  <c r="T1601"/>
  <c r="P1601"/>
  <c r="O1601"/>
  <c r="K1601"/>
  <c r="R1572"/>
  <c r="T1572"/>
  <c r="P1572"/>
  <c r="O1572"/>
  <c r="R1637"/>
  <c r="T1637"/>
  <c r="P1637"/>
  <c r="O1637"/>
  <c r="K1637"/>
  <c r="R1659"/>
  <c r="T1659"/>
  <c r="P1659"/>
  <c r="O1659"/>
  <c r="K1659"/>
  <c r="R1626"/>
  <c r="T1626"/>
  <c r="P1626"/>
  <c r="O1626"/>
  <c r="K1626"/>
  <c r="R1658"/>
  <c r="T1658"/>
  <c r="P1658"/>
  <c r="O1658"/>
  <c r="K1658"/>
  <c r="R1609"/>
  <c r="T1609"/>
  <c r="P1609"/>
  <c r="O1609"/>
  <c r="R1633"/>
  <c r="T1633"/>
  <c r="P1633"/>
  <c r="O1633"/>
  <c r="K1633"/>
  <c r="T1636"/>
  <c r="P1636"/>
  <c r="O1636"/>
  <c r="T1512"/>
  <c r="P1512"/>
  <c r="O1512"/>
  <c r="R1605"/>
  <c r="T1605"/>
  <c r="P1605"/>
  <c r="O1605"/>
  <c r="R1671"/>
  <c r="T1671"/>
  <c r="P1671"/>
  <c r="O1671"/>
  <c r="R1608"/>
  <c r="I66" i="28" s="1"/>
  <c r="T1608" i="1"/>
  <c r="P1608"/>
  <c r="O1608"/>
  <c r="K1608"/>
  <c r="R1600"/>
  <c r="T1600"/>
  <c r="P1600"/>
  <c r="O1600"/>
  <c r="K1600"/>
  <c r="R1589"/>
  <c r="T1589"/>
  <c r="P1589"/>
  <c r="O1589"/>
  <c r="K1589"/>
  <c r="R1599"/>
  <c r="T1599"/>
  <c r="P1599"/>
  <c r="O1599"/>
  <c r="K1599"/>
  <c r="R1586"/>
  <c r="T1586"/>
  <c r="P1586"/>
  <c r="O1586"/>
  <c r="K1586"/>
  <c r="R1619"/>
  <c r="T1619"/>
  <c r="P1619"/>
  <c r="O1619"/>
  <c r="R1635"/>
  <c r="T1635"/>
  <c r="P1635"/>
  <c r="O1635"/>
  <c r="R1670"/>
  <c r="T1670"/>
  <c r="P1670"/>
  <c r="O1670"/>
  <c r="K1670"/>
  <c r="R1614"/>
  <c r="T1614"/>
  <c r="P1614"/>
  <c r="O1614"/>
  <c r="R1625" l="1"/>
  <c r="T1625"/>
  <c r="P1625"/>
  <c r="O1625"/>
  <c r="K1625"/>
  <c r="R1624"/>
  <c r="T1624"/>
  <c r="P1624"/>
  <c r="O1624"/>
  <c r="K1624"/>
  <c r="R1583"/>
  <c r="T1583"/>
  <c r="P1583"/>
  <c r="O1583"/>
  <c r="K1583"/>
  <c r="R1622"/>
  <c r="T1622"/>
  <c r="P1622"/>
  <c r="O1622"/>
  <c r="J65" i="17"/>
  <c r="R1592" i="1"/>
  <c r="T1592"/>
  <c r="P1592"/>
  <c r="O1592"/>
  <c r="K1592"/>
  <c r="R1598"/>
  <c r="T1598"/>
  <c r="P1598"/>
  <c r="O1598"/>
  <c r="K1598"/>
  <c r="R1597"/>
  <c r="T1597"/>
  <c r="P1597"/>
  <c r="O1597"/>
  <c r="K1597"/>
  <c r="R1607"/>
  <c r="T1607"/>
  <c r="P1607"/>
  <c r="O1607"/>
  <c r="K1607"/>
  <c r="R1571"/>
  <c r="T1571"/>
  <c r="P1571"/>
  <c r="O1571"/>
  <c r="T1596" l="1"/>
  <c r="P1596"/>
  <c r="O1596"/>
  <c r="K1596"/>
  <c r="R1642"/>
  <c r="T1642"/>
  <c r="P1642"/>
  <c r="O1642"/>
  <c r="R1647" l="1"/>
  <c r="D14" i="27" s="1"/>
  <c r="D17" s="1"/>
  <c r="T1647" i="1"/>
  <c r="P1647"/>
  <c r="O1647"/>
  <c r="T1539"/>
  <c r="P1539"/>
  <c r="O1539"/>
  <c r="D16" i="27" l="1"/>
  <c r="R1613" i="1"/>
  <c r="T1613"/>
  <c r="P1613"/>
  <c r="O1613"/>
  <c r="K1613"/>
  <c r="R1630"/>
  <c r="T1630"/>
  <c r="P1630"/>
  <c r="O1630"/>
  <c r="K1630"/>
  <c r="R1559"/>
  <c r="T1559"/>
  <c r="P1559"/>
  <c r="O1559"/>
  <c r="R1595"/>
  <c r="T1595"/>
  <c r="P1595"/>
  <c r="O1595"/>
  <c r="K1595"/>
  <c r="R1522"/>
  <c r="T1522"/>
  <c r="P1522"/>
  <c r="O1522"/>
  <c r="K1522"/>
  <c r="R1582" l="1"/>
  <c r="T1582"/>
  <c r="P1582"/>
  <c r="O1582"/>
  <c r="R1591"/>
  <c r="T1591"/>
  <c r="P1591"/>
  <c r="O1591"/>
  <c r="R1585"/>
  <c r="T1585"/>
  <c r="P1585"/>
  <c r="O1585"/>
  <c r="K1585"/>
  <c r="R1570"/>
  <c r="T1570"/>
  <c r="P1570"/>
  <c r="O1570"/>
  <c r="R1568"/>
  <c r="T1568"/>
  <c r="P1568"/>
  <c r="O1568"/>
  <c r="K1568"/>
  <c r="R1604"/>
  <c r="T1604"/>
  <c r="P1604"/>
  <c r="O1604"/>
  <c r="R1618"/>
  <c r="T1618"/>
  <c r="P1618"/>
  <c r="O1618"/>
  <c r="K1618"/>
  <c r="R1581"/>
  <c r="T1581"/>
  <c r="P1581"/>
  <c r="O1581"/>
  <c r="T1603"/>
  <c r="P1603"/>
  <c r="O1603"/>
  <c r="R1590"/>
  <c r="T1590"/>
  <c r="P1590"/>
  <c r="O1590"/>
  <c r="R1569"/>
  <c r="T1569"/>
  <c r="P1569"/>
  <c r="O1569"/>
  <c r="R1584"/>
  <c r="T1584"/>
  <c r="P1584"/>
  <c r="O1584"/>
  <c r="K1584"/>
  <c r="R1594"/>
  <c r="T1594"/>
  <c r="P1594"/>
  <c r="O1594"/>
  <c r="R1621"/>
  <c r="T1621"/>
  <c r="P1621"/>
  <c r="O1621"/>
  <c r="K1621"/>
  <c r="R1677"/>
  <c r="T1677"/>
  <c r="P1677"/>
  <c r="O1677"/>
  <c r="K1677"/>
  <c r="R1537"/>
  <c r="T1537"/>
  <c r="P1537"/>
  <c r="O1537"/>
  <c r="R1551"/>
  <c r="T1551"/>
  <c r="P1551"/>
  <c r="O1551"/>
  <c r="K1551"/>
  <c r="R1558"/>
  <c r="T1558"/>
  <c r="P1558"/>
  <c r="O1558"/>
  <c r="K1558"/>
  <c r="R1519"/>
  <c r="T1519"/>
  <c r="P1519"/>
  <c r="O1519"/>
  <c r="R1524"/>
  <c r="T1524"/>
  <c r="P1524"/>
  <c r="O1524"/>
  <c r="K1524"/>
  <c r="BI44" i="3"/>
  <c r="BF44"/>
  <c r="T1545" i="1"/>
  <c r="P1545"/>
  <c r="O1545"/>
  <c r="R1567" l="1"/>
  <c r="T1567"/>
  <c r="P1567"/>
  <c r="O1567"/>
  <c r="K1567"/>
  <c r="R1509"/>
  <c r="T1509"/>
  <c r="P1509"/>
  <c r="O1509"/>
  <c r="K1509"/>
  <c r="R1580"/>
  <c r="T1580"/>
  <c r="P1580"/>
  <c r="O1580"/>
  <c r="K1580"/>
  <c r="R1578"/>
  <c r="T1578"/>
  <c r="P1578"/>
  <c r="O1578"/>
  <c r="K1578"/>
  <c r="R1549"/>
  <c r="T1549"/>
  <c r="P1549"/>
  <c r="O1549"/>
  <c r="K1549"/>
  <c r="R1612"/>
  <c r="T1612"/>
  <c r="P1612"/>
  <c r="O1612"/>
  <c r="R1552" l="1"/>
  <c r="T1552"/>
  <c r="P1552"/>
  <c r="O1552"/>
  <c r="K1552"/>
  <c r="R1528"/>
  <c r="T1528"/>
  <c r="P1528"/>
  <c r="O1528"/>
  <c r="K1528"/>
  <c r="R1602"/>
  <c r="T1602"/>
  <c r="P1602"/>
  <c r="O1602"/>
  <c r="R1606" l="1"/>
  <c r="T1606"/>
  <c r="P1606"/>
  <c r="O1606"/>
  <c r="K1606"/>
  <c r="T1533"/>
  <c r="P1533"/>
  <c r="O1533"/>
  <c r="K1533"/>
  <c r="R1587"/>
  <c r="T1587"/>
  <c r="P1587"/>
  <c r="O1587"/>
  <c r="K1587"/>
  <c r="R1575"/>
  <c r="T1575"/>
  <c r="P1575"/>
  <c r="O1575"/>
  <c r="R1498"/>
  <c r="T1498"/>
  <c r="P1498"/>
  <c r="O1498"/>
  <c r="K1498"/>
  <c r="R1577"/>
  <c r="T1577"/>
  <c r="P1577"/>
  <c r="O1577"/>
  <c r="K1577"/>
  <c r="R1562"/>
  <c r="T1562"/>
  <c r="P1562"/>
  <c r="O1562"/>
  <c r="T1536" l="1"/>
  <c r="P1536"/>
  <c r="O1536"/>
  <c r="T1561"/>
  <c r="P1561"/>
  <c r="O1561"/>
  <c r="K1561"/>
  <c r="T1490"/>
  <c r="P1490"/>
  <c r="O1490"/>
  <c r="R1579"/>
  <c r="T1579"/>
  <c r="P1579"/>
  <c r="O1579"/>
  <c r="K1579"/>
  <c r="R1573"/>
  <c r="T1573"/>
  <c r="P1573"/>
  <c r="O1573"/>
  <c r="R1557"/>
  <c r="T1557"/>
  <c r="P1557"/>
  <c r="O1557"/>
  <c r="K1557"/>
  <c r="R1548"/>
  <c r="T1548"/>
  <c r="P1548"/>
  <c r="O1548"/>
  <c r="K1548"/>
  <c r="R1553"/>
  <c r="T1553"/>
  <c r="P1553"/>
  <c r="O1553"/>
  <c r="K1553"/>
  <c r="T1564"/>
  <c r="P1564"/>
  <c r="O1564"/>
  <c r="R1547"/>
  <c r="T1547"/>
  <c r="P1547"/>
  <c r="O1547"/>
  <c r="R1532"/>
  <c r="T1532"/>
  <c r="P1532"/>
  <c r="O1532"/>
  <c r="R1541"/>
  <c r="T1541"/>
  <c r="P1541"/>
  <c r="O1541"/>
  <c r="K1541"/>
  <c r="R1563"/>
  <c r="T1563"/>
  <c r="P1563"/>
  <c r="O1563"/>
  <c r="K1563"/>
  <c r="R1574"/>
  <c r="T1574"/>
  <c r="P1574"/>
  <c r="O1574"/>
  <c r="K1574"/>
  <c r="R1518"/>
  <c r="T1518"/>
  <c r="P1518"/>
  <c r="O1518"/>
  <c r="K1518"/>
  <c r="R1531" l="1"/>
  <c r="T1531"/>
  <c r="P1531"/>
  <c r="O1531"/>
  <c r="K1531"/>
  <c r="T6" i="25"/>
  <c r="R1556" i="1"/>
  <c r="T1556"/>
  <c r="P1556"/>
  <c r="O1556"/>
  <c r="T1527" l="1"/>
  <c r="P1527"/>
  <c r="O1527"/>
  <c r="K1527"/>
  <c r="R1502"/>
  <c r="T1502"/>
  <c r="P1502"/>
  <c r="O1502"/>
  <c r="K1502"/>
  <c r="R1555"/>
  <c r="T1555"/>
  <c r="P1555"/>
  <c r="O1555"/>
  <c r="R1535"/>
  <c r="T1535"/>
  <c r="P1535"/>
  <c r="O1535"/>
  <c r="K1535"/>
  <c r="R1526"/>
  <c r="T1526"/>
  <c r="P1526"/>
  <c r="O1526"/>
  <c r="K1526"/>
  <c r="R1560"/>
  <c r="T1560"/>
  <c r="P1560"/>
  <c r="O1560"/>
  <c r="K1560"/>
  <c r="R1550"/>
  <c r="T1550"/>
  <c r="P1550"/>
  <c r="O1550"/>
  <c r="K1550"/>
  <c r="T1488" l="1"/>
  <c r="P1488"/>
  <c r="O1488"/>
  <c r="K1488"/>
  <c r="R1460"/>
  <c r="T1460"/>
  <c r="P1460"/>
  <c r="O1460"/>
  <c r="K1460"/>
  <c r="R1540"/>
  <c r="T1540"/>
  <c r="P1540"/>
  <c r="O1540"/>
  <c r="K1540"/>
  <c r="T1487"/>
  <c r="P1487"/>
  <c r="O1487"/>
  <c r="R1470"/>
  <c r="T1470"/>
  <c r="P1470"/>
  <c r="O1470"/>
  <c r="K1470"/>
  <c r="R1477"/>
  <c r="T1477"/>
  <c r="P1477"/>
  <c r="O1477"/>
  <c r="K1477"/>
  <c r="R1463"/>
  <c r="T1463"/>
  <c r="P1463"/>
  <c r="O1463"/>
  <c r="R1481"/>
  <c r="T1481"/>
  <c r="P1481"/>
  <c r="O1481"/>
  <c r="K1481"/>
  <c r="T1486"/>
  <c r="P1486"/>
  <c r="O1486"/>
  <c r="K1486"/>
  <c r="R1501"/>
  <c r="T1501"/>
  <c r="P1501"/>
  <c r="O1501"/>
  <c r="K1501"/>
  <c r="R1525"/>
  <c r="T1525"/>
  <c r="P1525"/>
  <c r="O1525"/>
  <c r="K1525"/>
  <c r="R1457"/>
  <c r="T1457"/>
  <c r="P1457"/>
  <c r="O1457"/>
  <c r="R1450"/>
  <c r="T1450"/>
  <c r="P1450"/>
  <c r="O1450"/>
  <c r="K1450"/>
  <c r="R1530"/>
  <c r="T1530"/>
  <c r="P1530"/>
  <c r="O1530"/>
  <c r="K1530"/>
  <c r="R1521"/>
  <c r="T1521"/>
  <c r="P1521"/>
  <c r="O1521"/>
  <c r="R1505"/>
  <c r="T1505"/>
  <c r="P1505"/>
  <c r="O1505"/>
  <c r="R1544"/>
  <c r="T1544"/>
  <c r="P1544"/>
  <c r="O1544"/>
  <c r="R1534"/>
  <c r="T1534"/>
  <c r="P1534"/>
  <c r="O1534"/>
  <c r="K1534"/>
  <c r="R1593"/>
  <c r="T1593"/>
  <c r="P1593"/>
  <c r="O1593"/>
  <c r="K1593"/>
  <c r="R1514" l="1"/>
  <c r="T1514"/>
  <c r="P1514"/>
  <c r="O1514"/>
  <c r="K1514"/>
  <c r="R1513"/>
  <c r="T1513"/>
  <c r="P1513"/>
  <c r="O1513"/>
  <c r="R1543"/>
  <c r="T1543"/>
  <c r="P1543"/>
  <c r="O1543"/>
  <c r="R1554"/>
  <c r="T1554"/>
  <c r="P1554"/>
  <c r="O1554"/>
  <c r="R1500"/>
  <c r="T1500"/>
  <c r="P1500"/>
  <c r="O1500"/>
  <c r="K1500"/>
  <c r="R1504"/>
  <c r="T1504"/>
  <c r="P1504"/>
  <c r="O1504"/>
  <c r="R1499"/>
  <c r="T1499"/>
  <c r="P1499"/>
  <c r="O1499"/>
  <c r="K1499"/>
  <c r="T1412"/>
  <c r="P1412"/>
  <c r="O1412"/>
  <c r="T1430"/>
  <c r="P1430"/>
  <c r="O1430"/>
  <c r="K1430"/>
  <c r="R1523"/>
  <c r="T1523"/>
  <c r="P1523"/>
  <c r="O1523"/>
  <c r="K1523"/>
  <c r="R1542"/>
  <c r="T1542"/>
  <c r="P1542"/>
  <c r="O1542"/>
  <c r="R1517"/>
  <c r="T1517"/>
  <c r="P1517"/>
  <c r="O1517"/>
  <c r="K1517"/>
  <c r="T1515"/>
  <c r="P1515"/>
  <c r="O1515"/>
  <c r="K1515"/>
  <c r="R1511"/>
  <c r="T1511"/>
  <c r="P1511"/>
  <c r="O1511"/>
  <c r="K1511"/>
  <c r="R1497"/>
  <c r="T1497"/>
  <c r="P1497"/>
  <c r="O1497"/>
  <c r="K1497"/>
  <c r="T1485"/>
  <c r="P1485"/>
  <c r="O1485"/>
  <c r="K1485"/>
  <c r="T1424"/>
  <c r="P1424"/>
  <c r="O1424"/>
  <c r="T1496"/>
  <c r="P1496"/>
  <c r="O1496"/>
  <c r="K1496"/>
  <c r="R1565"/>
  <c r="T1565"/>
  <c r="P1565"/>
  <c r="O1565"/>
  <c r="K1565"/>
  <c r="R1516"/>
  <c r="T1516"/>
  <c r="P1516"/>
  <c r="O1516"/>
  <c r="K1516"/>
  <c r="R1546"/>
  <c r="T1546"/>
  <c r="P1546"/>
  <c r="O1546"/>
  <c r="K1546"/>
  <c r="R1508" l="1"/>
  <c r="T1508"/>
  <c r="P1508"/>
  <c r="O1508"/>
  <c r="K1508"/>
  <c r="R1507"/>
  <c r="T1507"/>
  <c r="P1507"/>
  <c r="O1507"/>
  <c r="K1507"/>
  <c r="R1492"/>
  <c r="T1492"/>
  <c r="P1492"/>
  <c r="O1492"/>
  <c r="R1510"/>
  <c r="T1510"/>
  <c r="P1510"/>
  <c r="O1510"/>
  <c r="K1510"/>
  <c r="T1484"/>
  <c r="P1484"/>
  <c r="O1484"/>
  <c r="J61" i="17"/>
  <c r="R1503" i="1"/>
  <c r="T1503"/>
  <c r="P1503"/>
  <c r="O1503"/>
  <c r="K1503"/>
  <c r="R1491"/>
  <c r="T1491"/>
  <c r="P1491"/>
  <c r="O1491"/>
  <c r="K1491"/>
  <c r="R1495"/>
  <c r="T1495"/>
  <c r="P1495"/>
  <c r="O1495"/>
  <c r="T1489" l="1"/>
  <c r="P1489"/>
  <c r="O1489"/>
  <c r="K1489"/>
  <c r="R1483" l="1"/>
  <c r="T1483"/>
  <c r="P1483"/>
  <c r="O1483"/>
  <c r="J1480" i="23"/>
  <c r="J1479"/>
  <c r="J1478"/>
  <c r="J1477"/>
  <c r="J1476"/>
  <c r="J1475"/>
  <c r="J1474"/>
  <c r="J1473"/>
  <c r="J1472"/>
  <c r="J1471"/>
  <c r="J1470"/>
  <c r="J1468"/>
  <c r="J1467"/>
  <c r="J1466"/>
  <c r="J1462"/>
  <c r="J1461"/>
  <c r="J1459"/>
  <c r="J1458"/>
  <c r="J1457"/>
  <c r="J1456"/>
  <c r="J1455"/>
  <c r="J1453"/>
  <c r="J1452"/>
  <c r="J1451"/>
  <c r="J1450"/>
  <c r="J1449"/>
  <c r="J1448"/>
  <c r="J1447"/>
  <c r="J1444"/>
  <c r="J1442"/>
  <c r="J1441"/>
  <c r="J1440"/>
  <c r="J1438"/>
  <c r="J1437"/>
  <c r="J1435"/>
  <c r="J1431"/>
  <c r="J1429"/>
  <c r="J1427"/>
  <c r="J1423"/>
  <c r="J1422"/>
  <c r="J1421"/>
  <c r="J1419"/>
  <c r="J1417"/>
  <c r="J1414"/>
  <c r="J1413"/>
  <c r="J1411"/>
  <c r="J1407"/>
  <c r="J1405"/>
  <c r="J1404"/>
  <c r="J1402"/>
  <c r="J1400"/>
  <c r="J1399"/>
  <c r="J1398"/>
  <c r="J1396"/>
  <c r="J1394"/>
  <c r="J1393"/>
  <c r="J1392"/>
  <c r="J1391"/>
  <c r="J1390"/>
  <c r="J1389"/>
  <c r="J1388"/>
  <c r="J1387"/>
  <c r="J1385"/>
  <c r="J1384"/>
  <c r="J1382"/>
  <c r="J1381"/>
  <c r="J1380"/>
  <c r="J1377"/>
  <c r="J1376"/>
  <c r="J1373"/>
  <c r="J1372"/>
  <c r="J1370"/>
  <c r="J1369"/>
  <c r="J1368"/>
  <c r="J1366"/>
  <c r="J1363"/>
  <c r="J1362"/>
  <c r="J1361"/>
  <c r="J1360"/>
  <c r="J1359"/>
  <c r="J1358"/>
  <c r="J1357"/>
  <c r="J1356"/>
  <c r="J1355"/>
  <c r="J1354"/>
  <c r="J1351"/>
  <c r="J1350"/>
  <c r="J1349"/>
  <c r="J1348"/>
  <c r="J1347"/>
  <c r="J1346"/>
  <c r="J1345"/>
  <c r="J1344"/>
  <c r="J1342"/>
  <c r="J1341"/>
  <c r="J1339"/>
  <c r="J1338"/>
  <c r="J1337"/>
  <c r="J1336"/>
  <c r="J1334"/>
  <c r="J1333"/>
  <c r="J1332"/>
  <c r="J1331"/>
  <c r="J1330"/>
  <c r="J1329"/>
  <c r="J1328"/>
  <c r="J1327"/>
  <c r="J1326"/>
  <c r="J1325"/>
  <c r="J1324"/>
  <c r="J1323"/>
  <c r="J1322"/>
  <c r="J1321"/>
  <c r="J1320"/>
  <c r="J1318"/>
  <c r="J1317"/>
  <c r="J1316"/>
  <c r="J1315"/>
  <c r="J1314"/>
  <c r="J1313"/>
  <c r="J1312"/>
  <c r="J1311"/>
  <c r="J1310"/>
  <c r="J1309"/>
  <c r="J1308"/>
  <c r="J1306"/>
  <c r="J1304"/>
  <c r="J1303"/>
  <c r="J1302"/>
  <c r="J1300"/>
  <c r="J1297"/>
  <c r="J1296"/>
  <c r="J1295"/>
  <c r="J1293"/>
  <c r="J1292"/>
  <c r="J1290"/>
  <c r="J1289"/>
  <c r="J1287"/>
  <c r="J1284"/>
  <c r="J1283"/>
  <c r="J1280"/>
  <c r="J1279"/>
  <c r="J1278"/>
  <c r="J1276"/>
  <c r="J1275"/>
  <c r="J1273"/>
  <c r="J1271"/>
  <c r="J1269"/>
  <c r="J1268"/>
  <c r="J1267"/>
  <c r="J1266"/>
  <c r="J1264"/>
  <c r="J1258"/>
  <c r="J1257"/>
  <c r="J1253"/>
  <c r="J1248"/>
  <c r="J1245"/>
  <c r="J1244"/>
  <c r="J1237"/>
  <c r="J1231"/>
  <c r="J1228"/>
  <c r="J1223"/>
  <c r="J1220"/>
  <c r="J1219"/>
  <c r="J1217"/>
  <c r="J1214"/>
  <c r="J1211"/>
  <c r="J1209"/>
  <c r="J1202"/>
  <c r="J1200"/>
  <c r="J1197"/>
  <c r="J1193"/>
  <c r="J1188"/>
  <c r="J1181"/>
  <c r="J1177"/>
  <c r="J1173"/>
  <c r="J1171"/>
  <c r="J1170"/>
  <c r="J1168"/>
  <c r="J1167"/>
  <c r="J1166"/>
  <c r="J1165"/>
  <c r="J1164"/>
  <c r="J1163"/>
  <c r="J1162"/>
  <c r="J1161"/>
  <c r="J1159"/>
  <c r="J1158"/>
  <c r="J1156"/>
  <c r="J1155"/>
  <c r="J1154"/>
  <c r="J1153"/>
  <c r="J1151"/>
  <c r="J1149"/>
  <c r="J1148"/>
  <c r="J1146"/>
  <c r="J1145"/>
  <c r="J1144"/>
  <c r="J1143"/>
  <c r="J1142"/>
  <c r="J1141"/>
  <c r="J1140"/>
  <c r="J1137"/>
  <c r="J1136"/>
  <c r="J1135"/>
  <c r="J1134"/>
  <c r="J1132"/>
  <c r="J1131"/>
  <c r="J1130"/>
  <c r="J1129"/>
  <c r="J1127"/>
  <c r="J1126"/>
  <c r="J1124"/>
  <c r="J1121"/>
  <c r="J1119"/>
  <c r="J1116"/>
  <c r="J1114"/>
  <c r="J1112"/>
  <c r="J1111"/>
  <c r="J1110"/>
  <c r="J1108"/>
  <c r="J1107"/>
  <c r="J1106"/>
  <c r="J1105"/>
  <c r="J1104"/>
  <c r="J1101"/>
  <c r="J1100"/>
  <c r="J1098"/>
  <c r="J1096"/>
  <c r="J1095"/>
  <c r="J1093"/>
  <c r="J1090"/>
  <c r="J1089"/>
  <c r="J1087"/>
  <c r="J1086"/>
  <c r="J1084"/>
  <c r="J1083"/>
  <c r="J1082"/>
  <c r="J1081"/>
  <c r="J1080"/>
  <c r="J1078"/>
  <c r="J1076"/>
  <c r="J1075"/>
  <c r="J1073"/>
  <c r="J1072"/>
  <c r="J1071"/>
  <c r="J1070"/>
  <c r="J1068"/>
  <c r="J1066"/>
  <c r="J1065"/>
  <c r="J1063"/>
  <c r="J1062"/>
  <c r="J1061"/>
  <c r="J1059"/>
  <c r="J1058"/>
  <c r="J1054"/>
  <c r="J1053"/>
  <c r="J1052"/>
  <c r="J1051"/>
  <c r="J1049"/>
  <c r="J1047"/>
  <c r="J1045"/>
  <c r="J1043"/>
  <c r="J1041"/>
  <c r="J1040"/>
  <c r="J1038"/>
  <c r="J1037"/>
  <c r="J1035"/>
  <c r="J1033"/>
  <c r="J1031"/>
  <c r="J1030"/>
  <c r="J1029"/>
  <c r="J1027"/>
  <c r="J1025"/>
  <c r="J1024"/>
  <c r="J1023"/>
  <c r="J1022"/>
  <c r="J1019"/>
  <c r="J1018"/>
  <c r="J1017"/>
  <c r="J1016"/>
  <c r="J1014"/>
  <c r="J1013"/>
  <c r="J1012"/>
  <c r="J1011"/>
  <c r="J1009"/>
  <c r="J1006"/>
  <c r="J1005"/>
  <c r="J1004"/>
  <c r="J1003"/>
  <c r="J1001"/>
  <c r="J1000"/>
  <c r="J999"/>
  <c r="J998"/>
  <c r="J997"/>
  <c r="J996"/>
  <c r="J994"/>
  <c r="J993"/>
  <c r="J992"/>
  <c r="J991"/>
  <c r="J989"/>
  <c r="J988"/>
  <c r="J987"/>
  <c r="J986"/>
  <c r="J985"/>
  <c r="J984"/>
  <c r="J981"/>
  <c r="J980"/>
  <c r="J979"/>
  <c r="J978"/>
  <c r="J977"/>
  <c r="J976"/>
  <c r="J975"/>
  <c r="J974"/>
  <c r="J971"/>
  <c r="J970"/>
  <c r="J969"/>
  <c r="J968"/>
  <c r="J967"/>
  <c r="J966"/>
  <c r="J964"/>
  <c r="J961"/>
  <c r="J959"/>
  <c r="J957"/>
  <c r="J955"/>
  <c r="J954"/>
  <c r="J952"/>
  <c r="J950"/>
  <c r="J949"/>
  <c r="J947"/>
  <c r="J945"/>
  <c r="J944"/>
  <c r="J943"/>
  <c r="J941"/>
  <c r="J940"/>
  <c r="J936"/>
  <c r="J935"/>
  <c r="J934"/>
  <c r="J932"/>
  <c r="J928"/>
  <c r="J926"/>
  <c r="J925"/>
  <c r="J923"/>
  <c r="J922"/>
  <c r="J921"/>
  <c r="J919"/>
  <c r="J918"/>
  <c r="J917"/>
  <c r="J916"/>
  <c r="J912"/>
  <c r="J911"/>
  <c r="J910"/>
  <c r="J909"/>
  <c r="J908"/>
  <c r="J907"/>
  <c r="J906"/>
  <c r="J903"/>
  <c r="J901"/>
  <c r="J900"/>
  <c r="J899"/>
  <c r="J898"/>
  <c r="J896"/>
  <c r="J895"/>
  <c r="J893"/>
  <c r="J892"/>
  <c r="J891"/>
  <c r="J890"/>
  <c r="J889"/>
  <c r="J888"/>
  <c r="J886"/>
  <c r="J885"/>
  <c r="J884"/>
  <c r="J881"/>
  <c r="J876"/>
  <c r="J875"/>
  <c r="J872"/>
  <c r="J870"/>
  <c r="J868"/>
  <c r="J865"/>
  <c r="J862"/>
  <c r="J861"/>
  <c r="J859"/>
  <c r="J857"/>
  <c r="J855"/>
  <c r="J854"/>
  <c r="J853"/>
  <c r="J850"/>
  <c r="J849"/>
  <c r="J847"/>
  <c r="J846"/>
  <c r="J844"/>
  <c r="J843"/>
  <c r="J842"/>
  <c r="J840"/>
  <c r="J835"/>
  <c r="J834"/>
  <c r="J831"/>
  <c r="J828"/>
  <c r="J827"/>
  <c r="J826"/>
  <c r="J825"/>
  <c r="J823"/>
  <c r="J819"/>
  <c r="J818"/>
  <c r="J817"/>
  <c r="J815"/>
  <c r="J813"/>
  <c r="J810"/>
  <c r="J809"/>
  <c r="J808"/>
  <c r="J805"/>
  <c r="J804"/>
  <c r="J802"/>
  <c r="J800"/>
  <c r="J799"/>
  <c r="J798"/>
  <c r="J795"/>
  <c r="J793"/>
  <c r="J792"/>
  <c r="J791"/>
  <c r="J786"/>
  <c r="J785"/>
  <c r="J784"/>
  <c r="J783"/>
  <c r="J782"/>
  <c r="J779"/>
  <c r="J778"/>
  <c r="J777"/>
  <c r="J776"/>
  <c r="J774"/>
  <c r="J772"/>
  <c r="J771"/>
  <c r="J770"/>
  <c r="J768"/>
  <c r="J765"/>
  <c r="J759"/>
  <c r="J758"/>
  <c r="J756"/>
  <c r="J753"/>
  <c r="J752"/>
  <c r="J749"/>
  <c r="J746"/>
  <c r="J745"/>
  <c r="J744"/>
  <c r="J743"/>
  <c r="J742"/>
  <c r="J737"/>
  <c r="J725"/>
  <c r="J724"/>
  <c r="J723"/>
  <c r="J721"/>
  <c r="J720"/>
  <c r="J717"/>
  <c r="J713"/>
  <c r="J710"/>
  <c r="J709"/>
  <c r="J706"/>
  <c r="J703"/>
  <c r="J701"/>
  <c r="J700"/>
  <c r="J699"/>
  <c r="J698"/>
  <c r="J697"/>
  <c r="J695"/>
  <c r="J693"/>
  <c r="J692"/>
  <c r="J690"/>
  <c r="J687"/>
  <c r="J685"/>
  <c r="J684"/>
  <c r="J683"/>
  <c r="J682"/>
  <c r="J681"/>
  <c r="J680"/>
  <c r="J678"/>
  <c r="J677"/>
  <c r="J676"/>
  <c r="J675"/>
  <c r="J674"/>
  <c r="J670"/>
  <c r="J669"/>
  <c r="J668"/>
  <c r="J667"/>
  <c r="J666"/>
  <c r="J664"/>
  <c r="J663"/>
  <c r="J662"/>
  <c r="J661"/>
  <c r="J659"/>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R1392" i="1"/>
  <c r="T1392"/>
  <c r="P1392"/>
  <c r="O1392"/>
  <c r="K1392"/>
  <c r="T1417" l="1"/>
  <c r="P1417"/>
  <c r="O1417"/>
  <c r="K1417"/>
  <c r="R1773"/>
  <c r="T1773"/>
  <c r="P1773"/>
  <c r="O1773"/>
  <c r="R1506"/>
  <c r="T1506"/>
  <c r="P1506"/>
  <c r="O1506"/>
  <c r="K1506"/>
  <c r="R1494"/>
  <c r="T1494"/>
  <c r="P1494"/>
  <c r="O1494"/>
  <c r="R1493"/>
  <c r="T1493"/>
  <c r="P1493"/>
  <c r="O1493"/>
  <c r="K1493"/>
  <c r="R1469"/>
  <c r="T1469"/>
  <c r="P1469"/>
  <c r="O1469"/>
  <c r="K1469"/>
  <c r="R1473"/>
  <c r="T1473"/>
  <c r="P1473"/>
  <c r="O1473"/>
  <c r="K1473"/>
  <c r="R1466"/>
  <c r="T1466"/>
  <c r="P1466"/>
  <c r="O1466"/>
  <c r="K1466"/>
  <c r="M111" i="26" l="1"/>
  <c r="M84"/>
  <c r="M58"/>
  <c r="A53"/>
  <c r="AK51"/>
  <c r="AK35"/>
  <c r="M35"/>
  <c r="M11"/>
  <c r="N79" l="1"/>
  <c r="N54"/>
  <c r="N81"/>
  <c r="AL49"/>
  <c r="N107"/>
  <c r="B47"/>
  <c r="AL40"/>
  <c r="AL51" s="1"/>
  <c r="N7"/>
  <c r="N5"/>
  <c r="N11" s="1"/>
  <c r="N10"/>
  <c r="N8"/>
  <c r="N6"/>
  <c r="AL30"/>
  <c r="AL32"/>
  <c r="AL34"/>
  <c r="N32"/>
  <c r="N30"/>
  <c r="N108"/>
  <c r="N106"/>
  <c r="AL31"/>
  <c r="N110"/>
  <c r="B51"/>
  <c r="B48"/>
  <c r="B49"/>
  <c r="B46"/>
  <c r="B53" s="1"/>
  <c r="N57"/>
  <c r="N53"/>
  <c r="N55"/>
  <c r="N80"/>
  <c r="N78"/>
  <c r="N84" s="1"/>
  <c r="AL43"/>
  <c r="AL42"/>
  <c r="AL50"/>
  <c r="N31"/>
  <c r="N34"/>
  <c r="AL41"/>
  <c r="B50"/>
  <c r="B45"/>
  <c r="B52"/>
  <c r="N83"/>
  <c r="AL29"/>
  <c r="AL35" s="1"/>
  <c r="N52"/>
  <c r="N58" s="1"/>
  <c r="AK61"/>
  <c r="AL59" s="1"/>
  <c r="N105"/>
  <c r="N111" s="1"/>
  <c r="AL33"/>
  <c r="N56"/>
  <c r="N109"/>
  <c r="N29"/>
  <c r="N35" s="1"/>
  <c r="N9"/>
  <c r="N33"/>
  <c r="N82"/>
  <c r="R1456" i="1"/>
  <c r="T1456"/>
  <c r="P1456"/>
  <c r="O1456"/>
  <c r="K1456"/>
  <c r="R1471"/>
  <c r="T1471"/>
  <c r="P1471"/>
  <c r="O1471"/>
  <c r="K1471"/>
  <c r="R1476"/>
  <c r="T1476"/>
  <c r="P1476"/>
  <c r="O1476"/>
  <c r="R1458"/>
  <c r="T1458"/>
  <c r="P1458"/>
  <c r="O1458"/>
  <c r="K1458"/>
  <c r="J58" i="17"/>
  <c r="R1455" i="1"/>
  <c r="T1455"/>
  <c r="P1455"/>
  <c r="O1455"/>
  <c r="R1468"/>
  <c r="T1468"/>
  <c r="P1468"/>
  <c r="O1468"/>
  <c r="R1480"/>
  <c r="T1480"/>
  <c r="P1480"/>
  <c r="O1480"/>
  <c r="K1480"/>
  <c r="J57" i="17"/>
  <c r="R1475" i="1"/>
  <c r="T1475"/>
  <c r="P1475"/>
  <c r="O1475"/>
  <c r="K1475"/>
  <c r="R1438"/>
  <c r="T1438"/>
  <c r="P1438"/>
  <c r="O1438"/>
  <c r="K1438"/>
  <c r="T1436"/>
  <c r="P1436"/>
  <c r="O1436"/>
  <c r="K1436"/>
  <c r="R1445"/>
  <c r="T1445"/>
  <c r="P1445"/>
  <c r="O1445"/>
  <c r="R1479"/>
  <c r="T1479"/>
  <c r="P1479"/>
  <c r="O1479"/>
  <c r="R1442"/>
  <c r="T1442"/>
  <c r="P1442"/>
  <c r="O1442"/>
  <c r="K1442"/>
  <c r="J56" i="17"/>
  <c r="AL56" i="26" l="1"/>
  <c r="AL55"/>
  <c r="AL61" s="1"/>
  <c r="AL60"/>
  <c r="AL57"/>
  <c r="AL58"/>
  <c r="R1478" i="1"/>
  <c r="T1478"/>
  <c r="P1478"/>
  <c r="O1478"/>
  <c r="K1478"/>
  <c r="T1418"/>
  <c r="P1418"/>
  <c r="O1418"/>
  <c r="K1418"/>
  <c r="R1467"/>
  <c r="T1467"/>
  <c r="P1467"/>
  <c r="O1467"/>
  <c r="K1467"/>
  <c r="R1461"/>
  <c r="T1461"/>
  <c r="P1461"/>
  <c r="O1461"/>
  <c r="K1461"/>
  <c r="R1474"/>
  <c r="T1474"/>
  <c r="P1474"/>
  <c r="O1474"/>
  <c r="R1449"/>
  <c r="T1449"/>
  <c r="P1449"/>
  <c r="O1449"/>
  <c r="R1447"/>
  <c r="T1447"/>
  <c r="P1447"/>
  <c r="O1447"/>
  <c r="K1447"/>
  <c r="R1454"/>
  <c r="T1454"/>
  <c r="P1454"/>
  <c r="O1454"/>
  <c r="R1416"/>
  <c r="T1416"/>
  <c r="P1416"/>
  <c r="O1416"/>
  <c r="K1416"/>
  <c r="R1453"/>
  <c r="T1453"/>
  <c r="P1453"/>
  <c r="O1453"/>
  <c r="K1453"/>
  <c r="R1472"/>
  <c r="T1472"/>
  <c r="P1472"/>
  <c r="O1472"/>
  <c r="R1446"/>
  <c r="T1446"/>
  <c r="P1446"/>
  <c r="O1446"/>
  <c r="T1408" l="1"/>
  <c r="P1408"/>
  <c r="O1408"/>
  <c r="R1459"/>
  <c r="T1459"/>
  <c r="P1459"/>
  <c r="O1459"/>
  <c r="K1459"/>
  <c r="R1448"/>
  <c r="T1448"/>
  <c r="P1448"/>
  <c r="O1448"/>
  <c r="K1448"/>
  <c r="R1368"/>
  <c r="T1368"/>
  <c r="P1368"/>
  <c r="O1368"/>
  <c r="K1368"/>
  <c r="T1387" l="1"/>
  <c r="P1387"/>
  <c r="O1387"/>
  <c r="K1387"/>
  <c r="R1393"/>
  <c r="T1393"/>
  <c r="P1393"/>
  <c r="O1393"/>
  <c r="K1393"/>
  <c r="R1452"/>
  <c r="T1452"/>
  <c r="P1452"/>
  <c r="O1452"/>
  <c r="R1465"/>
  <c r="T1465"/>
  <c r="P1465"/>
  <c r="O1465"/>
  <c r="K1465"/>
  <c r="R1444"/>
  <c r="T1444"/>
  <c r="P1444"/>
  <c r="O1444"/>
  <c r="K1444"/>
  <c r="R1482"/>
  <c r="T1482"/>
  <c r="P1482"/>
  <c r="O1482"/>
  <c r="K1482"/>
  <c r="T1429"/>
  <c r="P1429"/>
  <c r="O1429"/>
  <c r="K1429"/>
  <c r="R1435"/>
  <c r="T1435"/>
  <c r="P1435"/>
  <c r="O1435"/>
  <c r="R1443"/>
  <c r="T1443"/>
  <c r="P1443"/>
  <c r="O1443"/>
  <c r="R1434"/>
  <c r="T1434"/>
  <c r="P1434"/>
  <c r="O1434"/>
  <c r="R1391"/>
  <c r="T1391"/>
  <c r="P1391"/>
  <c r="O1391"/>
  <c r="K1391"/>
  <c r="R1462"/>
  <c r="T1462"/>
  <c r="P1462"/>
  <c r="O1462"/>
  <c r="K1462"/>
  <c r="J51" i="17"/>
  <c r="J50"/>
  <c r="T1407" i="1" l="1"/>
  <c r="P1407"/>
  <c r="O1407"/>
  <c r="R1529"/>
  <c r="T1529"/>
  <c r="P1529"/>
  <c r="O1529"/>
  <c r="T1415"/>
  <c r="P1415"/>
  <c r="O1415"/>
  <c r="T1421"/>
  <c r="P1421"/>
  <c r="O1421"/>
  <c r="T1399"/>
  <c r="P1399"/>
  <c r="O1399"/>
  <c r="K1399"/>
  <c r="R1441"/>
  <c r="T1441"/>
  <c r="P1441"/>
  <c r="O1441"/>
  <c r="K1441"/>
  <c r="R1440"/>
  <c r="T1440"/>
  <c r="P1440"/>
  <c r="O1440"/>
  <c r="T1409"/>
  <c r="P1409"/>
  <c r="O1409"/>
  <c r="K1409"/>
  <c r="R1420"/>
  <c r="T1420"/>
  <c r="P1420"/>
  <c r="O1420"/>
  <c r="K1420"/>
  <c r="T1398"/>
  <c r="P1398"/>
  <c r="O1398"/>
  <c r="R1433"/>
  <c r="T1433"/>
  <c r="P1433"/>
  <c r="O1433"/>
  <c r="K1433"/>
  <c r="R1423" l="1"/>
  <c r="T1423"/>
  <c r="P1423"/>
  <c r="O1423"/>
  <c r="K1423"/>
  <c r="R1386"/>
  <c r="T1386"/>
  <c r="P1386"/>
  <c r="O1386"/>
  <c r="T1406"/>
  <c r="P1406"/>
  <c r="O1406"/>
  <c r="R1385"/>
  <c r="T1385"/>
  <c r="P1385"/>
  <c r="O1385"/>
  <c r="K1385"/>
  <c r="R1390"/>
  <c r="T1390"/>
  <c r="P1390"/>
  <c r="O1390"/>
  <c r="K1390"/>
  <c r="T1404"/>
  <c r="P1404"/>
  <c r="O1404"/>
  <c r="K1404"/>
  <c r="R1451" l="1"/>
  <c r="T1451"/>
  <c r="P1451"/>
  <c r="O1451"/>
  <c r="R1464"/>
  <c r="T1464"/>
  <c r="P1464"/>
  <c r="O1464"/>
  <c r="T1400"/>
  <c r="P1400"/>
  <c r="O1400"/>
  <c r="K1400"/>
  <c r="R1428"/>
  <c r="T1428"/>
  <c r="P1428"/>
  <c r="O1428"/>
  <c r="T1410"/>
  <c r="P1410"/>
  <c r="O1410"/>
  <c r="T1414"/>
  <c r="P1414"/>
  <c r="O1414"/>
  <c r="K23" i="9" s="1"/>
  <c r="R1425" i="1"/>
  <c r="T1425"/>
  <c r="P1425"/>
  <c r="O1425"/>
  <c r="K1425"/>
  <c r="T1419"/>
  <c r="P1419"/>
  <c r="O1419"/>
  <c r="T1401"/>
  <c r="P1401"/>
  <c r="O1401"/>
  <c r="K1401"/>
  <c r="T1397"/>
  <c r="P1397"/>
  <c r="O1397"/>
  <c r="K1397"/>
  <c r="T1396"/>
  <c r="P1396"/>
  <c r="O1396"/>
  <c r="K1396"/>
  <c r="T1422"/>
  <c r="P1422"/>
  <c r="O1422"/>
  <c r="T1426"/>
  <c r="P1426"/>
  <c r="O1426"/>
  <c r="K1426"/>
  <c r="R1403" l="1"/>
  <c r="T1403"/>
  <c r="P1403"/>
  <c r="O1403"/>
  <c r="K1403"/>
  <c r="T1402"/>
  <c r="P1402"/>
  <c r="O1402"/>
  <c r="R1395"/>
  <c r="T1395"/>
  <c r="P1395"/>
  <c r="O1395"/>
  <c r="K1395"/>
  <c r="T1380"/>
  <c r="P1380"/>
  <c r="O1380"/>
  <c r="T1378"/>
  <c r="P1378"/>
  <c r="O1378"/>
  <c r="R1383"/>
  <c r="T1383"/>
  <c r="P1383"/>
  <c r="O1383"/>
  <c r="K1383"/>
  <c r="R1379"/>
  <c r="T1379"/>
  <c r="P1379"/>
  <c r="O1379"/>
  <c r="K1379"/>
  <c r="T1382"/>
  <c r="P1382"/>
  <c r="O1382"/>
  <c r="K1382"/>
  <c r="R1320"/>
  <c r="T1320"/>
  <c r="P1320"/>
  <c r="O1320"/>
  <c r="R1432" l="1"/>
  <c r="T1432"/>
  <c r="P1432"/>
  <c r="O1432"/>
  <c r="K1432"/>
  <c r="T1405" l="1"/>
  <c r="P1405"/>
  <c r="O1405"/>
  <c r="R1371" l="1"/>
  <c r="T1371"/>
  <c r="P1371"/>
  <c r="O1371"/>
  <c r="K1371"/>
  <c r="T1375"/>
  <c r="P1375"/>
  <c r="O1375"/>
  <c r="T1384"/>
  <c r="P1384"/>
  <c r="O1384"/>
  <c r="R1366"/>
  <c r="T1366"/>
  <c r="P1366"/>
  <c r="O1366"/>
  <c r="R1394"/>
  <c r="T1394"/>
  <c r="P1394"/>
  <c r="O1394"/>
  <c r="K1394"/>
  <c r="T1381"/>
  <c r="P1381"/>
  <c r="O1381"/>
  <c r="K1381"/>
  <c r="R1376"/>
  <c r="T1376"/>
  <c r="P1376"/>
  <c r="O1376"/>
  <c r="R1374"/>
  <c r="T1374"/>
  <c r="P1374"/>
  <c r="O1374"/>
  <c r="K1374"/>
  <c r="R1439"/>
  <c r="T1439"/>
  <c r="P1439"/>
  <c r="O1439"/>
  <c r="K22" i="9" s="1"/>
  <c r="T1413" i="1"/>
  <c r="P1413"/>
  <c r="O1413"/>
  <c r="K1413"/>
  <c r="R1370"/>
  <c r="I46" i="28" s="1"/>
  <c r="T1370" i="1"/>
  <c r="P1370"/>
  <c r="O1370"/>
  <c r="K1370"/>
  <c r="R1365" l="1"/>
  <c r="T1365"/>
  <c r="P1365"/>
  <c r="O1365"/>
  <c r="R1377" l="1"/>
  <c r="T1377"/>
  <c r="P1377"/>
  <c r="O1377"/>
  <c r="K1377"/>
  <c r="R1369"/>
  <c r="T1369"/>
  <c r="P1369"/>
  <c r="O1369"/>
  <c r="R1342"/>
  <c r="T1342"/>
  <c r="P1342"/>
  <c r="O1342"/>
  <c r="K1342"/>
  <c r="R1339"/>
  <c r="T1339"/>
  <c r="P1339"/>
  <c r="O1339"/>
  <c r="K1339"/>
  <c r="R1388"/>
  <c r="T1388"/>
  <c r="P1388"/>
  <c r="O1388"/>
  <c r="K1388"/>
  <c r="K1333" l="1"/>
  <c r="R1333"/>
  <c r="T1333"/>
  <c r="P1333"/>
  <c r="O1333"/>
  <c r="R1437"/>
  <c r="T1437"/>
  <c r="P1437"/>
  <c r="O1437"/>
  <c r="T1389"/>
  <c r="P1389"/>
  <c r="O1389"/>
  <c r="K1389"/>
  <c r="T1427"/>
  <c r="P1427"/>
  <c r="O1427"/>
  <c r="R1372"/>
  <c r="T1372"/>
  <c r="P1372"/>
  <c r="O1372"/>
  <c r="R1361"/>
  <c r="T1361"/>
  <c r="P1361"/>
  <c r="O1361"/>
  <c r="K1361"/>
  <c r="R1362"/>
  <c r="T1362"/>
  <c r="P1362"/>
  <c r="O1362"/>
  <c r="K1362"/>
  <c r="R1351"/>
  <c r="T1351"/>
  <c r="P1351"/>
  <c r="O1351"/>
  <c r="K1351"/>
  <c r="R1357"/>
  <c r="T1357"/>
  <c r="P1357"/>
  <c r="O1357"/>
  <c r="K1357"/>
  <c r="R1431"/>
  <c r="T1431"/>
  <c r="P1431"/>
  <c r="O1431"/>
  <c r="T1373"/>
  <c r="P1373"/>
  <c r="O1373"/>
  <c r="K1373"/>
  <c r="R1348"/>
  <c r="T1348"/>
  <c r="P1348"/>
  <c r="O1348"/>
  <c r="K1348"/>
  <c r="R1363"/>
  <c r="T1363"/>
  <c r="P1363"/>
  <c r="O1363"/>
  <c r="K1363"/>
  <c r="J49" i="17"/>
  <c r="R1354" i="1"/>
  <c r="T1354"/>
  <c r="P1354"/>
  <c r="O1354"/>
  <c r="R1360"/>
  <c r="T1360"/>
  <c r="P1360"/>
  <c r="O1360"/>
  <c r="K1360"/>
  <c r="R1353"/>
  <c r="T1353"/>
  <c r="P1353"/>
  <c r="O1353"/>
  <c r="R1350"/>
  <c r="T1350"/>
  <c r="P1350"/>
  <c r="O1350"/>
  <c r="K1350"/>
  <c r="R1338" l="1"/>
  <c r="T1338"/>
  <c r="P1338"/>
  <c r="O1338"/>
  <c r="K1338"/>
  <c r="R1337"/>
  <c r="T1337"/>
  <c r="P1337"/>
  <c r="O1337"/>
  <c r="K1337"/>
  <c r="R1281"/>
  <c r="T1281"/>
  <c r="P1281"/>
  <c r="O1281"/>
  <c r="K1281"/>
  <c r="R1352"/>
  <c r="T1352"/>
  <c r="P1352"/>
  <c r="O1352"/>
  <c r="K1352"/>
  <c r="R1336"/>
  <c r="T1336"/>
  <c r="P1336"/>
  <c r="O1336"/>
  <c r="R1358"/>
  <c r="T1358"/>
  <c r="P1358"/>
  <c r="O1358"/>
  <c r="K1358"/>
  <c r="R1343"/>
  <c r="T1343"/>
  <c r="P1343"/>
  <c r="O1343"/>
  <c r="K1343"/>
  <c r="R1364"/>
  <c r="T1364"/>
  <c r="P1364"/>
  <c r="O1364"/>
  <c r="K1364"/>
  <c r="R1322"/>
  <c r="T1322"/>
  <c r="P1322"/>
  <c r="O1322"/>
  <c r="K1322"/>
  <c r="R1347"/>
  <c r="T1347"/>
  <c r="P1347"/>
  <c r="O1347"/>
  <c r="K1347"/>
  <c r="R1332"/>
  <c r="T1332"/>
  <c r="P1332"/>
  <c r="O1332"/>
  <c r="K1332"/>
  <c r="T1411"/>
  <c r="P1411"/>
  <c r="O1411"/>
  <c r="K1411"/>
  <c r="R1331"/>
  <c r="T1331"/>
  <c r="P1331"/>
  <c r="O1331"/>
  <c r="K1331"/>
  <c r="R1319"/>
  <c r="T1319"/>
  <c r="P1319"/>
  <c r="O1319"/>
  <c r="K1319"/>
  <c r="R1346"/>
  <c r="T1346"/>
  <c r="P1346"/>
  <c r="O1346"/>
  <c r="K1346"/>
  <c r="R1328"/>
  <c r="T1328"/>
  <c r="P1328"/>
  <c r="O1328"/>
  <c r="K1328"/>
  <c r="R1325"/>
  <c r="T1325"/>
  <c r="P1325"/>
  <c r="O1325"/>
  <c r="K1325"/>
  <c r="R1264" l="1"/>
  <c r="T1264"/>
  <c r="P1264"/>
  <c r="O1264"/>
  <c r="R1341"/>
  <c r="T1341"/>
  <c r="P1341"/>
  <c r="O1341"/>
  <c r="R1345"/>
  <c r="T1345"/>
  <c r="P1345"/>
  <c r="O1345"/>
  <c r="K1345"/>
  <c r="R1349"/>
  <c r="T1349"/>
  <c r="P1349"/>
  <c r="O1349"/>
  <c r="K1349"/>
  <c r="J48" i="17" l="1"/>
  <c r="R1344" i="1"/>
  <c r="T1344"/>
  <c r="P1344"/>
  <c r="O1344"/>
  <c r="R1327"/>
  <c r="T1327"/>
  <c r="P1327"/>
  <c r="O1327"/>
  <c r="K1327"/>
  <c r="T1367"/>
  <c r="P1367"/>
  <c r="O1367"/>
  <c r="K1367"/>
  <c r="R1330"/>
  <c r="T1330"/>
  <c r="P1330"/>
  <c r="O1330"/>
  <c r="K1330"/>
  <c r="K18" i="25" l="1"/>
  <c r="R1308" i="1"/>
  <c r="T1308"/>
  <c r="P1308"/>
  <c r="O1308"/>
  <c r="R1309"/>
  <c r="T1309"/>
  <c r="P1309"/>
  <c r="O1309"/>
  <c r="K1309"/>
  <c r="R1304"/>
  <c r="T1304"/>
  <c r="P1304"/>
  <c r="O1304"/>
  <c r="K1304"/>
  <c r="R1299"/>
  <c r="T1299"/>
  <c r="P1299"/>
  <c r="O1299"/>
  <c r="R1326"/>
  <c r="T1326"/>
  <c r="P1326"/>
  <c r="O1326"/>
  <c r="K1326"/>
  <c r="R1329"/>
  <c r="T1329"/>
  <c r="P1329"/>
  <c r="O1329"/>
  <c r="K1329"/>
  <c r="R1340"/>
  <c r="T1340"/>
  <c r="P1340"/>
  <c r="O1340"/>
  <c r="K1340"/>
  <c r="R1311"/>
  <c r="T1311"/>
  <c r="P1311"/>
  <c r="O1311"/>
  <c r="K1311"/>
  <c r="R1292"/>
  <c r="T1292"/>
  <c r="P1292"/>
  <c r="O1292"/>
  <c r="R1286"/>
  <c r="T1286"/>
  <c r="P1286"/>
  <c r="O1286"/>
  <c r="R1310" l="1"/>
  <c r="T1310"/>
  <c r="P1310"/>
  <c r="O1310"/>
  <c r="K1310"/>
  <c r="R1321"/>
  <c r="T1321"/>
  <c r="P1321"/>
  <c r="O1321"/>
  <c r="K1321"/>
  <c r="R1312"/>
  <c r="T1312"/>
  <c r="P1312"/>
  <c r="O1312"/>
  <c r="K1312"/>
  <c r="R1315"/>
  <c r="T1315"/>
  <c r="P1315"/>
  <c r="O1315"/>
  <c r="K1315"/>
  <c r="R1318"/>
  <c r="T1318"/>
  <c r="P1318"/>
  <c r="O1318"/>
  <c r="K1318"/>
  <c r="R1359"/>
  <c r="T1359"/>
  <c r="P1359"/>
  <c r="O1359"/>
  <c r="K1359"/>
  <c r="R1317"/>
  <c r="T1317"/>
  <c r="P1317"/>
  <c r="O1317"/>
  <c r="K1317"/>
  <c r="R1324"/>
  <c r="T1324"/>
  <c r="P1324"/>
  <c r="O1324"/>
  <c r="K1324"/>
  <c r="R1289"/>
  <c r="T1289"/>
  <c r="P1289"/>
  <c r="O1289"/>
  <c r="R1301"/>
  <c r="T1301"/>
  <c r="P1301"/>
  <c r="O1301"/>
  <c r="K1301"/>
  <c r="R1335"/>
  <c r="T1335"/>
  <c r="P1335"/>
  <c r="O1335"/>
  <c r="K1335"/>
  <c r="R1288"/>
  <c r="T1288"/>
  <c r="P1288"/>
  <c r="O1288"/>
  <c r="K1288"/>
  <c r="R1285"/>
  <c r="T1285"/>
  <c r="P1285"/>
  <c r="O1285"/>
  <c r="K1285"/>
  <c r="R1294"/>
  <c r="T1294"/>
  <c r="P1294"/>
  <c r="O1294"/>
  <c r="K1294"/>
  <c r="R1314"/>
  <c r="T1314"/>
  <c r="P1314"/>
  <c r="O1314"/>
  <c r="K1314"/>
  <c r="R1307"/>
  <c r="T1307"/>
  <c r="P1307"/>
  <c r="O1307"/>
  <c r="K1307"/>
  <c r="R1303"/>
  <c r="T1303"/>
  <c r="P1303"/>
  <c r="O1303"/>
  <c r="K1303"/>
  <c r="J47" i="17"/>
  <c r="R1316" i="1"/>
  <c r="T1316"/>
  <c r="P1316"/>
  <c r="O1316"/>
  <c r="K1316"/>
  <c r="R1323"/>
  <c r="T1323"/>
  <c r="P1323"/>
  <c r="O1323"/>
  <c r="K1323"/>
  <c r="R1300"/>
  <c r="T1300"/>
  <c r="P1300"/>
  <c r="O1300"/>
  <c r="R1297"/>
  <c r="T1297"/>
  <c r="P1297"/>
  <c r="O1297"/>
  <c r="K1297"/>
  <c r="R1313"/>
  <c r="T1313"/>
  <c r="P1313"/>
  <c r="O1313"/>
  <c r="K1313"/>
  <c r="R1296"/>
  <c r="T1296"/>
  <c r="P1296"/>
  <c r="O1296"/>
  <c r="K1296"/>
  <c r="R1291"/>
  <c r="T1291"/>
  <c r="P1291"/>
  <c r="O1291"/>
  <c r="K1291"/>
  <c r="R1262"/>
  <c r="T1262"/>
  <c r="P1262"/>
  <c r="O1262"/>
  <c r="R1302"/>
  <c r="T1302"/>
  <c r="P1302"/>
  <c r="O1302"/>
  <c r="R1290"/>
  <c r="T1290"/>
  <c r="P1290"/>
  <c r="O1290"/>
  <c r="K1290"/>
  <c r="R1293"/>
  <c r="T1293"/>
  <c r="P1293"/>
  <c r="O1293"/>
  <c r="K1293"/>
  <c r="R1279"/>
  <c r="T1279"/>
  <c r="P1279"/>
  <c r="O1279"/>
  <c r="K1279"/>
  <c r="R1284"/>
  <c r="T1284"/>
  <c r="P1284"/>
  <c r="O1284"/>
  <c r="K1284"/>
  <c r="R1287"/>
  <c r="T1287"/>
  <c r="P1287"/>
  <c r="O1287"/>
  <c r="R1278"/>
  <c r="T1278"/>
  <c r="P1278"/>
  <c r="O1278"/>
  <c r="K1278"/>
  <c r="R1306"/>
  <c r="T1306"/>
  <c r="P1306"/>
  <c r="O1306"/>
  <c r="R1212"/>
  <c r="T1212"/>
  <c r="P1212"/>
  <c r="O1212"/>
  <c r="K1212"/>
  <c r="R1283"/>
  <c r="T1283"/>
  <c r="P1283"/>
  <c r="O1283"/>
  <c r="R1201"/>
  <c r="T1201"/>
  <c r="P1201"/>
  <c r="O1201"/>
  <c r="K1201"/>
  <c r="R1356"/>
  <c r="T1356"/>
  <c r="P1356"/>
  <c r="O1356"/>
  <c r="K1356"/>
  <c r="R1298"/>
  <c r="T1298"/>
  <c r="P1298"/>
  <c r="O1298"/>
  <c r="K1298"/>
  <c r="R1191"/>
  <c r="T1191"/>
  <c r="P1191"/>
  <c r="O1191"/>
  <c r="R1276"/>
  <c r="T1276"/>
  <c r="P1276"/>
  <c r="O1276"/>
  <c r="K1276"/>
  <c r="I36" i="28" l="1"/>
  <c r="R1280" i="1"/>
  <c r="T1280"/>
  <c r="P1280"/>
  <c r="O1280"/>
  <c r="R1277"/>
  <c r="T1277"/>
  <c r="P1277"/>
  <c r="O1277"/>
  <c r="K1277"/>
  <c r="R1273"/>
  <c r="T1273"/>
  <c r="P1273"/>
  <c r="O1273"/>
  <c r="R1275"/>
  <c r="T1275"/>
  <c r="P1275"/>
  <c r="O1275"/>
  <c r="R1209"/>
  <c r="T1209"/>
  <c r="P1209"/>
  <c r="O1209"/>
  <c r="R1271"/>
  <c r="T1271"/>
  <c r="P1271"/>
  <c r="O1271"/>
  <c r="R1258" l="1"/>
  <c r="T1258"/>
  <c r="P1258"/>
  <c r="O1258"/>
  <c r="K1258"/>
  <c r="R1295"/>
  <c r="T1295"/>
  <c r="P1295"/>
  <c r="O1295"/>
  <c r="R1282"/>
  <c r="T1282"/>
  <c r="P1282"/>
  <c r="O1282"/>
  <c r="R1272"/>
  <c r="T1272"/>
  <c r="P1272"/>
  <c r="O1272"/>
  <c r="K1272"/>
  <c r="R1263"/>
  <c r="T1263"/>
  <c r="P1263"/>
  <c r="O1263"/>
  <c r="R1265"/>
  <c r="T1265"/>
  <c r="P1265"/>
  <c r="O1265"/>
  <c r="K1265"/>
  <c r="R1270"/>
  <c r="T1270"/>
  <c r="P1270"/>
  <c r="O1270"/>
  <c r="K1270"/>
  <c r="R1269"/>
  <c r="T1269"/>
  <c r="P1269"/>
  <c r="O1269"/>
  <c r="K1269"/>
  <c r="R1257"/>
  <c r="T1257"/>
  <c r="P1257"/>
  <c r="O1257"/>
  <c r="R1260"/>
  <c r="T1260"/>
  <c r="P1260"/>
  <c r="O1260"/>
  <c r="R1334"/>
  <c r="I56" i="28" s="1"/>
  <c r="T1334" i="1"/>
  <c r="P1334"/>
  <c r="O1334"/>
  <c r="K1334"/>
  <c r="R1251"/>
  <c r="T1251"/>
  <c r="P1251"/>
  <c r="O1251"/>
  <c r="R1268"/>
  <c r="T1268"/>
  <c r="P1268"/>
  <c r="O1268"/>
  <c r="K1268"/>
  <c r="R1259"/>
  <c r="T1259"/>
  <c r="P1259"/>
  <c r="O1259"/>
  <c r="K1259"/>
  <c r="R1274"/>
  <c r="T1274"/>
  <c r="P1274"/>
  <c r="O1274"/>
  <c r="K1274"/>
  <c r="J45" i="17"/>
  <c r="J44"/>
  <c r="R1355" i="1"/>
  <c r="T1355"/>
  <c r="P1355"/>
  <c r="O1355"/>
  <c r="K1355"/>
  <c r="J43" i="17"/>
  <c r="J42" l="1"/>
  <c r="R1254" i="1"/>
  <c r="T1254"/>
  <c r="P1254"/>
  <c r="O1254"/>
  <c r="K1254"/>
  <c r="R1189"/>
  <c r="T1189"/>
  <c r="P1189"/>
  <c r="O1189"/>
  <c r="K1189"/>
  <c r="R1267"/>
  <c r="T1267"/>
  <c r="P1267"/>
  <c r="O1267"/>
  <c r="K1267"/>
  <c r="R1255"/>
  <c r="T1255"/>
  <c r="P1255"/>
  <c r="O1255"/>
  <c r="R1261"/>
  <c r="T1261"/>
  <c r="P1261"/>
  <c r="O1261"/>
  <c r="R1250"/>
  <c r="T1250"/>
  <c r="P1250"/>
  <c r="O1250"/>
  <c r="R1222"/>
  <c r="T1222"/>
  <c r="P1222"/>
  <c r="O1222"/>
  <c r="R1253"/>
  <c r="T1253"/>
  <c r="P1253"/>
  <c r="O1253"/>
  <c r="R1245" l="1"/>
  <c r="T1245"/>
  <c r="P1245"/>
  <c r="O1245"/>
  <c r="K1245"/>
  <c r="R1249"/>
  <c r="T1249"/>
  <c r="P1249"/>
  <c r="O1249"/>
  <c r="K1249"/>
  <c r="R1242"/>
  <c r="T1242"/>
  <c r="P1242"/>
  <c r="O1242"/>
  <c r="R1244"/>
  <c r="T1244"/>
  <c r="P1244"/>
  <c r="O1244"/>
  <c r="R1165"/>
  <c r="T1165"/>
  <c r="P1165"/>
  <c r="O1165"/>
  <c r="K1165"/>
  <c r="R1305"/>
  <c r="T1305"/>
  <c r="P1305"/>
  <c r="O1305"/>
  <c r="K1305"/>
  <c r="R1225"/>
  <c r="T1225"/>
  <c r="P1225"/>
  <c r="O1225"/>
  <c r="R1235"/>
  <c r="T1235"/>
  <c r="P1235"/>
  <c r="O1235"/>
  <c r="R1241"/>
  <c r="T1241"/>
  <c r="P1241"/>
  <c r="O1241"/>
  <c r="R1256"/>
  <c r="T1256"/>
  <c r="P1256"/>
  <c r="O1256"/>
  <c r="R1248"/>
  <c r="T1248"/>
  <c r="P1248"/>
  <c r="O1248"/>
  <c r="R1247"/>
  <c r="T1247"/>
  <c r="P1247"/>
  <c r="O1247"/>
  <c r="R1239"/>
  <c r="T1239"/>
  <c r="P1239"/>
  <c r="O1239"/>
  <c r="T1140"/>
  <c r="P1140"/>
  <c r="O1140"/>
  <c r="T1150"/>
  <c r="P1150"/>
  <c r="O1150"/>
  <c r="R1224"/>
  <c r="T1224"/>
  <c r="P1224"/>
  <c r="O1224"/>
  <c r="R1238"/>
  <c r="T1238"/>
  <c r="P1238"/>
  <c r="O1238"/>
  <c r="K1238"/>
  <c r="R1230"/>
  <c r="T1230"/>
  <c r="P1230"/>
  <c r="O1230"/>
  <c r="R1266"/>
  <c r="T1266"/>
  <c r="P1266"/>
  <c r="O1266"/>
  <c r="R1233"/>
  <c r="T1233"/>
  <c r="P1233"/>
  <c r="O1233"/>
  <c r="R1208" l="1"/>
  <c r="T1208"/>
  <c r="P1208"/>
  <c r="O1208"/>
  <c r="R1227"/>
  <c r="T1227"/>
  <c r="P1227"/>
  <c r="O1227"/>
  <c r="R1246" l="1"/>
  <c r="T1246"/>
  <c r="P1246"/>
  <c r="O1246"/>
  <c r="K1246"/>
  <c r="R1232"/>
  <c r="T1232"/>
  <c r="P1232"/>
  <c r="O1232"/>
  <c r="K1232"/>
  <c r="R1231"/>
  <c r="T1231"/>
  <c r="P1231"/>
  <c r="O1231"/>
  <c r="R1229"/>
  <c r="T1229"/>
  <c r="P1229"/>
  <c r="O1229"/>
  <c r="K1229"/>
  <c r="R1226"/>
  <c r="T1226"/>
  <c r="P1226"/>
  <c r="O1226"/>
  <c r="R1173"/>
  <c r="T1173"/>
  <c r="P1173"/>
  <c r="O1173"/>
  <c r="R1220"/>
  <c r="T1220"/>
  <c r="P1220"/>
  <c r="O1220"/>
  <c r="K1220"/>
  <c r="R1223"/>
  <c r="T1223"/>
  <c r="P1223"/>
  <c r="O1223"/>
  <c r="K1223"/>
  <c r="R1236"/>
  <c r="T1236"/>
  <c r="P1236"/>
  <c r="O1236"/>
  <c r="R1243"/>
  <c r="T1243"/>
  <c r="P1243"/>
  <c r="O1243"/>
  <c r="R1210" l="1"/>
  <c r="T1210"/>
  <c r="P1210"/>
  <c r="O1210"/>
  <c r="K1210"/>
  <c r="R1240"/>
  <c r="T1240"/>
  <c r="P1240"/>
  <c r="O1240"/>
  <c r="R1171"/>
  <c r="T1171"/>
  <c r="P1171"/>
  <c r="O1171"/>
  <c r="K1171"/>
  <c r="R1221"/>
  <c r="T1221"/>
  <c r="P1221"/>
  <c r="O1221"/>
  <c r="K1221"/>
  <c r="R1217"/>
  <c r="T1217"/>
  <c r="P1217"/>
  <c r="O1217"/>
  <c r="R1219"/>
  <c r="T1219"/>
  <c r="P1219"/>
  <c r="O1219"/>
  <c r="R1218"/>
  <c r="T1218"/>
  <c r="P1218"/>
  <c r="O1218"/>
  <c r="K1218"/>
  <c r="R1252"/>
  <c r="T1252"/>
  <c r="P1252"/>
  <c r="O1252"/>
  <c r="R1228"/>
  <c r="T1228"/>
  <c r="P1228"/>
  <c r="O1228"/>
  <c r="R1237"/>
  <c r="T1237"/>
  <c r="P1237"/>
  <c r="O1237"/>
  <c r="R1215"/>
  <c r="T1215"/>
  <c r="P1215"/>
  <c r="O1215"/>
  <c r="K1215"/>
  <c r="R1214"/>
  <c r="T1214"/>
  <c r="P1214"/>
  <c r="O1214"/>
  <c r="R1211"/>
  <c r="T1211"/>
  <c r="P1211"/>
  <c r="O1211"/>
  <c r="R1216"/>
  <c r="T1216"/>
  <c r="P1216"/>
  <c r="O1216"/>
  <c r="R1199"/>
  <c r="T1199"/>
  <c r="P1199"/>
  <c r="O1199"/>
  <c r="R1207"/>
  <c r="T1207"/>
  <c r="P1207"/>
  <c r="O1207"/>
  <c r="R1159"/>
  <c r="T1159"/>
  <c r="P1159"/>
  <c r="O1159"/>
  <c r="K1159"/>
  <c r="R1204"/>
  <c r="T1204"/>
  <c r="P1204"/>
  <c r="O1204"/>
  <c r="R1188"/>
  <c r="T1188"/>
  <c r="P1188"/>
  <c r="O1188"/>
  <c r="R1047" l="1"/>
  <c r="T1047"/>
  <c r="P1047"/>
  <c r="O1047"/>
  <c r="T1095" l="1"/>
  <c r="R1095"/>
  <c r="P1095"/>
  <c r="O1095"/>
  <c r="R1198"/>
  <c r="T1198"/>
  <c r="P1198"/>
  <c r="O1198"/>
  <c r="K1198"/>
  <c r="R1184"/>
  <c r="H86" i="28" s="1"/>
  <c r="T1184" i="1"/>
  <c r="P1184"/>
  <c r="O1184"/>
  <c r="R1178"/>
  <c r="T1178"/>
  <c r="P1178"/>
  <c r="O1178"/>
  <c r="K1178"/>
  <c r="R1200"/>
  <c r="T1200"/>
  <c r="P1200"/>
  <c r="O1200"/>
  <c r="R1206"/>
  <c r="T1206"/>
  <c r="P1206"/>
  <c r="O1206"/>
  <c r="R1196"/>
  <c r="T1196"/>
  <c r="P1196"/>
  <c r="O1196"/>
  <c r="R1203"/>
  <c r="T1203"/>
  <c r="P1203"/>
  <c r="O1203"/>
  <c r="K1203"/>
  <c r="R1179" l="1"/>
  <c r="T1179"/>
  <c r="P1179"/>
  <c r="O1179"/>
  <c r="R1187"/>
  <c r="T1187"/>
  <c r="P1187"/>
  <c r="O1187"/>
  <c r="R1197"/>
  <c r="T1197"/>
  <c r="P1197"/>
  <c r="O1197"/>
  <c r="R1186"/>
  <c r="T1186"/>
  <c r="P1186"/>
  <c r="O1186"/>
  <c r="R1177"/>
  <c r="T1177"/>
  <c r="P1177"/>
  <c r="O1177"/>
  <c r="J41" i="17"/>
  <c r="R1183" i="1" l="1"/>
  <c r="T1183"/>
  <c r="P1183"/>
  <c r="O1183"/>
  <c r="R1194"/>
  <c r="T1194"/>
  <c r="P1194"/>
  <c r="O1194"/>
  <c r="K1194"/>
  <c r="R1175"/>
  <c r="T1175"/>
  <c r="P1175"/>
  <c r="O1175"/>
  <c r="R1185" l="1"/>
  <c r="T1185"/>
  <c r="P1185"/>
  <c r="O1185"/>
  <c r="R1195"/>
  <c r="T1195"/>
  <c r="P1195"/>
  <c r="O1195"/>
  <c r="R1182"/>
  <c r="T1182"/>
  <c r="P1182"/>
  <c r="O1182"/>
  <c r="K1182"/>
  <c r="R1193"/>
  <c r="T1193"/>
  <c r="P1193"/>
  <c r="O1193"/>
  <c r="R1149"/>
  <c r="T1149"/>
  <c r="P1149"/>
  <c r="O1149"/>
  <c r="K1149"/>
  <c r="R1151"/>
  <c r="T1151"/>
  <c r="P1151"/>
  <c r="O1151"/>
  <c r="K1151"/>
  <c r="R1213"/>
  <c r="T1213"/>
  <c r="P1213"/>
  <c r="O1213"/>
  <c r="R1181"/>
  <c r="T1181"/>
  <c r="P1181"/>
  <c r="O1181"/>
  <c r="R1190"/>
  <c r="T1190"/>
  <c r="P1190"/>
  <c r="O1190"/>
  <c r="R1176"/>
  <c r="T1176"/>
  <c r="P1176"/>
  <c r="O1176"/>
  <c r="R1205"/>
  <c r="T1205"/>
  <c r="P1205"/>
  <c r="O1205"/>
  <c r="R1234"/>
  <c r="T1234"/>
  <c r="P1234"/>
  <c r="O1234"/>
  <c r="R1170"/>
  <c r="T1170"/>
  <c r="P1170"/>
  <c r="O1170"/>
  <c r="T1168"/>
  <c r="P1168"/>
  <c r="O1168"/>
  <c r="K1168"/>
  <c r="R1169"/>
  <c r="T1169"/>
  <c r="P1169"/>
  <c r="O1169"/>
  <c r="K1169"/>
  <c r="R1164"/>
  <c r="T1164"/>
  <c r="P1164"/>
  <c r="O1164"/>
  <c r="K1164"/>
  <c r="R1202"/>
  <c r="T1202"/>
  <c r="P1202"/>
  <c r="O1202"/>
  <c r="R1127"/>
  <c r="T1127"/>
  <c r="P1127"/>
  <c r="O1127"/>
  <c r="K1127"/>
  <c r="R1192"/>
  <c r="T1192"/>
  <c r="P1192"/>
  <c r="O1192"/>
  <c r="R1180"/>
  <c r="T1180"/>
  <c r="P1180"/>
  <c r="O1180"/>
  <c r="T1117"/>
  <c r="P1117"/>
  <c r="O1117"/>
  <c r="T1121"/>
  <c r="P1121"/>
  <c r="O1121"/>
  <c r="R1163"/>
  <c r="T1163"/>
  <c r="P1163"/>
  <c r="O1163"/>
  <c r="K1163"/>
  <c r="R1158"/>
  <c r="T1158"/>
  <c r="P1158"/>
  <c r="O1158"/>
  <c r="R1153"/>
  <c r="T1153"/>
  <c r="P1153"/>
  <c r="O1153"/>
  <c r="R1148"/>
  <c r="T1148"/>
  <c r="P1148"/>
  <c r="O1148"/>
  <c r="R1160"/>
  <c r="T1160"/>
  <c r="P1160"/>
  <c r="O1160"/>
  <c r="K1160"/>
  <c r="R1156"/>
  <c r="T1156"/>
  <c r="P1156"/>
  <c r="O1156"/>
  <c r="K1156"/>
  <c r="R1161"/>
  <c r="T1161"/>
  <c r="P1161"/>
  <c r="O1161"/>
  <c r="W39" i="28" l="1"/>
  <c r="V40"/>
  <c r="W40"/>
  <c r="V39"/>
  <c r="U39"/>
  <c r="F68" i="6"/>
  <c r="U40" i="28"/>
  <c r="F67" i="6"/>
  <c r="R1099" i="1"/>
  <c r="T1099"/>
  <c r="P1099"/>
  <c r="O1099"/>
  <c r="K21" i="9" s="1"/>
  <c r="X40" i="28" l="1"/>
  <c r="X39"/>
  <c r="R1147" i="1"/>
  <c r="T1147"/>
  <c r="P1147"/>
  <c r="O1147"/>
  <c r="K1147"/>
  <c r="R1174"/>
  <c r="T1174"/>
  <c r="P1174"/>
  <c r="O1174"/>
  <c r="K1174"/>
  <c r="R1162"/>
  <c r="T1162"/>
  <c r="P1162"/>
  <c r="O1162"/>
  <c r="K1162"/>
  <c r="R1090"/>
  <c r="T1090"/>
  <c r="P1090"/>
  <c r="O1090"/>
  <c r="K1090"/>
  <c r="T1166"/>
  <c r="P1166"/>
  <c r="O1166"/>
  <c r="K1166"/>
  <c r="R1139"/>
  <c r="T1139"/>
  <c r="P1139"/>
  <c r="O1139"/>
  <c r="T1134"/>
  <c r="P1134"/>
  <c r="O1134"/>
  <c r="R1137"/>
  <c r="T1137"/>
  <c r="P1137"/>
  <c r="O1137"/>
  <c r="K1137"/>
  <c r="R1155"/>
  <c r="T1155"/>
  <c r="P1155"/>
  <c r="O1155"/>
  <c r="K1155"/>
  <c r="R1157"/>
  <c r="T1157"/>
  <c r="P1157"/>
  <c r="O1157"/>
  <c r="K1157"/>
  <c r="R1133"/>
  <c r="T1133"/>
  <c r="P1133"/>
  <c r="O1133"/>
  <c r="K1133"/>
  <c r="T1126"/>
  <c r="P1126"/>
  <c r="O1126"/>
  <c r="K17" i="25" l="1"/>
  <c r="R1132" i="1"/>
  <c r="T1132"/>
  <c r="P1132"/>
  <c r="O1132"/>
  <c r="K1132"/>
  <c r="R1136"/>
  <c r="T1136"/>
  <c r="P1136"/>
  <c r="O1136"/>
  <c r="K1136"/>
  <c r="R1131"/>
  <c r="T1131"/>
  <c r="P1131"/>
  <c r="O1131"/>
  <c r="K1131"/>
  <c r="R1144"/>
  <c r="T1144"/>
  <c r="P1144"/>
  <c r="O1144"/>
  <c r="K1144"/>
  <c r="O1028"/>
  <c r="P1028"/>
  <c r="O1029"/>
  <c r="P1029"/>
  <c r="O1030"/>
  <c r="P1030"/>
  <c r="O1027"/>
  <c r="P1027"/>
  <c r="O1033"/>
  <c r="P1033"/>
  <c r="O1032"/>
  <c r="P1032"/>
  <c r="O1031"/>
  <c r="P1031"/>
  <c r="O1034"/>
  <c r="P1034"/>
  <c r="O1035"/>
  <c r="P1035"/>
  <c r="O1036"/>
  <c r="P1036"/>
  <c r="O1037"/>
  <c r="P1037"/>
  <c r="O1038"/>
  <c r="P1038"/>
  <c r="R1152"/>
  <c r="T1152"/>
  <c r="P1152"/>
  <c r="O1152"/>
  <c r="K1152"/>
  <c r="R1130"/>
  <c r="T1130"/>
  <c r="P1130"/>
  <c r="O1130"/>
  <c r="K1130"/>
  <c r="R1146" l="1"/>
  <c r="T1146"/>
  <c r="P1146"/>
  <c r="O1146"/>
  <c r="K1146"/>
  <c r="R1143"/>
  <c r="T1143"/>
  <c r="P1143"/>
  <c r="O1143"/>
  <c r="K1143"/>
  <c r="T1116"/>
  <c r="P1116"/>
  <c r="O1116"/>
  <c r="R1154"/>
  <c r="T1154"/>
  <c r="P1154"/>
  <c r="O1154"/>
  <c r="K1154"/>
  <c r="R1135"/>
  <c r="T1135"/>
  <c r="P1135"/>
  <c r="O1135"/>
  <c r="K1135"/>
  <c r="R1172"/>
  <c r="T1172"/>
  <c r="P1172"/>
  <c r="O1172"/>
  <c r="K1172"/>
  <c r="R1122" l="1"/>
  <c r="T1122"/>
  <c r="P1122"/>
  <c r="O1122"/>
  <c r="K1122"/>
  <c r="R1115"/>
  <c r="T1115"/>
  <c r="P1115"/>
  <c r="O1115"/>
  <c r="K1115"/>
  <c r="J40" i="17"/>
  <c r="R1101" i="1"/>
  <c r="T1101"/>
  <c r="P1101"/>
  <c r="O1101"/>
  <c r="R1129"/>
  <c r="T1129"/>
  <c r="P1129"/>
  <c r="O1129"/>
  <c r="R1125"/>
  <c r="T1125"/>
  <c r="P1125"/>
  <c r="O1125"/>
  <c r="K1125"/>
  <c r="R1124"/>
  <c r="T1124"/>
  <c r="P1124"/>
  <c r="O1124"/>
  <c r="R1128"/>
  <c r="T1128"/>
  <c r="P1128"/>
  <c r="O1128"/>
  <c r="K1128"/>
  <c r="R1142"/>
  <c r="T1142"/>
  <c r="P1142"/>
  <c r="O1142"/>
  <c r="K1142"/>
  <c r="R1167"/>
  <c r="T1167"/>
  <c r="P1167"/>
  <c r="O1167"/>
  <c r="K1167"/>
  <c r="J38" i="17"/>
  <c r="R1120" i="1" l="1"/>
  <c r="T1120"/>
  <c r="P1120"/>
  <c r="O1120"/>
  <c r="K1120"/>
  <c r="R1105"/>
  <c r="H76" i="28" s="1"/>
  <c r="T1105" i="1"/>
  <c r="P1105"/>
  <c r="O1105"/>
  <c r="K1105"/>
  <c r="R1111"/>
  <c r="T1111"/>
  <c r="P1111"/>
  <c r="O1111"/>
  <c r="K1111"/>
  <c r="T1118"/>
  <c r="P1118"/>
  <c r="O1118"/>
  <c r="K1118"/>
  <c r="R1138"/>
  <c r="T1138"/>
  <c r="P1138"/>
  <c r="O1138"/>
  <c r="K1138"/>
  <c r="T1114"/>
  <c r="P1114"/>
  <c r="O1114"/>
  <c r="R1110"/>
  <c r="T1110"/>
  <c r="P1110"/>
  <c r="O1110"/>
  <c r="K1110"/>
  <c r="R1109"/>
  <c r="T1109"/>
  <c r="P1109"/>
  <c r="O1109"/>
  <c r="R1106"/>
  <c r="T1106"/>
  <c r="P1106"/>
  <c r="O1106"/>
  <c r="K1106"/>
  <c r="R1098"/>
  <c r="T1098"/>
  <c r="P1098"/>
  <c r="O1098"/>
  <c r="K1098"/>
  <c r="T1059"/>
  <c r="P1059"/>
  <c r="O1059"/>
  <c r="K1059"/>
  <c r="T1031" l="1"/>
  <c r="K1031"/>
  <c r="R1141" l="1"/>
  <c r="T1141"/>
  <c r="P1141"/>
  <c r="O1141"/>
  <c r="K1141"/>
  <c r="R1097"/>
  <c r="T1097"/>
  <c r="P1097"/>
  <c r="O1097"/>
  <c r="R1145"/>
  <c r="T1145"/>
  <c r="P1145"/>
  <c r="O1145"/>
  <c r="K1145"/>
  <c r="R1108"/>
  <c r="T1108"/>
  <c r="P1108"/>
  <c r="O1108"/>
  <c r="K1108"/>
  <c r="T1123"/>
  <c r="P1123"/>
  <c r="O1123"/>
  <c r="R1104"/>
  <c r="T1104"/>
  <c r="P1104"/>
  <c r="O1104"/>
  <c r="T1026" l="1"/>
  <c r="P1026"/>
  <c r="O1026"/>
  <c r="K1026"/>
  <c r="O1003"/>
  <c r="T1003"/>
  <c r="O992"/>
  <c r="R1042" l="1"/>
  <c r="T1042"/>
  <c r="P1042"/>
  <c r="O1042"/>
  <c r="K1042"/>
  <c r="R1089"/>
  <c r="T1089"/>
  <c r="P1089"/>
  <c r="O1089"/>
  <c r="K1089"/>
  <c r="R1091"/>
  <c r="T1091"/>
  <c r="P1091"/>
  <c r="O1091"/>
  <c r="R1096"/>
  <c r="T1096"/>
  <c r="P1096"/>
  <c r="O1096"/>
  <c r="K1096"/>
  <c r="T1068" l="1"/>
  <c r="P1068"/>
  <c r="O1068"/>
  <c r="K1068"/>
  <c r="R1112"/>
  <c r="T1112"/>
  <c r="P1112"/>
  <c r="O1112"/>
  <c r="K1112"/>
  <c r="R1048"/>
  <c r="T1048"/>
  <c r="P1048"/>
  <c r="O1048"/>
  <c r="K1048"/>
  <c r="K1012" l="1"/>
  <c r="P925"/>
  <c r="P921"/>
  <c r="P922"/>
  <c r="P923"/>
  <c r="P924"/>
  <c r="P928"/>
  <c r="P927"/>
  <c r="P926"/>
  <c r="P929"/>
  <c r="P930"/>
  <c r="P931"/>
  <c r="P932"/>
  <c r="P933"/>
  <c r="P934"/>
  <c r="P935"/>
  <c r="P936"/>
  <c r="P937"/>
  <c r="P938"/>
  <c r="P940"/>
  <c r="P939"/>
  <c r="P941"/>
  <c r="P942"/>
  <c r="P943"/>
  <c r="P945"/>
  <c r="P946"/>
  <c r="P944"/>
  <c r="P947"/>
  <c r="P948"/>
  <c r="P949"/>
  <c r="P950"/>
  <c r="P951"/>
  <c r="P955"/>
  <c r="P952"/>
  <c r="P953"/>
  <c r="P954"/>
  <c r="P956"/>
  <c r="P957"/>
  <c r="P958"/>
  <c r="P959"/>
  <c r="P960"/>
  <c r="P961"/>
  <c r="P962"/>
  <c r="P963"/>
  <c r="P964"/>
  <c r="P965"/>
  <c r="P966"/>
  <c r="P967"/>
  <c r="P968"/>
  <c r="P969"/>
  <c r="P971"/>
  <c r="P970"/>
  <c r="P972"/>
  <c r="P973"/>
  <c r="P974"/>
  <c r="P978"/>
  <c r="P975"/>
  <c r="P976"/>
  <c r="P977"/>
  <c r="P979"/>
  <c r="P980"/>
  <c r="P981"/>
  <c r="P982"/>
  <c r="P984"/>
  <c r="P985"/>
  <c r="P986"/>
  <c r="P987"/>
  <c r="P988"/>
  <c r="P983"/>
  <c r="P991"/>
  <c r="P989"/>
  <c r="P992"/>
  <c r="P990"/>
  <c r="P993"/>
  <c r="P1016"/>
  <c r="P994"/>
  <c r="P995"/>
  <c r="P996"/>
  <c r="P997"/>
  <c r="P998"/>
  <c r="P999"/>
  <c r="P1000"/>
  <c r="P1001"/>
  <c r="P1025"/>
  <c r="P1002"/>
  <c r="P1003"/>
  <c r="P1004"/>
  <c r="P1005"/>
  <c r="P1006"/>
  <c r="P1007"/>
  <c r="P1010"/>
  <c r="P1009"/>
  <c r="P1011"/>
  <c r="P1013"/>
  <c r="P1012"/>
  <c r="P1015"/>
  <c r="P1014"/>
  <c r="P1017"/>
  <c r="P1018"/>
  <c r="P1019"/>
  <c r="P1020"/>
  <c r="P1022"/>
  <c r="P1021"/>
  <c r="P1023"/>
  <c r="P1024"/>
  <c r="P1008"/>
  <c r="P1040"/>
  <c r="P1041"/>
  <c r="P1039"/>
  <c r="P1043"/>
  <c r="P1045"/>
  <c r="P1046"/>
  <c r="P1051"/>
  <c r="P1075"/>
  <c r="P1050"/>
  <c r="P1052"/>
  <c r="P1053"/>
  <c r="P1092"/>
  <c r="P1055"/>
  <c r="P1057"/>
  <c r="P1056"/>
  <c r="P1054"/>
  <c r="P1060"/>
  <c r="P1064"/>
  <c r="P1065"/>
  <c r="P1062"/>
  <c r="P1063"/>
  <c r="P1067"/>
  <c r="P1070"/>
  <c r="P1071"/>
  <c r="P1072"/>
  <c r="P1076"/>
  <c r="P1073"/>
  <c r="P1074"/>
  <c r="P1078"/>
  <c r="P1079"/>
  <c r="P1080"/>
  <c r="P1081"/>
  <c r="P1086"/>
  <c r="P1083"/>
  <c r="P1085"/>
  <c r="P1084"/>
  <c r="P1087"/>
  <c r="P1088"/>
  <c r="P1093"/>
  <c r="P1069"/>
  <c r="P1100"/>
  <c r="P1107"/>
  <c r="P1061"/>
  <c r="P1119"/>
  <c r="P1066"/>
  <c r="P1058"/>
  <c r="P1077"/>
  <c r="P1113"/>
  <c r="P1094"/>
  <c r="P1044"/>
  <c r="P1102"/>
  <c r="P1082"/>
  <c r="P1049"/>
  <c r="P1103"/>
  <c r="T1036" l="1"/>
  <c r="K1036"/>
  <c r="T1012" l="1"/>
  <c r="O1012"/>
  <c r="R1103" l="1"/>
  <c r="T1103"/>
  <c r="O1103"/>
  <c r="K1103"/>
  <c r="R1049"/>
  <c r="T1049"/>
  <c r="O1049"/>
  <c r="T1082"/>
  <c r="O1082"/>
  <c r="K1082"/>
  <c r="R1102"/>
  <c r="T1102"/>
  <c r="O1102"/>
  <c r="K1102"/>
  <c r="AQ35" i="24" l="1"/>
  <c r="R1100" i="1"/>
  <c r="T1100"/>
  <c r="O1100"/>
  <c r="K1100"/>
  <c r="R1088"/>
  <c r="T1088"/>
  <c r="O1088"/>
  <c r="K1088"/>
  <c r="R1044"/>
  <c r="T1044"/>
  <c r="O1044"/>
  <c r="K1044"/>
  <c r="R1084"/>
  <c r="T1084"/>
  <c r="O1084"/>
  <c r="T1083"/>
  <c r="O1083"/>
  <c r="K1083"/>
  <c r="T1094"/>
  <c r="O1094"/>
  <c r="K1094"/>
  <c r="T1085"/>
  <c r="O1085"/>
  <c r="K1085"/>
  <c r="T1086"/>
  <c r="O1086"/>
  <c r="K1086"/>
  <c r="T1069" l="1"/>
  <c r="O1069"/>
  <c r="R1113"/>
  <c r="T1113"/>
  <c r="O1113"/>
  <c r="K1113"/>
  <c r="T1077"/>
  <c r="O1077"/>
  <c r="K1077"/>
  <c r="T1058"/>
  <c r="O1058"/>
  <c r="R1008"/>
  <c r="T1008"/>
  <c r="O1008"/>
  <c r="T1027"/>
  <c r="K1027"/>
  <c r="T1037"/>
  <c r="K1037"/>
  <c r="J34" i="17"/>
  <c r="R1074" i="1" l="1"/>
  <c r="T1074"/>
  <c r="O1074"/>
  <c r="K1074"/>
  <c r="T1073"/>
  <c r="O1073"/>
  <c r="T1081" l="1"/>
  <c r="O1081"/>
  <c r="K1081"/>
  <c r="T1076"/>
  <c r="O1076"/>
  <c r="K1076"/>
  <c r="T1034"/>
  <c r="R1054"/>
  <c r="T1054"/>
  <c r="O1054"/>
  <c r="R1072"/>
  <c r="T1072"/>
  <c r="O1072"/>
  <c r="K1072"/>
  <c r="T1093" l="1"/>
  <c r="O1093"/>
  <c r="R1014" l="1"/>
  <c r="T1014"/>
  <c r="O1014"/>
  <c r="K1014"/>
  <c r="T1080"/>
  <c r="O1080"/>
  <c r="T1079"/>
  <c r="O1079"/>
  <c r="K1079"/>
  <c r="T1078"/>
  <c r="O1078"/>
  <c r="R1063"/>
  <c r="T1063"/>
  <c r="O1063"/>
  <c r="K1063"/>
  <c r="K19" i="25"/>
  <c r="R1039" i="1"/>
  <c r="T1039"/>
  <c r="O1039"/>
  <c r="K1039"/>
  <c r="K993"/>
  <c r="T993"/>
  <c r="O993"/>
  <c r="J33" i="17"/>
  <c r="G12" i="9"/>
  <c r="G13"/>
  <c r="G14"/>
  <c r="G15"/>
  <c r="G16"/>
  <c r="G17"/>
  <c r="G18"/>
  <c r="G19"/>
  <c r="G20"/>
  <c r="T1032" i="1" l="1"/>
  <c r="K1032"/>
  <c r="R974" l="1"/>
  <c r="T974"/>
  <c r="O974"/>
  <c r="K946"/>
  <c r="R1066"/>
  <c r="T1066"/>
  <c r="O1066"/>
  <c r="T1119" l="1"/>
  <c r="O1119"/>
  <c r="R1065"/>
  <c r="T1065"/>
  <c r="O1065"/>
  <c r="K1065"/>
  <c r="R1057"/>
  <c r="T1057"/>
  <c r="O1057"/>
  <c r="R990"/>
  <c r="T990"/>
  <c r="O990"/>
  <c r="K990"/>
  <c r="R983"/>
  <c r="T983"/>
  <c r="O983"/>
  <c r="K983"/>
  <c r="R1064"/>
  <c r="T1064"/>
  <c r="O1064"/>
  <c r="K1064"/>
  <c r="R1062" l="1"/>
  <c r="T1062"/>
  <c r="O1062"/>
  <c r="K1062"/>
  <c r="R1061"/>
  <c r="T1061"/>
  <c r="O1061"/>
  <c r="K1061"/>
  <c r="R1045"/>
  <c r="T1045"/>
  <c r="O1045"/>
  <c r="R1056"/>
  <c r="T1056"/>
  <c r="O1056"/>
  <c r="K1056"/>
  <c r="R962"/>
  <c r="T962"/>
  <c r="O962"/>
  <c r="K962"/>
  <c r="T1070"/>
  <c r="O1070"/>
  <c r="T1075"/>
  <c r="O1075"/>
  <c r="K1075"/>
  <c r="J32" i="17"/>
  <c r="R963" i="1"/>
  <c r="T963"/>
  <c r="O963"/>
  <c r="R968"/>
  <c r="T968"/>
  <c r="O968"/>
  <c r="K968"/>
  <c r="R1025"/>
  <c r="T1025"/>
  <c r="O1025"/>
  <c r="K1025"/>
  <c r="R999" l="1"/>
  <c r="T999"/>
  <c r="O999"/>
  <c r="K999"/>
  <c r="J31" i="17" l="1"/>
  <c r="R992" i="1"/>
  <c r="T992"/>
  <c r="R1041"/>
  <c r="T1041"/>
  <c r="O1041"/>
  <c r="T1060"/>
  <c r="O1060"/>
  <c r="R1021"/>
  <c r="T1021"/>
  <c r="O1021"/>
  <c r="R994"/>
  <c r="T994"/>
  <c r="O994"/>
  <c r="K994"/>
  <c r="R1002"/>
  <c r="T1002"/>
  <c r="O1002"/>
  <c r="K1002"/>
  <c r="T1030"/>
  <c r="R1050"/>
  <c r="T1050"/>
  <c r="O1050"/>
  <c r="K1050"/>
  <c r="R1016"/>
  <c r="T1016"/>
  <c r="O1016"/>
  <c r="R1053"/>
  <c r="T1053"/>
  <c r="O1053"/>
  <c r="K1053"/>
  <c r="R1043"/>
  <c r="T1043"/>
  <c r="O1043"/>
  <c r="R1052"/>
  <c r="T1052"/>
  <c r="O1052"/>
  <c r="R1040"/>
  <c r="T1040"/>
  <c r="O1040"/>
  <c r="K1040"/>
  <c r="T1038"/>
  <c r="R1107"/>
  <c r="T1107"/>
  <c r="O1107"/>
  <c r="K1107"/>
  <c r="T1071"/>
  <c r="O1071"/>
  <c r="K1071"/>
  <c r="T1051"/>
  <c r="O1051"/>
  <c r="K1051"/>
  <c r="R1067"/>
  <c r="T1067"/>
  <c r="O1067"/>
  <c r="K1067"/>
  <c r="T1035" l="1"/>
  <c r="T1033"/>
  <c r="K1033"/>
  <c r="R947"/>
  <c r="T947"/>
  <c r="O947"/>
  <c r="R1011"/>
  <c r="T1011"/>
  <c r="O1011"/>
  <c r="T1029"/>
  <c r="K1029"/>
  <c r="R1046"/>
  <c r="T1046"/>
  <c r="O1046"/>
  <c r="K1046"/>
  <c r="R995"/>
  <c r="T995"/>
  <c r="O995"/>
  <c r="K995"/>
  <c r="R1022"/>
  <c r="T1022"/>
  <c r="O1022"/>
  <c r="T1028" l="1"/>
  <c r="T1020"/>
  <c r="O1020"/>
  <c r="K1020"/>
  <c r="R1092"/>
  <c r="H66" i="28" s="1"/>
  <c r="T1092" i="1"/>
  <c r="O1092"/>
  <c r="T1015"/>
  <c r="O1015"/>
  <c r="K1015"/>
  <c r="R926"/>
  <c r="T926"/>
  <c r="O926"/>
  <c r="R988" l="1"/>
  <c r="T988"/>
  <c r="O988"/>
  <c r="K988"/>
  <c r="R998" l="1"/>
  <c r="T998"/>
  <c r="O998"/>
  <c r="K998"/>
  <c r="T1019"/>
  <c r="O1019"/>
  <c r="K1019"/>
  <c r="R1013"/>
  <c r="T1013"/>
  <c r="O1013"/>
  <c r="K1013"/>
  <c r="R967"/>
  <c r="T967"/>
  <c r="O967"/>
  <c r="K967"/>
  <c r="R1024"/>
  <c r="T1024"/>
  <c r="O1024"/>
  <c r="K1024"/>
  <c r="R1018"/>
  <c r="T1018"/>
  <c r="O1018"/>
  <c r="K1018"/>
  <c r="R997"/>
  <c r="T997"/>
  <c r="O997"/>
  <c r="K997"/>
  <c r="T1017"/>
  <c r="O1017"/>
  <c r="K1017"/>
  <c r="R1087"/>
  <c r="T1087"/>
  <c r="O1087"/>
  <c r="K1087"/>
  <c r="R1010"/>
  <c r="T1010"/>
  <c r="O1010"/>
  <c r="K1010"/>
  <c r="R979" l="1"/>
  <c r="T979"/>
  <c r="O979"/>
  <c r="K979"/>
  <c r="R970"/>
  <c r="T970"/>
  <c r="O970"/>
  <c r="K970"/>
  <c r="R1007"/>
  <c r="T1007"/>
  <c r="O1007"/>
  <c r="K1007"/>
  <c r="R982"/>
  <c r="T982"/>
  <c r="O982"/>
  <c r="K982"/>
  <c r="R1006"/>
  <c r="T1006"/>
  <c r="O1006"/>
  <c r="K1006"/>
  <c r="R1001"/>
  <c r="T1001"/>
  <c r="O1001"/>
  <c r="K1001"/>
  <c r="R961"/>
  <c r="T961"/>
  <c r="O961"/>
  <c r="R987"/>
  <c r="T987"/>
  <c r="O987"/>
  <c r="K987"/>
  <c r="T989" l="1"/>
  <c r="O989"/>
  <c r="K989"/>
  <c r="R1009"/>
  <c r="T1009"/>
  <c r="O1009"/>
  <c r="R996"/>
  <c r="T996"/>
  <c r="O996"/>
  <c r="R895"/>
  <c r="T895"/>
  <c r="P895"/>
  <c r="O895"/>
  <c r="R981"/>
  <c r="T981"/>
  <c r="O981"/>
  <c r="K981"/>
  <c r="T1023"/>
  <c r="O1023"/>
  <c r="K1023"/>
  <c r="R1005" l="1"/>
  <c r="T1005"/>
  <c r="O1005"/>
  <c r="K1005"/>
  <c r="R966"/>
  <c r="T966"/>
  <c r="O966"/>
  <c r="T986"/>
  <c r="O986"/>
  <c r="K986"/>
  <c r="R991"/>
  <c r="T991"/>
  <c r="O991"/>
  <c r="K991"/>
  <c r="R977"/>
  <c r="T977"/>
  <c r="O977"/>
  <c r="K977"/>
  <c r="R976"/>
  <c r="T976"/>
  <c r="O976"/>
  <c r="K976"/>
  <c r="R975"/>
  <c r="T975"/>
  <c r="O975"/>
  <c r="K975"/>
  <c r="T1004"/>
  <c r="O1004"/>
  <c r="K1004"/>
  <c r="R969"/>
  <c r="T969"/>
  <c r="O969"/>
  <c r="K969"/>
  <c r="R920"/>
  <c r="T920"/>
  <c r="P920"/>
  <c r="O920"/>
  <c r="K920"/>
  <c r="R924" l="1"/>
  <c r="T924"/>
  <c r="O924"/>
  <c r="R980"/>
  <c r="T980"/>
  <c r="O980"/>
  <c r="K980"/>
  <c r="R985"/>
  <c r="T985"/>
  <c r="O985"/>
  <c r="R978"/>
  <c r="T978"/>
  <c r="O978"/>
  <c r="K978"/>
  <c r="T1000"/>
  <c r="O1000"/>
  <c r="K1000"/>
  <c r="T984"/>
  <c r="O984"/>
  <c r="R927"/>
  <c r="T927"/>
  <c r="O927"/>
  <c r="K927"/>
  <c r="R958"/>
  <c r="T958"/>
  <c r="O958"/>
  <c r="K958"/>
  <c r="R954"/>
  <c r="T954"/>
  <c r="O954"/>
  <c r="K954"/>
  <c r="R948"/>
  <c r="T948"/>
  <c r="O948"/>
  <c r="K948"/>
  <c r="R965"/>
  <c r="T965"/>
  <c r="O965"/>
  <c r="K965"/>
  <c r="R971"/>
  <c r="T971"/>
  <c r="O971"/>
  <c r="K971"/>
  <c r="J27" i="17"/>
  <c r="R923" i="1"/>
  <c r="T923"/>
  <c r="O923"/>
  <c r="K923"/>
  <c r="R944"/>
  <c r="T944"/>
  <c r="O944"/>
  <c r="K944"/>
  <c r="R960"/>
  <c r="T960"/>
  <c r="O960"/>
  <c r="K960"/>
  <c r="R953"/>
  <c r="T953"/>
  <c r="O953"/>
  <c r="R951"/>
  <c r="T951"/>
  <c r="O951"/>
  <c r="K951"/>
  <c r="R950"/>
  <c r="T950"/>
  <c r="O950"/>
  <c r="K950"/>
  <c r="R957"/>
  <c r="T957"/>
  <c r="O957"/>
  <c r="R964"/>
  <c r="T964"/>
  <c r="O964"/>
  <c r="R930"/>
  <c r="T930"/>
  <c r="O930"/>
  <c r="R937"/>
  <c r="T937"/>
  <c r="O937"/>
  <c r="K937"/>
  <c r="R973"/>
  <c r="T973"/>
  <c r="O973"/>
  <c r="R959"/>
  <c r="T959"/>
  <c r="O959"/>
  <c r="R916"/>
  <c r="T916"/>
  <c r="P916"/>
  <c r="O916"/>
  <c r="R972"/>
  <c r="T972"/>
  <c r="O972"/>
  <c r="K972"/>
  <c r="R935"/>
  <c r="T935"/>
  <c r="O935"/>
  <c r="K935"/>
  <c r="R946"/>
  <c r="T946"/>
  <c r="O946"/>
  <c r="R904" l="1"/>
  <c r="T904"/>
  <c r="P904"/>
  <c r="O904"/>
  <c r="R952" l="1"/>
  <c r="T952"/>
  <c r="O952"/>
  <c r="K952"/>
  <c r="R929"/>
  <c r="T929"/>
  <c r="O929"/>
  <c r="K929"/>
  <c r="R942"/>
  <c r="T942"/>
  <c r="O942"/>
  <c r="K942"/>
  <c r="R922"/>
  <c r="T922"/>
  <c r="O922"/>
  <c r="K922"/>
  <c r="R936"/>
  <c r="T936"/>
  <c r="O936"/>
  <c r="K936"/>
  <c r="R934"/>
  <c r="T934"/>
  <c r="O934"/>
  <c r="R921"/>
  <c r="T921"/>
  <c r="O921"/>
  <c r="K921"/>
  <c r="R931"/>
  <c r="T931"/>
  <c r="O931"/>
  <c r="R956"/>
  <c r="T956"/>
  <c r="O956"/>
  <c r="K956"/>
  <c r="R955"/>
  <c r="T955"/>
  <c r="O955"/>
  <c r="R941"/>
  <c r="T941"/>
  <c r="O941"/>
  <c r="K941"/>
  <c r="R915"/>
  <c r="T915"/>
  <c r="P915"/>
  <c r="O915"/>
  <c r="R928"/>
  <c r="T928"/>
  <c r="O928"/>
  <c r="K928"/>
  <c r="R949"/>
  <c r="T949"/>
  <c r="O949"/>
  <c r="R945"/>
  <c r="T945"/>
  <c r="O945"/>
  <c r="K945"/>
  <c r="R938"/>
  <c r="T938"/>
  <c r="O938"/>
  <c r="R939"/>
  <c r="T939"/>
  <c r="O939"/>
  <c r="R940"/>
  <c r="T940"/>
  <c r="O940"/>
  <c r="BC44" i="3"/>
  <c r="AZ44"/>
  <c r="R933" i="1"/>
  <c r="T933"/>
  <c r="O933"/>
  <c r="K933"/>
  <c r="R909"/>
  <c r="T909"/>
  <c r="P909"/>
  <c r="O909"/>
  <c r="K909"/>
  <c r="R901"/>
  <c r="T901"/>
  <c r="P901"/>
  <c r="O901"/>
  <c r="K901"/>
  <c r="R919"/>
  <c r="T919"/>
  <c r="P919"/>
  <c r="O919"/>
  <c r="K919"/>
  <c r="R914"/>
  <c r="T914"/>
  <c r="P914"/>
  <c r="O914"/>
  <c r="AW44" i="3"/>
  <c r="AT44"/>
  <c r="R918" i="1"/>
  <c r="T918"/>
  <c r="P918"/>
  <c r="O918"/>
  <c r="K918"/>
  <c r="R903"/>
  <c r="T903"/>
  <c r="P903"/>
  <c r="O903"/>
  <c r="K903"/>
  <c r="R890"/>
  <c r="T890"/>
  <c r="P890"/>
  <c r="O890"/>
  <c r="K890"/>
  <c r="R889"/>
  <c r="T889"/>
  <c r="P889"/>
  <c r="O889"/>
  <c r="K889"/>
  <c r="R913"/>
  <c r="T913"/>
  <c r="P913"/>
  <c r="O913"/>
  <c r="K913"/>
  <c r="R893"/>
  <c r="T893"/>
  <c r="P893"/>
  <c r="O893"/>
  <c r="K893"/>
  <c r="R860"/>
  <c r="T860"/>
  <c r="P860"/>
  <c r="O860"/>
  <c r="R885"/>
  <c r="T885"/>
  <c r="P885"/>
  <c r="O885"/>
  <c r="K885"/>
  <c r="R899"/>
  <c r="T899"/>
  <c r="P899"/>
  <c r="O899"/>
  <c r="K899"/>
  <c r="R908"/>
  <c r="T908"/>
  <c r="P908"/>
  <c r="O908"/>
  <c r="K908"/>
  <c r="R865"/>
  <c r="T865"/>
  <c r="P865"/>
  <c r="O865"/>
  <c r="R898"/>
  <c r="T898"/>
  <c r="P898"/>
  <c r="O898"/>
  <c r="R910"/>
  <c r="T910"/>
  <c r="P910"/>
  <c r="O910"/>
  <c r="K910"/>
  <c r="R932"/>
  <c r="T932"/>
  <c r="O932"/>
  <c r="R887"/>
  <c r="T887"/>
  <c r="P887"/>
  <c r="O887"/>
  <c r="K887"/>
  <c r="R879"/>
  <c r="T879"/>
  <c r="P879"/>
  <c r="O879"/>
  <c r="R870"/>
  <c r="T870"/>
  <c r="P870"/>
  <c r="O870"/>
  <c r="R925"/>
  <c r="T925"/>
  <c r="O925"/>
  <c r="R882"/>
  <c r="T882"/>
  <c r="P882"/>
  <c r="O882"/>
  <c r="R912"/>
  <c r="T912"/>
  <c r="P912"/>
  <c r="O912"/>
  <c r="K912"/>
  <c r="R905"/>
  <c r="T905"/>
  <c r="P905"/>
  <c r="O905"/>
  <c r="T877"/>
  <c r="P877"/>
  <c r="O877"/>
  <c r="K877"/>
  <c r="R897"/>
  <c r="T897"/>
  <c r="P897"/>
  <c r="O897"/>
  <c r="K897"/>
  <c r="R917"/>
  <c r="T917"/>
  <c r="P917"/>
  <c r="O917"/>
  <c r="K917"/>
  <c r="R861" l="1"/>
  <c r="T861"/>
  <c r="P861"/>
  <c r="O861"/>
  <c r="K861"/>
  <c r="R872" l="1"/>
  <c r="T872"/>
  <c r="P872"/>
  <c r="O872"/>
  <c r="R891"/>
  <c r="T891"/>
  <c r="P891"/>
  <c r="O891"/>
  <c r="K891"/>
  <c r="R907"/>
  <c r="T907"/>
  <c r="P907"/>
  <c r="O907"/>
  <c r="K907"/>
  <c r="R824"/>
  <c r="T824"/>
  <c r="P824"/>
  <c r="O824"/>
  <c r="K824"/>
  <c r="R878"/>
  <c r="T878"/>
  <c r="P878"/>
  <c r="O878"/>
  <c r="K848"/>
  <c r="R848"/>
  <c r="T848"/>
  <c r="P848"/>
  <c r="O848"/>
  <c r="R869"/>
  <c r="T869"/>
  <c r="P869"/>
  <c r="O869"/>
  <c r="K869"/>
  <c r="R911"/>
  <c r="T911"/>
  <c r="P911"/>
  <c r="O911"/>
  <c r="K911"/>
  <c r="R906"/>
  <c r="T906"/>
  <c r="P906"/>
  <c r="O906"/>
  <c r="R883"/>
  <c r="T883"/>
  <c r="P883"/>
  <c r="O883"/>
  <c r="K883"/>
  <c r="R900"/>
  <c r="T900"/>
  <c r="P900"/>
  <c r="O900"/>
  <c r="K900"/>
  <c r="R902"/>
  <c r="T902"/>
  <c r="P902"/>
  <c r="O902"/>
  <c r="K902"/>
  <c r="R874"/>
  <c r="T874"/>
  <c r="P874"/>
  <c r="O874"/>
  <c r="R888" l="1"/>
  <c r="T888"/>
  <c r="P888"/>
  <c r="O888"/>
  <c r="R880"/>
  <c r="T880"/>
  <c r="P880"/>
  <c r="O880"/>
  <c r="R864"/>
  <c r="T864"/>
  <c r="P864"/>
  <c r="O864"/>
  <c r="R876"/>
  <c r="T876"/>
  <c r="P876"/>
  <c r="O876"/>
  <c r="K876"/>
  <c r="R863"/>
  <c r="T863"/>
  <c r="P863"/>
  <c r="O863"/>
  <c r="K863"/>
  <c r="R886"/>
  <c r="T886"/>
  <c r="P886"/>
  <c r="O886"/>
  <c r="K886"/>
  <c r="R892"/>
  <c r="T892"/>
  <c r="P892"/>
  <c r="O892"/>
  <c r="K892"/>
  <c r="R856"/>
  <c r="T856"/>
  <c r="P856"/>
  <c r="O856"/>
  <c r="K856"/>
  <c r="R855"/>
  <c r="T855"/>
  <c r="P855"/>
  <c r="O855"/>
  <c r="K855"/>
  <c r="T884"/>
  <c r="P884"/>
  <c r="O884"/>
  <c r="R847"/>
  <c r="T847"/>
  <c r="P847"/>
  <c r="O847"/>
  <c r="K847"/>
  <c r="R846"/>
  <c r="T846"/>
  <c r="P846"/>
  <c r="O846"/>
  <c r="R943"/>
  <c r="T943"/>
  <c r="O943"/>
  <c r="T852"/>
  <c r="P852"/>
  <c r="O852"/>
  <c r="R896"/>
  <c r="T896"/>
  <c r="P896"/>
  <c r="O896"/>
  <c r="K896"/>
  <c r="C19" i="9" l="1"/>
  <c r="K20"/>
  <c r="R851" i="1"/>
  <c r="T851"/>
  <c r="P851"/>
  <c r="O851"/>
  <c r="K851"/>
  <c r="R868"/>
  <c r="T868"/>
  <c r="P868"/>
  <c r="O868"/>
  <c r="R871"/>
  <c r="T871"/>
  <c r="P871"/>
  <c r="O871"/>
  <c r="K871"/>
  <c r="R862"/>
  <c r="T862"/>
  <c r="P862"/>
  <c r="O862"/>
  <c r="K862"/>
  <c r="R811"/>
  <c r="T811"/>
  <c r="P811"/>
  <c r="O811"/>
  <c r="R859"/>
  <c r="T859"/>
  <c r="P859"/>
  <c r="O859"/>
  <c r="R844"/>
  <c r="T844"/>
  <c r="P844"/>
  <c r="O844"/>
  <c r="K844"/>
  <c r="R873" l="1"/>
  <c r="T873"/>
  <c r="P873"/>
  <c r="O873"/>
  <c r="J25" i="17"/>
  <c r="T794" i="1"/>
  <c r="P794"/>
  <c r="O794"/>
  <c r="K794"/>
  <c r="R858"/>
  <c r="T858"/>
  <c r="P858"/>
  <c r="O858"/>
  <c r="K858"/>
  <c r="R881"/>
  <c r="T881"/>
  <c r="P881"/>
  <c r="O881"/>
  <c r="R850"/>
  <c r="T850"/>
  <c r="P850"/>
  <c r="O850"/>
  <c r="K850"/>
  <c r="R820"/>
  <c r="T820"/>
  <c r="P820"/>
  <c r="O820"/>
  <c r="K820"/>
  <c r="R829"/>
  <c r="T829"/>
  <c r="P829"/>
  <c r="O829"/>
  <c r="K829"/>
  <c r="R818"/>
  <c r="T818"/>
  <c r="P818"/>
  <c r="O818"/>
  <c r="K818"/>
  <c r="R828"/>
  <c r="T828"/>
  <c r="P828"/>
  <c r="O828"/>
  <c r="K828"/>
  <c r="R843"/>
  <c r="T843"/>
  <c r="P843"/>
  <c r="O843"/>
  <c r="K843"/>
  <c r="R867"/>
  <c r="T867"/>
  <c r="P867"/>
  <c r="O867"/>
  <c r="R835"/>
  <c r="T835"/>
  <c r="P835"/>
  <c r="O835"/>
  <c r="K835"/>
  <c r="R826"/>
  <c r="T826"/>
  <c r="P826"/>
  <c r="O826"/>
  <c r="K826"/>
  <c r="R857"/>
  <c r="T857"/>
  <c r="P857"/>
  <c r="O857"/>
  <c r="R834"/>
  <c r="T834"/>
  <c r="P834"/>
  <c r="O834"/>
  <c r="R798"/>
  <c r="T798"/>
  <c r="P798"/>
  <c r="O798"/>
  <c r="K798"/>
  <c r="R827"/>
  <c r="T827"/>
  <c r="P827"/>
  <c r="O827"/>
  <c r="K827"/>
  <c r="R854"/>
  <c r="T854"/>
  <c r="P854"/>
  <c r="O854"/>
  <c r="K854"/>
  <c r="R853"/>
  <c r="T853"/>
  <c r="P853"/>
  <c r="O853"/>
  <c r="T866"/>
  <c r="P866"/>
  <c r="O866"/>
  <c r="K866"/>
  <c r="R762"/>
  <c r="T762"/>
  <c r="P762"/>
  <c r="O762"/>
  <c r="R814"/>
  <c r="T814"/>
  <c r="P814"/>
  <c r="O814"/>
  <c r="K814"/>
  <c r="R836"/>
  <c r="T836"/>
  <c r="P836"/>
  <c r="O836"/>
  <c r="K836"/>
  <c r="R894"/>
  <c r="T894"/>
  <c r="P894"/>
  <c r="O894"/>
  <c r="K894"/>
  <c r="R845"/>
  <c r="T845"/>
  <c r="P845"/>
  <c r="O845"/>
  <c r="K845"/>
  <c r="R830"/>
  <c r="T830"/>
  <c r="P830"/>
  <c r="O830"/>
  <c r="R821"/>
  <c r="T821"/>
  <c r="P821"/>
  <c r="O821"/>
  <c r="R838"/>
  <c r="T838"/>
  <c r="P838"/>
  <c r="O838"/>
  <c r="J24" i="17"/>
  <c r="R839" i="1"/>
  <c r="T839"/>
  <c r="P839"/>
  <c r="O839"/>
  <c r="R813"/>
  <c r="T813"/>
  <c r="P813"/>
  <c r="O813"/>
  <c r="R822"/>
  <c r="T822"/>
  <c r="P822"/>
  <c r="O822"/>
  <c r="R823"/>
  <c r="T823"/>
  <c r="P823"/>
  <c r="O823"/>
  <c r="R831"/>
  <c r="T831"/>
  <c r="P831"/>
  <c r="O831"/>
  <c r="R842"/>
  <c r="T842"/>
  <c r="P842"/>
  <c r="O842"/>
  <c r="R875"/>
  <c r="T875"/>
  <c r="P875"/>
  <c r="O875"/>
  <c r="K875"/>
  <c r="R833"/>
  <c r="T833"/>
  <c r="P833"/>
  <c r="O833"/>
  <c r="R812"/>
  <c r="T812"/>
  <c r="P812"/>
  <c r="O812"/>
  <c r="K812"/>
  <c r="R803"/>
  <c r="T803"/>
  <c r="P803"/>
  <c r="O803"/>
  <c r="K803"/>
  <c r="R849"/>
  <c r="T849"/>
  <c r="P849"/>
  <c r="O849"/>
  <c r="R817"/>
  <c r="T817"/>
  <c r="P817"/>
  <c r="O817"/>
  <c r="R840"/>
  <c r="T840"/>
  <c r="P840"/>
  <c r="O840"/>
  <c r="K19" i="9" s="1"/>
  <c r="R825" i="1"/>
  <c r="T825"/>
  <c r="P825"/>
  <c r="O825"/>
  <c r="R816"/>
  <c r="T816"/>
  <c r="P816"/>
  <c r="O816"/>
  <c r="K816"/>
  <c r="R808"/>
  <c r="T808"/>
  <c r="P808"/>
  <c r="O808"/>
  <c r="K808"/>
  <c r="R786"/>
  <c r="T786"/>
  <c r="P786"/>
  <c r="O786"/>
  <c r="K786"/>
  <c r="R780"/>
  <c r="T780"/>
  <c r="P780"/>
  <c r="O780"/>
  <c r="K780"/>
  <c r="R795"/>
  <c r="T795"/>
  <c r="P795"/>
  <c r="O795"/>
  <c r="R1055"/>
  <c r="T1055"/>
  <c r="O1055"/>
  <c r="K1055"/>
  <c r="R807"/>
  <c r="T807"/>
  <c r="P807"/>
  <c r="O807"/>
  <c r="R784"/>
  <c r="T784"/>
  <c r="P784"/>
  <c r="O784"/>
  <c r="K784"/>
  <c r="R793"/>
  <c r="T793"/>
  <c r="P793"/>
  <c r="O793"/>
  <c r="K793"/>
  <c r="R837"/>
  <c r="T837"/>
  <c r="P837"/>
  <c r="O837"/>
  <c r="R806"/>
  <c r="T806"/>
  <c r="P806"/>
  <c r="O806"/>
  <c r="R797"/>
  <c r="T797"/>
  <c r="P797"/>
  <c r="O797"/>
  <c r="R778"/>
  <c r="T778"/>
  <c r="P778"/>
  <c r="O778"/>
  <c r="K778"/>
  <c r="R792"/>
  <c r="T792"/>
  <c r="P792"/>
  <c r="O792"/>
  <c r="K792"/>
  <c r="R775"/>
  <c r="T775"/>
  <c r="P775"/>
  <c r="O775"/>
  <c r="K775"/>
  <c r="R788"/>
  <c r="T788"/>
  <c r="P788"/>
  <c r="O788"/>
  <c r="R799"/>
  <c r="T799"/>
  <c r="P799"/>
  <c r="O799"/>
  <c r="R787"/>
  <c r="T787"/>
  <c r="P787"/>
  <c r="O787"/>
  <c r="K787"/>
  <c r="R789"/>
  <c r="T789"/>
  <c r="P789"/>
  <c r="O789"/>
  <c r="R819"/>
  <c r="T819"/>
  <c r="P819"/>
  <c r="O819"/>
  <c r="K819"/>
  <c r="R779"/>
  <c r="T779"/>
  <c r="P779"/>
  <c r="O779"/>
  <c r="K779"/>
  <c r="R774"/>
  <c r="T774"/>
  <c r="P774"/>
  <c r="O774"/>
  <c r="R791"/>
  <c r="T791"/>
  <c r="P791"/>
  <c r="O791"/>
  <c r="R800"/>
  <c r="T800"/>
  <c r="P800"/>
  <c r="O800"/>
  <c r="K800"/>
  <c r="T783"/>
  <c r="P783"/>
  <c r="O783"/>
  <c r="K783"/>
  <c r="R772"/>
  <c r="T772"/>
  <c r="P772"/>
  <c r="O772"/>
  <c r="K772"/>
  <c r="R790"/>
  <c r="T790"/>
  <c r="P790"/>
  <c r="O790"/>
  <c r="R796"/>
  <c r="T796"/>
  <c r="P796"/>
  <c r="O796"/>
  <c r="K796"/>
  <c r="R841"/>
  <c r="T841"/>
  <c r="P841"/>
  <c r="O841"/>
  <c r="K841"/>
  <c r="R785"/>
  <c r="T785"/>
  <c r="P785"/>
  <c r="O785"/>
  <c r="K785"/>
  <c r="R776"/>
  <c r="T776"/>
  <c r="P776"/>
  <c r="O776"/>
  <c r="R777"/>
  <c r="T777"/>
  <c r="P777"/>
  <c r="O777"/>
  <c r="K777"/>
  <c r="R782"/>
  <c r="T782"/>
  <c r="P782"/>
  <c r="O782"/>
  <c r="R810"/>
  <c r="T810"/>
  <c r="P810"/>
  <c r="O810"/>
  <c r="K810"/>
  <c r="R801"/>
  <c r="T801"/>
  <c r="P801"/>
  <c r="O801"/>
  <c r="R765"/>
  <c r="T765"/>
  <c r="P765"/>
  <c r="O765"/>
  <c r="R771"/>
  <c r="T771"/>
  <c r="P771"/>
  <c r="O771"/>
  <c r="K771"/>
  <c r="R764"/>
  <c r="T764"/>
  <c r="P764"/>
  <c r="O764"/>
  <c r="R773"/>
  <c r="T773"/>
  <c r="P773"/>
  <c r="O773"/>
  <c r="K773"/>
  <c r="H56" i="28" l="1"/>
  <c r="H46"/>
  <c r="K16" i="25"/>
  <c r="B16" i="26"/>
  <c r="R748" i="1"/>
  <c r="T748"/>
  <c r="P748"/>
  <c r="O748"/>
  <c r="R802"/>
  <c r="T802"/>
  <c r="P802"/>
  <c r="O802"/>
  <c r="K802"/>
  <c r="R767"/>
  <c r="T767"/>
  <c r="P767"/>
  <c r="O767"/>
  <c r="R781"/>
  <c r="T781"/>
  <c r="P781"/>
  <c r="O781"/>
  <c r="R766"/>
  <c r="T766"/>
  <c r="P766"/>
  <c r="O766"/>
  <c r="K766"/>
  <c r="R739"/>
  <c r="T739"/>
  <c r="P739"/>
  <c r="O739"/>
  <c r="R715"/>
  <c r="T715"/>
  <c r="P715"/>
  <c r="O715"/>
  <c r="J23" i="17" l="1"/>
  <c r="R760" i="1"/>
  <c r="T760"/>
  <c r="P760"/>
  <c r="O760"/>
  <c r="K760"/>
  <c r="R804"/>
  <c r="T804"/>
  <c r="P804"/>
  <c r="O804"/>
  <c r="R738"/>
  <c r="T738"/>
  <c r="P738"/>
  <c r="O738"/>
  <c r="K738"/>
  <c r="R744"/>
  <c r="T744"/>
  <c r="P744"/>
  <c r="O744"/>
  <c r="K744"/>
  <c r="R681"/>
  <c r="R757"/>
  <c r="T757"/>
  <c r="P757"/>
  <c r="O757"/>
  <c r="K757"/>
  <c r="T742"/>
  <c r="P742"/>
  <c r="O742"/>
  <c r="R761"/>
  <c r="T761"/>
  <c r="P761"/>
  <c r="O761"/>
  <c r="R832"/>
  <c r="T832"/>
  <c r="P832"/>
  <c r="O832"/>
  <c r="K832"/>
  <c r="R809"/>
  <c r="T809"/>
  <c r="P809"/>
  <c r="O809"/>
  <c r="K809"/>
  <c r="J22" i="17"/>
  <c r="R752" i="1" l="1"/>
  <c r="T752"/>
  <c r="P752"/>
  <c r="O752"/>
  <c r="R751"/>
  <c r="T751"/>
  <c r="P751"/>
  <c r="O751"/>
  <c r="T740"/>
  <c r="P740"/>
  <c r="O740"/>
  <c r="R753"/>
  <c r="T753"/>
  <c r="P753"/>
  <c r="O753"/>
  <c r="K753"/>
  <c r="R815"/>
  <c r="T815"/>
  <c r="P815"/>
  <c r="O815"/>
  <c r="R745"/>
  <c r="T745"/>
  <c r="P745"/>
  <c r="O745"/>
  <c r="K745"/>
  <c r="R705"/>
  <c r="T705"/>
  <c r="P705"/>
  <c r="O705"/>
  <c r="R756"/>
  <c r="T756"/>
  <c r="P756"/>
  <c r="O756"/>
  <c r="R763"/>
  <c r="T763"/>
  <c r="P763"/>
  <c r="O763"/>
  <c r="R768"/>
  <c r="T768"/>
  <c r="P768"/>
  <c r="O768"/>
  <c r="R728"/>
  <c r="T728"/>
  <c r="P728"/>
  <c r="O728"/>
  <c r="R721"/>
  <c r="T721"/>
  <c r="P721"/>
  <c r="O721"/>
  <c r="K721"/>
  <c r="R734"/>
  <c r="T734"/>
  <c r="P734"/>
  <c r="O734"/>
  <c r="R759"/>
  <c r="T759"/>
  <c r="P759"/>
  <c r="O759"/>
  <c r="K759"/>
  <c r="R770"/>
  <c r="T770"/>
  <c r="P770"/>
  <c r="O770"/>
  <c r="K18" i="9" s="1"/>
  <c r="R733" i="1"/>
  <c r="T733"/>
  <c r="P733"/>
  <c r="O733"/>
  <c r="T749"/>
  <c r="P749"/>
  <c r="O749"/>
  <c r="R750"/>
  <c r="T750"/>
  <c r="P750"/>
  <c r="O750"/>
  <c r="K750"/>
  <c r="R735"/>
  <c r="T735"/>
  <c r="P735"/>
  <c r="O735"/>
  <c r="R737"/>
  <c r="T737"/>
  <c r="P737"/>
  <c r="O737"/>
  <c r="H36" i="28" l="1"/>
  <c r="B15" i="26"/>
  <c r="K15" i="25"/>
  <c r="R727" i="1"/>
  <c r="T727"/>
  <c r="P727"/>
  <c r="O727"/>
  <c r="R741"/>
  <c r="T741"/>
  <c r="P741"/>
  <c r="O741"/>
  <c r="R747"/>
  <c r="T747"/>
  <c r="P747"/>
  <c r="O747"/>
  <c r="K747"/>
  <c r="R758"/>
  <c r="T758"/>
  <c r="P758"/>
  <c r="O758"/>
  <c r="T743"/>
  <c r="P743"/>
  <c r="O743"/>
  <c r="K743"/>
  <c r="R755"/>
  <c r="T755"/>
  <c r="P755"/>
  <c r="O755"/>
  <c r="F12" i="6"/>
  <c r="F11"/>
  <c r="R723" i="1"/>
  <c r="P723"/>
  <c r="O723"/>
  <c r="K723"/>
  <c r="R754" l="1"/>
  <c r="T754"/>
  <c r="P754"/>
  <c r="O754"/>
  <c r="K754"/>
  <c r="R726"/>
  <c r="T726"/>
  <c r="P726"/>
  <c r="O726"/>
  <c r="K726"/>
  <c r="R711"/>
  <c r="T711"/>
  <c r="P711"/>
  <c r="O711"/>
  <c r="K711"/>
  <c r="R701"/>
  <c r="T701"/>
  <c r="P701"/>
  <c r="O701"/>
  <c r="K701"/>
  <c r="R732"/>
  <c r="T732"/>
  <c r="P732"/>
  <c r="O732"/>
  <c r="R724"/>
  <c r="T724"/>
  <c r="P724"/>
  <c r="O724"/>
  <c r="R704"/>
  <c r="T704"/>
  <c r="P704"/>
  <c r="O704"/>
  <c r="R769"/>
  <c r="T769"/>
  <c r="P769"/>
  <c r="O769"/>
  <c r="K17" i="9" s="1"/>
  <c r="K769" i="1"/>
  <c r="R710"/>
  <c r="T710"/>
  <c r="P710"/>
  <c r="O710"/>
  <c r="K710"/>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5"/>
  <c r="T805"/>
  <c r="P805"/>
  <c r="O805"/>
  <c r="K805"/>
  <c r="R713"/>
  <c r="T713"/>
  <c r="P713"/>
  <c r="O713"/>
  <c r="R718"/>
  <c r="T718"/>
  <c r="P718"/>
  <c r="O718"/>
  <c r="K718"/>
  <c r="R706"/>
  <c r="T706"/>
  <c r="P706"/>
  <c r="O706"/>
  <c r="K706"/>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5"/>
  <c r="P675"/>
  <c r="O675"/>
  <c r="K675"/>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7"/>
  <c r="T667"/>
  <c r="P667"/>
  <c r="O667"/>
  <c r="K667"/>
  <c r="R693"/>
  <c r="T693"/>
  <c r="P693"/>
  <c r="O693"/>
  <c r="K693"/>
  <c r="K681"/>
  <c r="T681"/>
  <c r="P681"/>
  <c r="O681"/>
  <c r="AK61" i="24" l="1"/>
  <c r="AK11"/>
  <c r="AL7" s="1"/>
  <c r="AK51"/>
  <c r="AL49" s="1"/>
  <c r="AL56" l="1"/>
  <c r="AL58"/>
  <c r="AL55"/>
  <c r="AL57"/>
  <c r="AL60"/>
  <c r="M35"/>
  <c r="AL9"/>
  <c r="M58"/>
  <c r="AK35"/>
  <c r="AL40"/>
  <c r="AL51" s="1"/>
  <c r="AL50"/>
  <c r="AL41"/>
  <c r="AL43"/>
  <c r="AL10"/>
  <c r="AL42"/>
  <c r="AL6"/>
  <c r="AL5"/>
  <c r="AL8"/>
  <c r="AL59"/>
  <c r="AL32" l="1"/>
  <c r="AL30"/>
  <c r="AL31"/>
  <c r="AL29"/>
  <c r="AL34"/>
  <c r="N52"/>
  <c r="N55"/>
  <c r="N53"/>
  <c r="N54"/>
  <c r="N57"/>
  <c r="N56"/>
  <c r="AL61"/>
  <c r="N30"/>
  <c r="N32"/>
  <c r="N29"/>
  <c r="N31"/>
  <c r="N34"/>
  <c r="AL11"/>
  <c r="N33"/>
  <c r="AL33"/>
  <c r="AL35" l="1"/>
  <c r="N58"/>
  <c r="N35"/>
  <c r="M111" l="1"/>
  <c r="N109" s="1"/>
  <c r="N108" l="1"/>
  <c r="N107"/>
  <c r="N106"/>
  <c r="N105"/>
  <c r="N110"/>
  <c r="N111"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4"/>
  <c r="T674"/>
  <c r="P674"/>
  <c r="O674"/>
  <c r="K674"/>
  <c r="R646"/>
  <c r="T646"/>
  <c r="P646"/>
  <c r="O646"/>
  <c r="K646"/>
  <c r="R684"/>
  <c r="T684"/>
  <c r="P684"/>
  <c r="O684"/>
  <c r="K684"/>
  <c r="R668"/>
  <c r="T668"/>
  <c r="P668"/>
  <c r="O668"/>
  <c r="K668"/>
  <c r="R673"/>
  <c r="T673"/>
  <c r="P673"/>
  <c r="O673"/>
  <c r="R686"/>
  <c r="T686"/>
  <c r="P686"/>
  <c r="O686"/>
  <c r="K686"/>
  <c r="R730"/>
  <c r="T730"/>
  <c r="P730"/>
  <c r="O730"/>
  <c r="R676"/>
  <c r="T676"/>
  <c r="P676"/>
  <c r="O676"/>
  <c r="R663"/>
  <c r="T663"/>
  <c r="P663"/>
  <c r="O663"/>
  <c r="K663"/>
  <c r="R685"/>
  <c r="T685"/>
  <c r="P685"/>
  <c r="O685"/>
  <c r="K685"/>
  <c r="R678"/>
  <c r="T678"/>
  <c r="P678"/>
  <c r="O678"/>
  <c r="K678"/>
  <c r="R683"/>
  <c r="T683"/>
  <c r="P683"/>
  <c r="O683"/>
  <c r="K683"/>
  <c r="J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J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1"/>
  <c r="T611"/>
  <c r="P611"/>
  <c r="O611"/>
  <c r="K611"/>
  <c r="R608"/>
  <c r="T608"/>
  <c r="P608"/>
  <c r="O608"/>
  <c r="K608"/>
  <c r="R613"/>
  <c r="T613"/>
  <c r="P613"/>
  <c r="O613"/>
  <c r="K613"/>
  <c r="R610"/>
  <c r="T610"/>
  <c r="P610"/>
  <c r="O610"/>
  <c r="K610"/>
  <c r="R604"/>
  <c r="T604"/>
  <c r="P604"/>
  <c r="O604"/>
  <c r="K604"/>
  <c r="R612"/>
  <c r="T612"/>
  <c r="P612"/>
  <c r="O612"/>
  <c r="K612"/>
  <c r="J19" i="17"/>
  <c r="J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7"/>
  <c r="T557"/>
  <c r="P557"/>
  <c r="O557"/>
  <c r="K557"/>
  <c r="R567"/>
  <c r="T567"/>
  <c r="P567"/>
  <c r="O567"/>
  <c r="R554"/>
  <c r="T554"/>
  <c r="P554"/>
  <c r="O554"/>
  <c r="K554"/>
  <c r="R543"/>
  <c r="T543"/>
  <c r="P543"/>
  <c r="O543"/>
  <c r="K543"/>
  <c r="R560"/>
  <c r="T560"/>
  <c r="P560"/>
  <c r="O560"/>
  <c r="K560"/>
  <c r="R542"/>
  <c r="T542"/>
  <c r="P542"/>
  <c r="O542"/>
  <c r="R558"/>
  <c r="T558"/>
  <c r="P558"/>
  <c r="O558"/>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6"/>
  <c r="T526"/>
  <c r="P526"/>
  <c r="O526"/>
  <c r="K526"/>
  <c r="R541"/>
  <c r="T541"/>
  <c r="P541"/>
  <c r="O541"/>
  <c r="K541"/>
  <c r="R528"/>
  <c r="T528"/>
  <c r="P528"/>
  <c r="O528"/>
  <c r="R534"/>
  <c r="T534"/>
  <c r="P534"/>
  <c r="O534"/>
  <c r="T559"/>
  <c r="P559"/>
  <c r="O559"/>
  <c r="K502"/>
  <c r="R520"/>
  <c r="T520"/>
  <c r="P520"/>
  <c r="O520"/>
  <c r="R530"/>
  <c r="T530"/>
  <c r="P530"/>
  <c r="O530"/>
  <c r="K530"/>
  <c r="R522"/>
  <c r="T522"/>
  <c r="P522"/>
  <c r="O522"/>
  <c r="R519"/>
  <c r="T519"/>
  <c r="P519"/>
  <c r="O519"/>
  <c r="H96" i="28" l="1"/>
  <c r="C89" i="6"/>
  <c r="C93" s="1"/>
  <c r="G26" i="28"/>
  <c r="V38"/>
  <c r="W38"/>
  <c r="W37"/>
  <c r="V37"/>
  <c r="F66" i="6"/>
  <c r="U38" i="28"/>
  <c r="U37"/>
  <c r="F65" i="6"/>
  <c r="B14" i="26"/>
  <c r="B13"/>
  <c r="K14" i="9"/>
  <c r="K13"/>
  <c r="K16"/>
  <c r="K12"/>
  <c r="K15"/>
  <c r="K13" i="25"/>
  <c r="K14"/>
  <c r="C17" i="9"/>
  <c r="C18"/>
  <c r="C15"/>
  <c r="C16"/>
  <c r="F36" i="6"/>
  <c r="F37"/>
  <c r="C12" i="9"/>
  <c r="C14"/>
  <c r="C11"/>
  <c r="C13"/>
  <c r="R521" i="1"/>
  <c r="T521"/>
  <c r="P521"/>
  <c r="O521"/>
  <c r="R508"/>
  <c r="T508"/>
  <c r="P508"/>
  <c r="O508"/>
  <c r="K508"/>
  <c r="R529"/>
  <c r="T529"/>
  <c r="P529"/>
  <c r="O529"/>
  <c r="R518"/>
  <c r="T518"/>
  <c r="P518"/>
  <c r="O518"/>
  <c r="R525"/>
  <c r="T525"/>
  <c r="P525"/>
  <c r="O525"/>
  <c r="R515"/>
  <c r="T515"/>
  <c r="P515"/>
  <c r="O515"/>
  <c r="R516"/>
  <c r="T516"/>
  <c r="P516"/>
  <c r="O516"/>
  <c r="R524"/>
  <c r="T524"/>
  <c r="P524"/>
  <c r="O524"/>
  <c r="R523"/>
  <c r="T523"/>
  <c r="P523"/>
  <c r="O523"/>
  <c r="K523"/>
  <c r="R514"/>
  <c r="T514"/>
  <c r="P514"/>
  <c r="O514"/>
  <c r="R497"/>
  <c r="T497"/>
  <c r="P497"/>
  <c r="O497"/>
  <c r="R505"/>
  <c r="T505"/>
  <c r="P505"/>
  <c r="O505"/>
  <c r="R513"/>
  <c r="T513"/>
  <c r="P513"/>
  <c r="O513"/>
  <c r="R531"/>
  <c r="R512"/>
  <c r="T512"/>
  <c r="P512"/>
  <c r="O512"/>
  <c r="K512"/>
  <c r="R506"/>
  <c r="T506"/>
  <c r="P506"/>
  <c r="O506"/>
  <c r="O531"/>
  <c r="R500"/>
  <c r="T500"/>
  <c r="P500"/>
  <c r="O500"/>
  <c r="K500"/>
  <c r="R509"/>
  <c r="T509"/>
  <c r="P509"/>
  <c r="O509"/>
  <c r="K511"/>
  <c r="K499"/>
  <c r="R507"/>
  <c r="R494"/>
  <c r="R501"/>
  <c r="R503"/>
  <c r="R510"/>
  <c r="R499"/>
  <c r="R527"/>
  <c r="G86" i="28" s="1"/>
  <c r="R511" i="1"/>
  <c r="R504"/>
  <c r="R517"/>
  <c r="R502"/>
  <c r="T502"/>
  <c r="P502"/>
  <c r="O502"/>
  <c r="T517"/>
  <c r="P517"/>
  <c r="O517"/>
  <c r="T504"/>
  <c r="P504"/>
  <c r="O504"/>
  <c r="T511"/>
  <c r="P511"/>
  <c r="O511"/>
  <c r="T527"/>
  <c r="P527"/>
  <c r="O527"/>
  <c r="T499"/>
  <c r="P499"/>
  <c r="O499"/>
  <c r="T510"/>
  <c r="P510"/>
  <c r="O510"/>
  <c r="T503"/>
  <c r="P503"/>
  <c r="O503"/>
  <c r="T501"/>
  <c r="P501"/>
  <c r="O501"/>
  <c r="T494"/>
  <c r="P494"/>
  <c r="O494"/>
  <c r="T507"/>
  <c r="P507"/>
  <c r="O507"/>
  <c r="X37" i="28" l="1"/>
  <c r="X38"/>
  <c r="R472" i="1"/>
  <c r="H42" i="9"/>
  <c r="H28"/>
  <c r="H27"/>
  <c r="H26"/>
  <c r="H25"/>
  <c r="H35"/>
  <c r="R496" i="1"/>
  <c r="T496"/>
  <c r="P496"/>
  <c r="O496"/>
  <c r="K496"/>
  <c r="O472"/>
  <c r="R493"/>
  <c r="T493"/>
  <c r="P493"/>
  <c r="O493"/>
  <c r="K493"/>
  <c r="R485"/>
  <c r="T485"/>
  <c r="P485"/>
  <c r="O485"/>
  <c r="R459"/>
  <c r="R487"/>
  <c r="T487"/>
  <c r="P487"/>
  <c r="O487"/>
  <c r="K487"/>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6" l="1"/>
  <c r="T486"/>
  <c r="P486"/>
  <c r="O486"/>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G76" i="28" l="1"/>
  <c r="R453" i="1"/>
  <c r="T453"/>
  <c r="P453"/>
  <c r="O453"/>
  <c r="R484"/>
  <c r="T484"/>
  <c r="P484"/>
  <c r="O484"/>
  <c r="K484"/>
  <c r="R454"/>
  <c r="T454"/>
  <c r="P454"/>
  <c r="O454"/>
  <c r="R456"/>
  <c r="T456"/>
  <c r="P456"/>
  <c r="O456"/>
  <c r="K456"/>
  <c r="R452"/>
  <c r="T452"/>
  <c r="P452"/>
  <c r="O452"/>
  <c r="J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5"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20"/>
  <c r="P420"/>
  <c r="O420"/>
  <c r="K420"/>
  <c r="R422"/>
  <c r="T422"/>
  <c r="P422"/>
  <c r="O422"/>
  <c r="K422"/>
  <c r="R427"/>
  <c r="T427"/>
  <c r="P427"/>
  <c r="O427"/>
  <c r="K427"/>
  <c r="R412"/>
  <c r="T412"/>
  <c r="P412"/>
  <c r="O412"/>
  <c r="R418"/>
  <c r="T418"/>
  <c r="P418"/>
  <c r="O418"/>
  <c r="K418"/>
  <c r="R419"/>
  <c r="T419"/>
  <c r="P419"/>
  <c r="O419"/>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F86" i="28" s="1"/>
  <c r="T398" i="1"/>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G66" i="28" l="1"/>
  <c r="J66" s="1"/>
  <c r="K86"/>
  <c r="B122" s="1"/>
  <c r="J86"/>
  <c r="C122" s="1"/>
  <c r="D11" i="2"/>
  <c r="D29"/>
  <c r="D28"/>
  <c r="D37"/>
  <c r="D36"/>
  <c r="D35"/>
  <c r="D34"/>
  <c r="D33"/>
  <c r="D32"/>
  <c r="D31"/>
  <c r="D30"/>
  <c r="D2"/>
  <c r="D4"/>
  <c r="D6"/>
  <c r="D3"/>
  <c r="D7"/>
  <c r="D10"/>
  <c r="D5"/>
  <c r="D9"/>
  <c r="D8"/>
  <c r="G1"/>
  <c r="J69" i="28" l="1"/>
  <c r="C120"/>
  <c r="K66"/>
  <c r="B120" s="1"/>
  <c r="F32" i="2"/>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R378"/>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F76" i="28" s="1"/>
  <c r="T366" i="1"/>
  <c r="P366"/>
  <c r="O366"/>
  <c r="R351"/>
  <c r="T351"/>
  <c r="P351"/>
  <c r="O351"/>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0"/>
  <c r="K353"/>
  <c r="K352"/>
  <c r="R353"/>
  <c r="T353"/>
  <c r="P353"/>
  <c r="O353"/>
  <c r="R350"/>
  <c r="T350"/>
  <c r="P350"/>
  <c r="O350"/>
  <c r="R344"/>
  <c r="T344"/>
  <c r="P344"/>
  <c r="O344"/>
  <c r="R348"/>
  <c r="T348"/>
  <c r="P348"/>
  <c r="O348"/>
  <c r="R347"/>
  <c r="T347"/>
  <c r="P347"/>
  <c r="O347"/>
  <c r="R341"/>
  <c r="T341"/>
  <c r="P341"/>
  <c r="O341"/>
  <c r="J78" i="28" l="1"/>
  <c r="K76"/>
  <c r="B121" s="1"/>
  <c r="J76"/>
  <c r="C121" s="1"/>
  <c r="W48"/>
  <c r="W49" s="1"/>
  <c r="W33"/>
  <c r="X21"/>
  <c r="U21"/>
  <c r="U48"/>
  <c r="V48"/>
  <c r="V49" s="1"/>
  <c r="W36"/>
  <c r="U33"/>
  <c r="V33"/>
  <c r="V36"/>
  <c r="W21"/>
  <c r="U36"/>
  <c r="F61" i="6"/>
  <c r="F64"/>
  <c r="AQ34" i="24"/>
  <c r="B12" i="26"/>
  <c r="K12" i="25"/>
  <c r="H40" i="9"/>
  <c r="H39"/>
  <c r="H41"/>
  <c r="H33"/>
  <c r="H34"/>
  <c r="H32"/>
  <c r="I59" i="6"/>
  <c r="I60" s="1"/>
  <c r="F35"/>
  <c r="I30"/>
  <c r="I31" s="1"/>
  <c r="F32"/>
  <c r="B4" i="23"/>
  <c r="R10" i="17"/>
  <c r="C22" i="9" s="1"/>
  <c r="R9" i="17"/>
  <c r="R352" i="1"/>
  <c r="T352"/>
  <c r="P352"/>
  <c r="O352"/>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4"/>
  <c r="J77" i="28" s="1"/>
  <c r="R272" i="1"/>
  <c r="R273"/>
  <c r="R274"/>
  <c r="R275"/>
  <c r="R276"/>
  <c r="R277"/>
  <c r="R282"/>
  <c r="R278"/>
  <c r="R279"/>
  <c r="R280"/>
  <c r="R281"/>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82"/>
  <c r="K285"/>
  <c r="K286"/>
  <c r="K287"/>
  <c r="K288"/>
  <c r="K289"/>
  <c r="K290"/>
  <c r="K291"/>
  <c r="K292"/>
  <c r="K293"/>
  <c r="K294"/>
  <c r="K295"/>
  <c r="K283"/>
  <c r="K279"/>
  <c r="K280"/>
  <c r="K278"/>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82"/>
  <c r="P282"/>
  <c r="O282"/>
  <c r="T283"/>
  <c r="P283"/>
  <c r="O283"/>
  <c r="T281"/>
  <c r="P281"/>
  <c r="O281"/>
  <c r="T280"/>
  <c r="P280"/>
  <c r="O280"/>
  <c r="T279"/>
  <c r="P279"/>
  <c r="O279"/>
  <c r="T278"/>
  <c r="P278"/>
  <c r="O278"/>
  <c r="T277"/>
  <c r="P277"/>
  <c r="O277"/>
  <c r="T276"/>
  <c r="P276"/>
  <c r="O276"/>
  <c r="T275"/>
  <c r="P275"/>
  <c r="O275"/>
  <c r="T274"/>
  <c r="P274"/>
  <c r="O274"/>
  <c r="T273"/>
  <c r="P273"/>
  <c r="O273"/>
  <c r="T272"/>
  <c r="P272"/>
  <c r="O272"/>
  <c r="R254"/>
  <c r="J79" i="28" l="1"/>
  <c r="D121"/>
  <c r="G56"/>
  <c r="X36"/>
  <c r="U49"/>
  <c r="X48"/>
  <c r="X49" s="1"/>
  <c r="W35"/>
  <c r="X33"/>
  <c r="V34"/>
  <c r="W34"/>
  <c r="V35"/>
  <c r="Y21"/>
  <c r="U35"/>
  <c r="U34"/>
  <c r="F63" i="6"/>
  <c r="F62"/>
  <c r="B11" i="26"/>
  <c r="K11" i="25"/>
  <c r="H43" i="9"/>
  <c r="H36"/>
  <c r="H29"/>
  <c r="F34" i="6"/>
  <c r="F33"/>
  <c r="A4" i="23"/>
  <c r="B5"/>
  <c r="R255" i="1"/>
  <c r="R265"/>
  <c r="T265"/>
  <c r="P265"/>
  <c r="O265"/>
  <c r="K265"/>
  <c r="R271"/>
  <c r="R270"/>
  <c r="R269"/>
  <c r="R268"/>
  <c r="R267"/>
  <c r="R266"/>
  <c r="R264"/>
  <c r="R263"/>
  <c r="R262"/>
  <c r="R260"/>
  <c r="R259"/>
  <c r="R258"/>
  <c r="R257"/>
  <c r="R256"/>
  <c r="R253"/>
  <c r="R252"/>
  <c r="R251"/>
  <c r="R250"/>
  <c r="R249"/>
  <c r="R248"/>
  <c r="R247"/>
  <c r="R246"/>
  <c r="R245"/>
  <c r="R244"/>
  <c r="R242"/>
  <c r="R243"/>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5"/>
  <c r="R206"/>
  <c r="R204"/>
  <c r="R203"/>
  <c r="R202"/>
  <c r="R201"/>
  <c r="R200"/>
  <c r="R199"/>
  <c r="R198"/>
  <c r="R197"/>
  <c r="R196"/>
  <c r="R195"/>
  <c r="R194"/>
  <c r="R193"/>
  <c r="R192"/>
  <c r="R191"/>
  <c r="R188"/>
  <c r="R189"/>
  <c r="R190"/>
  <c r="R187"/>
  <c r="R186"/>
  <c r="R185"/>
  <c r="R183"/>
  <c r="R184"/>
  <c r="R182"/>
  <c r="R181"/>
  <c r="R180"/>
  <c r="R179"/>
  <c r="R178"/>
  <c r="R177"/>
  <c r="R175"/>
  <c r="R176"/>
  <c r="R174"/>
  <c r="R172"/>
  <c r="R173"/>
  <c r="R171"/>
  <c r="R170"/>
  <c r="R169"/>
  <c r="R168"/>
  <c r="R167"/>
  <c r="R166"/>
  <c r="R165"/>
  <c r="R164"/>
  <c r="R163"/>
  <c r="R162"/>
  <c r="R161"/>
  <c r="R160"/>
  <c r="R159"/>
  <c r="R158"/>
  <c r="R157"/>
  <c r="R156"/>
  <c r="R155"/>
  <c r="R154"/>
  <c r="R153"/>
  <c r="R152"/>
  <c r="R151"/>
  <c r="R150"/>
  <c r="R149"/>
  <c r="R148"/>
  <c r="R147"/>
  <c r="R146"/>
  <c r="R145"/>
  <c r="R144"/>
  <c r="R143"/>
  <c r="R142"/>
  <c r="R140"/>
  <c r="R141"/>
  <c r="R139"/>
  <c r="R138"/>
  <c r="R137"/>
  <c r="R136"/>
  <c r="R135"/>
  <c r="R133"/>
  <c r="R134"/>
  <c r="R132"/>
  <c r="R131"/>
  <c r="R130"/>
  <c r="R129"/>
  <c r="R126"/>
  <c r="R128"/>
  <c r="R127"/>
  <c r="R125"/>
  <c r="R124"/>
  <c r="R123"/>
  <c r="R122"/>
  <c r="R121"/>
  <c r="R120"/>
  <c r="R119"/>
  <c r="R118"/>
  <c r="R117"/>
  <c r="R116"/>
  <c r="R114"/>
  <c r="R115"/>
  <c r="R112"/>
  <c r="R110"/>
  <c r="R111"/>
  <c r="R113"/>
  <c r="R108"/>
  <c r="R107"/>
  <c r="R109"/>
  <c r="R106"/>
  <c r="R105"/>
  <c r="R102"/>
  <c r="R101"/>
  <c r="R103"/>
  <c r="R104"/>
  <c r="R100"/>
  <c r="R99"/>
  <c r="R98"/>
  <c r="R97"/>
  <c r="R96"/>
  <c r="R95"/>
  <c r="R94"/>
  <c r="R93"/>
  <c r="R92"/>
  <c r="R91"/>
  <c r="R90"/>
  <c r="R89"/>
  <c r="R88"/>
  <c r="R86"/>
  <c r="R87"/>
  <c r="R85"/>
  <c r="R84"/>
  <c r="R83"/>
  <c r="R82"/>
  <c r="R81"/>
  <c r="R80"/>
  <c r="R79"/>
  <c r="R78"/>
  <c r="R77"/>
  <c r="R76"/>
  <c r="R75"/>
  <c r="R74"/>
  <c r="R73"/>
  <c r="R72"/>
  <c r="R70"/>
  <c r="R71"/>
  <c r="R69"/>
  <c r="R68"/>
  <c r="R67"/>
  <c r="R65"/>
  <c r="R66"/>
  <c r="R64"/>
  <c r="R63"/>
  <c r="R62"/>
  <c r="R61"/>
  <c r="R59"/>
  <c r="R60"/>
  <c r="R58"/>
  <c r="R57"/>
  <c r="R56"/>
  <c r="R55"/>
  <c r="R54"/>
  <c r="R53"/>
  <c r="R52"/>
  <c r="R50"/>
  <c r="R51"/>
  <c r="R49"/>
  <c r="R48"/>
  <c r="R47"/>
  <c r="R46"/>
  <c r="R45"/>
  <c r="R44"/>
  <c r="R43"/>
  <c r="R42"/>
  <c r="R41"/>
  <c r="R40"/>
  <c r="R39"/>
  <c r="R38"/>
  <c r="R37"/>
  <c r="R36"/>
  <c r="R35"/>
  <c r="R34"/>
  <c r="R33"/>
  <c r="R32"/>
  <c r="R30"/>
  <c r="R31"/>
  <c r="R27"/>
  <c r="R29"/>
  <c r="R26"/>
  <c r="R25"/>
  <c r="R28"/>
  <c r="R24"/>
  <c r="R23"/>
  <c r="R22"/>
  <c r="R21"/>
  <c r="R20"/>
  <c r="R19"/>
  <c r="R17"/>
  <c r="R18"/>
  <c r="R16"/>
  <c r="R15"/>
  <c r="R14"/>
  <c r="R13"/>
  <c r="R12"/>
  <c r="R11"/>
  <c r="R10"/>
  <c r="R9"/>
  <c r="R8"/>
  <c r="R7"/>
  <c r="R6"/>
  <c r="R5"/>
  <c r="R4"/>
  <c r="R3"/>
  <c r="K260"/>
  <c r="K266"/>
  <c r="K270"/>
  <c r="K261"/>
  <c r="K259"/>
  <c r="K267"/>
  <c r="K264"/>
  <c r="K256"/>
  <c r="K262"/>
  <c r="K268"/>
  <c r="K269"/>
  <c r="K253"/>
  <c r="T253"/>
  <c r="P253"/>
  <c r="O253"/>
  <c r="T269"/>
  <c r="P269"/>
  <c r="O269"/>
  <c r="T263"/>
  <c r="P263"/>
  <c r="O263"/>
  <c r="T271"/>
  <c r="P271"/>
  <c r="O271"/>
  <c r="T268"/>
  <c r="P268"/>
  <c r="O268"/>
  <c r="T262"/>
  <c r="P262"/>
  <c r="O262"/>
  <c r="T257"/>
  <c r="P257"/>
  <c r="O257"/>
  <c r="T256"/>
  <c r="P256"/>
  <c r="O256"/>
  <c r="T264"/>
  <c r="P264"/>
  <c r="O264"/>
  <c r="H3" i="21"/>
  <c r="E3"/>
  <c r="B3"/>
  <c r="B2" i="22"/>
  <c r="C2" i="19"/>
  <c r="K4" i="1"/>
  <c r="K5"/>
  <c r="K6"/>
  <c r="K7"/>
  <c r="K8"/>
  <c r="K9"/>
  <c r="K10"/>
  <c r="K11"/>
  <c r="K12"/>
  <c r="K13"/>
  <c r="K14"/>
  <c r="K15"/>
  <c r="K16"/>
  <c r="K18"/>
  <c r="K17"/>
  <c r="K19"/>
  <c r="K20"/>
  <c r="K21"/>
  <c r="K22"/>
  <c r="K23"/>
  <c r="K24"/>
  <c r="K28"/>
  <c r="K25"/>
  <c r="K26"/>
  <c r="K29"/>
  <c r="K27"/>
  <c r="K31"/>
  <c r="K30"/>
  <c r="K32"/>
  <c r="K33"/>
  <c r="K34"/>
  <c r="K35"/>
  <c r="K36"/>
  <c r="K37"/>
  <c r="K38"/>
  <c r="K39"/>
  <c r="K40"/>
  <c r="K41"/>
  <c r="K42"/>
  <c r="K43"/>
  <c r="K44"/>
  <c r="K45"/>
  <c r="K46"/>
  <c r="K47"/>
  <c r="K48"/>
  <c r="K49"/>
  <c r="K51"/>
  <c r="K50"/>
  <c r="K52"/>
  <c r="K53"/>
  <c r="K54"/>
  <c r="K55"/>
  <c r="K56"/>
  <c r="K57"/>
  <c r="K58"/>
  <c r="K60"/>
  <c r="K59"/>
  <c r="K61"/>
  <c r="K62"/>
  <c r="K63"/>
  <c r="K64"/>
  <c r="K66"/>
  <c r="K65"/>
  <c r="K67"/>
  <c r="K68"/>
  <c r="K69"/>
  <c r="K71"/>
  <c r="K70"/>
  <c r="K72"/>
  <c r="K73"/>
  <c r="K74"/>
  <c r="K75"/>
  <c r="K76"/>
  <c r="K77"/>
  <c r="K78"/>
  <c r="K79"/>
  <c r="K80"/>
  <c r="K81"/>
  <c r="K82"/>
  <c r="K83"/>
  <c r="K84"/>
  <c r="K85"/>
  <c r="K87"/>
  <c r="K86"/>
  <c r="K88"/>
  <c r="K89"/>
  <c r="K90"/>
  <c r="K91"/>
  <c r="K92"/>
  <c r="K93"/>
  <c r="K94"/>
  <c r="K95"/>
  <c r="K96"/>
  <c r="K97"/>
  <c r="K98"/>
  <c r="K99"/>
  <c r="K100"/>
  <c r="K104"/>
  <c r="K103"/>
  <c r="K101"/>
  <c r="K102"/>
  <c r="K105"/>
  <c r="K106"/>
  <c r="K109"/>
  <c r="K107"/>
  <c r="K108"/>
  <c r="K113"/>
  <c r="K111"/>
  <c r="K110"/>
  <c r="K112"/>
  <c r="K115"/>
  <c r="K114"/>
  <c r="K116"/>
  <c r="K117"/>
  <c r="K118"/>
  <c r="K119"/>
  <c r="K120"/>
  <c r="K121"/>
  <c r="K122"/>
  <c r="K123"/>
  <c r="K124"/>
  <c r="K125"/>
  <c r="K127"/>
  <c r="K128"/>
  <c r="K126"/>
  <c r="K129"/>
  <c r="K130"/>
  <c r="K131"/>
  <c r="K132"/>
  <c r="K134"/>
  <c r="K133"/>
  <c r="K135"/>
  <c r="K138"/>
  <c r="K136"/>
  <c r="K137"/>
  <c r="K139"/>
  <c r="K141"/>
  <c r="K140"/>
  <c r="K142"/>
  <c r="K143"/>
  <c r="K144"/>
  <c r="K145"/>
  <c r="K146"/>
  <c r="K147"/>
  <c r="K148"/>
  <c r="K149"/>
  <c r="K150"/>
  <c r="K151"/>
  <c r="K152"/>
  <c r="K153"/>
  <c r="K154"/>
  <c r="K155"/>
  <c r="K156"/>
  <c r="K157"/>
  <c r="K158"/>
  <c r="K159"/>
  <c r="K160"/>
  <c r="K161"/>
  <c r="K162"/>
  <c r="K163"/>
  <c r="K164"/>
  <c r="K165"/>
  <c r="K166"/>
  <c r="K167"/>
  <c r="K168"/>
  <c r="K169"/>
  <c r="K170"/>
  <c r="K171"/>
  <c r="K173"/>
  <c r="K172"/>
  <c r="K174"/>
  <c r="K176"/>
  <c r="K175"/>
  <c r="K177"/>
  <c r="K178"/>
  <c r="K179"/>
  <c r="K180"/>
  <c r="K181"/>
  <c r="K182"/>
  <c r="K184"/>
  <c r="K183"/>
  <c r="K185"/>
  <c r="K186"/>
  <c r="K187"/>
  <c r="K190"/>
  <c r="K189"/>
  <c r="K188"/>
  <c r="K191"/>
  <c r="K192"/>
  <c r="K193"/>
  <c r="K194"/>
  <c r="K195"/>
  <c r="K196"/>
  <c r="K197"/>
  <c r="K198"/>
  <c r="K199"/>
  <c r="K200"/>
  <c r="K201"/>
  <c r="K202"/>
  <c r="K203"/>
  <c r="K204"/>
  <c r="K206"/>
  <c r="K205"/>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3"/>
  <c r="K245"/>
  <c r="K247"/>
  <c r="K258"/>
  <c r="K242"/>
  <c r="K251"/>
  <c r="K255"/>
  <c r="K252"/>
  <c r="K3"/>
  <c r="C9" i="6"/>
  <c r="C8"/>
  <c r="G11" i="9"/>
  <c r="T267" i="1"/>
  <c r="P267"/>
  <c r="O267"/>
  <c r="J88" i="28" l="1"/>
  <c r="J28"/>
  <c r="D116" s="1"/>
  <c r="C63" i="6"/>
  <c r="C96"/>
  <c r="C98" s="1"/>
  <c r="C88"/>
  <c r="C91" s="1"/>
  <c r="F56" i="28"/>
  <c r="K56" s="1"/>
  <c r="F26"/>
  <c r="J26" s="1"/>
  <c r="C116" s="1"/>
  <c r="F46"/>
  <c r="G46"/>
  <c r="G96"/>
  <c r="F36"/>
  <c r="G36"/>
  <c r="A8" i="7"/>
  <c r="A6"/>
  <c r="A7"/>
  <c r="A9"/>
  <c r="X35" i="28"/>
  <c r="X34"/>
  <c r="V32"/>
  <c r="W32"/>
  <c r="V31"/>
  <c r="W31"/>
  <c r="W20"/>
  <c r="X20"/>
  <c r="X24"/>
  <c r="U20"/>
  <c r="W24"/>
  <c r="F60" i="6"/>
  <c r="U32" i="28"/>
  <c r="F59" i="6"/>
  <c r="U31" i="28"/>
  <c r="U24"/>
  <c r="C65" i="6"/>
  <c r="J87" i="28" s="1"/>
  <c r="J90" s="1"/>
  <c r="AP14" i="24"/>
  <c r="AQ55" i="26"/>
  <c r="AQ12"/>
  <c r="A28" i="7"/>
  <c r="A30"/>
  <c r="A29"/>
  <c r="A32"/>
  <c r="A33"/>
  <c r="A31"/>
  <c r="AP13" i="24"/>
  <c r="C34" i="6"/>
  <c r="F31"/>
  <c r="F30"/>
  <c r="A5" i="23"/>
  <c r="B6"/>
  <c r="C36" i="6"/>
  <c r="T259" i="1"/>
  <c r="P259"/>
  <c r="O259"/>
  <c r="C10" i="9" s="1"/>
  <c r="J89" i="28" l="1"/>
  <c r="D122"/>
  <c r="J29"/>
  <c r="J27"/>
  <c r="J30" s="1"/>
  <c r="C100" i="6"/>
  <c r="K26" i="28"/>
  <c r="B116" s="1"/>
  <c r="J56"/>
  <c r="C119" s="1"/>
  <c r="K96"/>
  <c r="B123" s="1"/>
  <c r="J96"/>
  <c r="C123" s="1"/>
  <c r="K46"/>
  <c r="J46"/>
  <c r="C118" s="1"/>
  <c r="B118"/>
  <c r="B119"/>
  <c r="K36"/>
  <c r="B117" s="1"/>
  <c r="J36"/>
  <c r="C117" s="1"/>
  <c r="B12" i="7"/>
  <c r="X32" i="28"/>
  <c r="Y24"/>
  <c r="W41"/>
  <c r="V41"/>
  <c r="F69" i="6"/>
  <c r="G105" i="28" s="1"/>
  <c r="Y20"/>
  <c r="U41"/>
  <c r="X31"/>
  <c r="A34" i="7"/>
  <c r="B31" s="1"/>
  <c r="F38" i="6"/>
  <c r="A6" i="23"/>
  <c r="B7"/>
  <c r="K11" i="9"/>
  <c r="T261" i="1"/>
  <c r="P261"/>
  <c r="O261"/>
  <c r="T270"/>
  <c r="P270"/>
  <c r="O270"/>
  <c r="T266"/>
  <c r="P266"/>
  <c r="O266"/>
  <c r="T260"/>
  <c r="P260"/>
  <c r="O260"/>
  <c r="T252"/>
  <c r="P252"/>
  <c r="O252"/>
  <c r="T255"/>
  <c r="P255"/>
  <c r="O255"/>
  <c r="T251"/>
  <c r="P251"/>
  <c r="O251"/>
  <c r="T241"/>
  <c r="P241"/>
  <c r="O241"/>
  <c r="T258"/>
  <c r="P258"/>
  <c r="O258"/>
  <c r="T247"/>
  <c r="P247"/>
  <c r="O247"/>
  <c r="T245"/>
  <c r="P245"/>
  <c r="O245"/>
  <c r="T243"/>
  <c r="P243"/>
  <c r="O243"/>
  <c r="T250"/>
  <c r="P250"/>
  <c r="O250"/>
  <c r="T249"/>
  <c r="P249"/>
  <c r="O249"/>
  <c r="T248"/>
  <c r="P248"/>
  <c r="O248"/>
  <c r="J104" i="28" l="1"/>
  <c r="C102" i="6"/>
  <c r="B6" i="7"/>
  <c r="B10"/>
  <c r="B11"/>
  <c r="X41" i="28"/>
  <c r="B32" i="7"/>
  <c r="B30"/>
  <c r="B33"/>
  <c r="B28"/>
  <c r="B29"/>
  <c r="A7" i="23"/>
  <c r="B8"/>
  <c r="T246" i="1"/>
  <c r="P246"/>
  <c r="O246"/>
  <c r="T244"/>
  <c r="P244"/>
  <c r="O244"/>
  <c r="T231"/>
  <c r="P231"/>
  <c r="O231"/>
  <c r="T242"/>
  <c r="P242"/>
  <c r="O242"/>
  <c r="T254"/>
  <c r="P254"/>
  <c r="O254"/>
  <c r="T236"/>
  <c r="P236"/>
  <c r="O236"/>
  <c r="A8" i="23" l="1"/>
  <c r="B9"/>
  <c r="G10"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G25" i="9" s="1"/>
  <c r="C16" i="20"/>
  <c r="C1"/>
  <c r="A11" i="23" l="1"/>
  <c r="B12"/>
  <c r="C23" i="20"/>
  <c r="B13" i="23" l="1"/>
  <c r="A12"/>
  <c r="T225" i="1"/>
  <c r="P225"/>
  <c r="O225"/>
  <c r="T224"/>
  <c r="P224"/>
  <c r="O224"/>
  <c r="T221"/>
  <c r="P221"/>
  <c r="O221"/>
  <c r="T223"/>
  <c r="P223"/>
  <c r="O223"/>
  <c r="T222"/>
  <c r="P222"/>
  <c r="O222"/>
  <c r="B14" i="23" l="1"/>
  <c r="A13"/>
  <c r="T204" i="1"/>
  <c r="P204"/>
  <c r="O204"/>
  <c r="U220"/>
  <c r="T220"/>
  <c r="G9" i="9"/>
  <c r="G8"/>
  <c r="G7"/>
  <c r="G6"/>
  <c r="G5"/>
  <c r="G4"/>
  <c r="P220" i="1"/>
  <c r="O220"/>
  <c r="U219"/>
  <c r="T219"/>
  <c r="U217"/>
  <c r="T217"/>
  <c r="U216"/>
  <c r="T216"/>
  <c r="U211"/>
  <c r="T211"/>
  <c r="U218"/>
  <c r="T218"/>
  <c r="U215"/>
  <c r="T215"/>
  <c r="U214"/>
  <c r="T214"/>
  <c r="G26" i="9" l="1"/>
  <c r="A14" i="23"/>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8"/>
  <c r="U17"/>
  <c r="U19"/>
  <c r="U20"/>
  <c r="U21"/>
  <c r="U22"/>
  <c r="U23"/>
  <c r="U24"/>
  <c r="U28"/>
  <c r="U25"/>
  <c r="U26"/>
  <c r="U29"/>
  <c r="U27"/>
  <c r="U31"/>
  <c r="U30"/>
  <c r="U32"/>
  <c r="U33"/>
  <c r="U34"/>
  <c r="U35"/>
  <c r="U36"/>
  <c r="U37"/>
  <c r="U38"/>
  <c r="U39"/>
  <c r="U40"/>
  <c r="U41"/>
  <c r="U42"/>
  <c r="U43"/>
  <c r="U44"/>
  <c r="U45"/>
  <c r="U46"/>
  <c r="U47"/>
  <c r="U48"/>
  <c r="U49"/>
  <c r="U51"/>
  <c r="U50"/>
  <c r="U52"/>
  <c r="U53"/>
  <c r="U54"/>
  <c r="U55"/>
  <c r="U56"/>
  <c r="U57"/>
  <c r="U58"/>
  <c r="U60"/>
  <c r="U59"/>
  <c r="U61"/>
  <c r="U62"/>
  <c r="U63"/>
  <c r="U64"/>
  <c r="U66"/>
  <c r="U65"/>
  <c r="U67"/>
  <c r="U68"/>
  <c r="U69"/>
  <c r="U71"/>
  <c r="U70"/>
  <c r="U72"/>
  <c r="U73"/>
  <c r="U74"/>
  <c r="U75"/>
  <c r="U76"/>
  <c r="U77"/>
  <c r="U78"/>
  <c r="U79"/>
  <c r="U80"/>
  <c r="U81"/>
  <c r="U82"/>
  <c r="U83"/>
  <c r="U84"/>
  <c r="U85"/>
  <c r="U87"/>
  <c r="U86"/>
  <c r="U88"/>
  <c r="U89"/>
  <c r="U90"/>
  <c r="U91"/>
  <c r="U92"/>
  <c r="U93"/>
  <c r="U94"/>
  <c r="U95"/>
  <c r="U96"/>
  <c r="U97"/>
  <c r="U98"/>
  <c r="U99"/>
  <c r="U100"/>
  <c r="U104"/>
  <c r="U103"/>
  <c r="U101"/>
  <c r="U102"/>
  <c r="U105"/>
  <c r="U106"/>
  <c r="U109"/>
  <c r="U107"/>
  <c r="U108"/>
  <c r="U113"/>
  <c r="U111"/>
  <c r="U110"/>
  <c r="U112"/>
  <c r="U115"/>
  <c r="U114"/>
  <c r="U116"/>
  <c r="U117"/>
  <c r="U118"/>
  <c r="U119"/>
  <c r="U120"/>
  <c r="U121"/>
  <c r="U122"/>
  <c r="U123"/>
  <c r="U124"/>
  <c r="U125"/>
  <c r="U127"/>
  <c r="U128"/>
  <c r="U126"/>
  <c r="U129"/>
  <c r="U130"/>
  <c r="U131"/>
  <c r="U132"/>
  <c r="U134"/>
  <c r="U133"/>
  <c r="U135"/>
  <c r="U138"/>
  <c r="U136"/>
  <c r="U137"/>
  <c r="U139"/>
  <c r="U141"/>
  <c r="U140"/>
  <c r="U142"/>
  <c r="U143"/>
  <c r="U144"/>
  <c r="U145"/>
  <c r="U146"/>
  <c r="U147"/>
  <c r="U148"/>
  <c r="U149"/>
  <c r="U150"/>
  <c r="U151"/>
  <c r="U152"/>
  <c r="U153"/>
  <c r="U154"/>
  <c r="U155"/>
  <c r="U156"/>
  <c r="U157"/>
  <c r="U158"/>
  <c r="U159"/>
  <c r="U160"/>
  <c r="U161"/>
  <c r="U162"/>
  <c r="U163"/>
  <c r="U164"/>
  <c r="U166"/>
  <c r="U165"/>
  <c r="U167"/>
  <c r="U168"/>
  <c r="U169"/>
  <c r="U170"/>
  <c r="U171"/>
  <c r="U173"/>
  <c r="U172"/>
  <c r="U174"/>
  <c r="U176"/>
  <c r="U175"/>
  <c r="U177"/>
  <c r="U178"/>
  <c r="U179"/>
  <c r="U180"/>
  <c r="U181"/>
  <c r="U182"/>
  <c r="U184"/>
  <c r="U183"/>
  <c r="U185"/>
  <c r="U186"/>
  <c r="U187"/>
  <c r="U190"/>
  <c r="U191"/>
  <c r="U189"/>
  <c r="U188"/>
  <c r="U192"/>
  <c r="U193"/>
  <c r="U194"/>
  <c r="U195"/>
  <c r="U196"/>
  <c r="U197"/>
  <c r="U198"/>
  <c r="U199"/>
  <c r="U200"/>
  <c r="U201"/>
  <c r="U202"/>
  <c r="U203"/>
  <c r="U205"/>
  <c r="U207"/>
  <c r="U208"/>
  <c r="U209"/>
  <c r="U206"/>
  <c r="U3"/>
  <c r="T206"/>
  <c r="P212"/>
  <c r="O212"/>
  <c r="T209"/>
  <c r="P187"/>
  <c r="O187"/>
  <c r="T208"/>
  <c r="P209"/>
  <c r="O209"/>
  <c r="T207"/>
  <c r="P210"/>
  <c r="O210"/>
  <c r="A17" i="23" l="1"/>
  <c r="B18"/>
  <c r="T205" i="1"/>
  <c r="P208"/>
  <c r="O208"/>
  <c r="T203"/>
  <c r="P195"/>
  <c r="O195"/>
  <c r="T202"/>
  <c r="P196"/>
  <c r="O196"/>
  <c r="T201"/>
  <c r="P206"/>
  <c r="O206"/>
  <c r="T200"/>
  <c r="P190"/>
  <c r="O190"/>
  <c r="AP69" i="24" l="1"/>
  <c r="A18" i="23"/>
  <c r="B19"/>
  <c r="T199" i="1"/>
  <c r="P194"/>
  <c r="O194"/>
  <c r="O189"/>
  <c r="O177"/>
  <c r="O178"/>
  <c r="O214"/>
  <c r="O173"/>
  <c r="O207"/>
  <c r="O180"/>
  <c r="O191"/>
  <c r="O183"/>
  <c r="O205"/>
  <c r="O199"/>
  <c r="O174"/>
  <c r="O218"/>
  <c r="O176"/>
  <c r="AQ31" i="24" s="1"/>
  <c r="O201" i="1"/>
  <c r="O171"/>
  <c r="O182"/>
  <c r="O172"/>
  <c r="O202"/>
  <c r="O179"/>
  <c r="O170"/>
  <c r="O169"/>
  <c r="O168"/>
  <c r="O167"/>
  <c r="O165"/>
  <c r="O166"/>
  <c r="O164"/>
  <c r="O163"/>
  <c r="O162"/>
  <c r="O161"/>
  <c r="O160"/>
  <c r="O159"/>
  <c r="O158"/>
  <c r="O157"/>
  <c r="O156"/>
  <c r="O155"/>
  <c r="O154"/>
  <c r="O153"/>
  <c r="O152"/>
  <c r="O151"/>
  <c r="O150"/>
  <c r="O149"/>
  <c r="O148"/>
  <c r="O147"/>
  <c r="O146"/>
  <c r="O145"/>
  <c r="O144"/>
  <c r="O143"/>
  <c r="O142"/>
  <c r="O140"/>
  <c r="O141"/>
  <c r="O139"/>
  <c r="O137"/>
  <c r="O136"/>
  <c r="O138"/>
  <c r="O135"/>
  <c r="O133"/>
  <c r="O134"/>
  <c r="O132"/>
  <c r="O131"/>
  <c r="O130"/>
  <c r="O129"/>
  <c r="O126"/>
  <c r="O128"/>
  <c r="O127"/>
  <c r="O125"/>
  <c r="O124"/>
  <c r="O123"/>
  <c r="O122"/>
  <c r="O121"/>
  <c r="O120"/>
  <c r="O119"/>
  <c r="O118"/>
  <c r="O117"/>
  <c r="O116"/>
  <c r="O114"/>
  <c r="O115"/>
  <c r="O112"/>
  <c r="O110"/>
  <c r="O111"/>
  <c r="O113"/>
  <c r="O108"/>
  <c r="O107"/>
  <c r="O109"/>
  <c r="O106"/>
  <c r="O105"/>
  <c r="O102"/>
  <c r="O101"/>
  <c r="O103"/>
  <c r="O104"/>
  <c r="O100"/>
  <c r="O99"/>
  <c r="O98"/>
  <c r="O97"/>
  <c r="O96"/>
  <c r="O95"/>
  <c r="O94"/>
  <c r="O93"/>
  <c r="O92"/>
  <c r="O91"/>
  <c r="O90"/>
  <c r="O89"/>
  <c r="O88"/>
  <c r="O86"/>
  <c r="O87"/>
  <c r="O85"/>
  <c r="O84"/>
  <c r="O83"/>
  <c r="O82"/>
  <c r="O81"/>
  <c r="O80"/>
  <c r="O79"/>
  <c r="O78"/>
  <c r="O77"/>
  <c r="O76"/>
  <c r="O75"/>
  <c r="O74"/>
  <c r="O73"/>
  <c r="O72"/>
  <c r="O70"/>
  <c r="O71"/>
  <c r="O69"/>
  <c r="O68"/>
  <c r="O67"/>
  <c r="O65"/>
  <c r="O66"/>
  <c r="O64"/>
  <c r="O63"/>
  <c r="O62"/>
  <c r="O61"/>
  <c r="O59"/>
  <c r="O60"/>
  <c r="O58"/>
  <c r="O57"/>
  <c r="O56"/>
  <c r="O55"/>
  <c r="O54"/>
  <c r="O53"/>
  <c r="O52"/>
  <c r="O50"/>
  <c r="O51"/>
  <c r="O49"/>
  <c r="O48"/>
  <c r="O47"/>
  <c r="O46"/>
  <c r="O45"/>
  <c r="O44"/>
  <c r="O43"/>
  <c r="O42"/>
  <c r="O41"/>
  <c r="O40"/>
  <c r="O39"/>
  <c r="O38"/>
  <c r="O37"/>
  <c r="O36"/>
  <c r="O35"/>
  <c r="O34"/>
  <c r="O33"/>
  <c r="O32"/>
  <c r="O30"/>
  <c r="O31"/>
  <c r="O27"/>
  <c r="O29"/>
  <c r="O26"/>
  <c r="O25"/>
  <c r="O28"/>
  <c r="O24"/>
  <c r="O23"/>
  <c r="O22"/>
  <c r="O21"/>
  <c r="O20"/>
  <c r="O19"/>
  <c r="O17"/>
  <c r="O18"/>
  <c r="O16"/>
  <c r="O15"/>
  <c r="O14"/>
  <c r="O13"/>
  <c r="O12"/>
  <c r="O11"/>
  <c r="O10"/>
  <c r="O9"/>
  <c r="O8"/>
  <c r="O7"/>
  <c r="O6"/>
  <c r="O5"/>
  <c r="O4"/>
  <c r="O3"/>
  <c r="O184"/>
  <c r="O185"/>
  <c r="O175"/>
  <c r="O188"/>
  <c r="O181"/>
  <c r="O186"/>
  <c r="O192"/>
  <c r="O198"/>
  <c r="T198"/>
  <c r="P188"/>
  <c r="T197"/>
  <c r="P218"/>
  <c r="T196"/>
  <c r="P214"/>
  <c r="T195"/>
  <c r="P207"/>
  <c r="T194"/>
  <c r="P205"/>
  <c r="T193"/>
  <c r="P202"/>
  <c r="T192"/>
  <c r="P201"/>
  <c r="T188"/>
  <c r="P199"/>
  <c r="T189"/>
  <c r="T191"/>
  <c r="P198"/>
  <c r="P192"/>
  <c r="T190"/>
  <c r="T187"/>
  <c r="T186"/>
  <c r="T185"/>
  <c r="T183"/>
  <c r="T184"/>
  <c r="T168"/>
  <c r="T167"/>
  <c r="T165"/>
  <c r="T166"/>
  <c r="T164"/>
  <c r="T163"/>
  <c r="T162"/>
  <c r="T161"/>
  <c r="T160"/>
  <c r="T159"/>
  <c r="T158"/>
  <c r="T157"/>
  <c r="T156"/>
  <c r="T155"/>
  <c r="T154"/>
  <c r="T153"/>
  <c r="T152"/>
  <c r="T151"/>
  <c r="T150"/>
  <c r="T149"/>
  <c r="T148"/>
  <c r="T147"/>
  <c r="T146"/>
  <c r="T145"/>
  <c r="T144"/>
  <c r="T143"/>
  <c r="T142"/>
  <c r="T140"/>
  <c r="T141"/>
  <c r="T139"/>
  <c r="T137"/>
  <c r="T136"/>
  <c r="T138"/>
  <c r="T135"/>
  <c r="T133"/>
  <c r="T134"/>
  <c r="T132"/>
  <c r="T131"/>
  <c r="T130"/>
  <c r="T129"/>
  <c r="T126"/>
  <c r="T128"/>
  <c r="T127"/>
  <c r="T125"/>
  <c r="T124"/>
  <c r="T123"/>
  <c r="T122"/>
  <c r="T121"/>
  <c r="T120"/>
  <c r="T119"/>
  <c r="T118"/>
  <c r="T117"/>
  <c r="T116"/>
  <c r="T114"/>
  <c r="T115"/>
  <c r="T112"/>
  <c r="T110"/>
  <c r="T111"/>
  <c r="T113"/>
  <c r="T108"/>
  <c r="T107"/>
  <c r="T109"/>
  <c r="T106"/>
  <c r="T105"/>
  <c r="T102"/>
  <c r="T101"/>
  <c r="T103"/>
  <c r="T104"/>
  <c r="T100"/>
  <c r="T99"/>
  <c r="T98"/>
  <c r="T97"/>
  <c r="T96"/>
  <c r="T95"/>
  <c r="T94"/>
  <c r="T93"/>
  <c r="T92"/>
  <c r="T91"/>
  <c r="T90"/>
  <c r="T89"/>
  <c r="T88"/>
  <c r="T86"/>
  <c r="T87"/>
  <c r="T85"/>
  <c r="T84"/>
  <c r="T83"/>
  <c r="T82"/>
  <c r="T81"/>
  <c r="T80"/>
  <c r="T79"/>
  <c r="T78"/>
  <c r="T77"/>
  <c r="T76"/>
  <c r="T75"/>
  <c r="T74"/>
  <c r="T73"/>
  <c r="T72"/>
  <c r="T70"/>
  <c r="T71"/>
  <c r="T69"/>
  <c r="T68"/>
  <c r="T67"/>
  <c r="T65"/>
  <c r="T66"/>
  <c r="T64"/>
  <c r="T63"/>
  <c r="T62"/>
  <c r="T61"/>
  <c r="T59"/>
  <c r="T60"/>
  <c r="T58"/>
  <c r="T57"/>
  <c r="T56"/>
  <c r="T55"/>
  <c r="T54"/>
  <c r="T53"/>
  <c r="T52"/>
  <c r="T50"/>
  <c r="T51"/>
  <c r="T49"/>
  <c r="T48"/>
  <c r="T47"/>
  <c r="T46"/>
  <c r="T45"/>
  <c r="T44"/>
  <c r="T43"/>
  <c r="T42"/>
  <c r="T41"/>
  <c r="T40"/>
  <c r="T39"/>
  <c r="T38"/>
  <c r="T37"/>
  <c r="T36"/>
  <c r="T35"/>
  <c r="T34"/>
  <c r="T33"/>
  <c r="T32"/>
  <c r="T30"/>
  <c r="T31"/>
  <c r="T27"/>
  <c r="T29"/>
  <c r="T26"/>
  <c r="T25"/>
  <c r="T28"/>
  <c r="T24"/>
  <c r="T23"/>
  <c r="T22"/>
  <c r="T21"/>
  <c r="T20"/>
  <c r="T19"/>
  <c r="T17"/>
  <c r="T18"/>
  <c r="T16"/>
  <c r="T15"/>
  <c r="T14"/>
  <c r="T13"/>
  <c r="T12"/>
  <c r="T11"/>
  <c r="T10"/>
  <c r="T9"/>
  <c r="T8"/>
  <c r="T7"/>
  <c r="T6"/>
  <c r="T5"/>
  <c r="T4"/>
  <c r="T3"/>
  <c r="T173"/>
  <c r="T171"/>
  <c r="T170"/>
  <c r="T169"/>
  <c r="T181"/>
  <c r="T180"/>
  <c r="T179"/>
  <c r="T178"/>
  <c r="T177"/>
  <c r="T175"/>
  <c r="T176"/>
  <c r="T174"/>
  <c r="T172"/>
  <c r="T182"/>
  <c r="P189"/>
  <c r="P191"/>
  <c r="P186"/>
  <c r="P185"/>
  <c r="P183"/>
  <c r="P184"/>
  <c r="P182"/>
  <c r="P181"/>
  <c r="P180"/>
  <c r="P179"/>
  <c r="P178"/>
  <c r="P177"/>
  <c r="P175"/>
  <c r="P176"/>
  <c r="P174"/>
  <c r="P172"/>
  <c r="P173"/>
  <c r="P171"/>
  <c r="P170"/>
  <c r="P169"/>
  <c r="P168"/>
  <c r="P167"/>
  <c r="P165"/>
  <c r="P166"/>
  <c r="P164"/>
  <c r="P163"/>
  <c r="P162"/>
  <c r="P161"/>
  <c r="P160"/>
  <c r="J98" i="28" l="1"/>
  <c r="J80"/>
  <c r="J58"/>
  <c r="J48"/>
  <c r="J38"/>
  <c r="C62" i="6"/>
  <c r="J97" i="28" s="1"/>
  <c r="AQ26" i="24"/>
  <c r="X16" i="28"/>
  <c r="X19"/>
  <c r="X17"/>
  <c r="X18"/>
  <c r="W19"/>
  <c r="W17"/>
  <c r="W18"/>
  <c r="W16"/>
  <c r="U16"/>
  <c r="U18"/>
  <c r="C59" i="6"/>
  <c r="J47" i="28" s="1"/>
  <c r="U19"/>
  <c r="U17"/>
  <c r="AP70" i="24"/>
  <c r="AQ32"/>
  <c r="AQ36"/>
  <c r="BH55"/>
  <c r="BI55" s="1"/>
  <c r="BH54"/>
  <c r="BI54" s="1"/>
  <c r="BH53"/>
  <c r="BI53" s="1"/>
  <c r="BH52"/>
  <c r="BI52" s="1"/>
  <c r="BH51"/>
  <c r="BI51" s="1"/>
  <c r="BH50"/>
  <c r="BI50" s="1"/>
  <c r="BH49"/>
  <c r="BI49" s="1"/>
  <c r="BH48"/>
  <c r="BI48" s="1"/>
  <c r="BH47"/>
  <c r="BI47" s="1"/>
  <c r="BH46"/>
  <c r="BI46" s="1"/>
  <c r="BH45"/>
  <c r="BI45" s="1"/>
  <c r="BH44"/>
  <c r="BI44" s="1"/>
  <c r="BH43"/>
  <c r="BH37"/>
  <c r="BI37" s="1"/>
  <c r="BH36"/>
  <c r="BI36" s="1"/>
  <c r="BH35"/>
  <c r="BI35" s="1"/>
  <c r="BH34"/>
  <c r="BI34" s="1"/>
  <c r="BH33"/>
  <c r="BI33" s="1"/>
  <c r="BH32"/>
  <c r="BI32" s="1"/>
  <c r="BH31"/>
  <c r="BI31" s="1"/>
  <c r="BH30"/>
  <c r="BI30" s="1"/>
  <c r="BH29"/>
  <c r="BI29" s="1"/>
  <c r="BH28"/>
  <c r="BI28" s="1"/>
  <c r="BH27"/>
  <c r="BI27" s="1"/>
  <c r="BH26"/>
  <c r="BI26" s="1"/>
  <c r="BH25"/>
  <c r="BH11"/>
  <c r="BI11" s="1"/>
  <c r="BH19"/>
  <c r="BI19" s="1"/>
  <c r="BH18"/>
  <c r="BI18" s="1"/>
  <c r="BH17"/>
  <c r="BI17" s="1"/>
  <c r="BH16"/>
  <c r="BI16" s="1"/>
  <c r="BH15"/>
  <c r="BI15" s="1"/>
  <c r="BH14"/>
  <c r="BI14" s="1"/>
  <c r="BH13"/>
  <c r="BI13" s="1"/>
  <c r="BH12"/>
  <c r="BI12" s="1"/>
  <c r="BH10"/>
  <c r="BI10" s="1"/>
  <c r="BH9"/>
  <c r="BI9" s="1"/>
  <c r="BH8"/>
  <c r="BI8" s="1"/>
  <c r="BH7"/>
  <c r="AQ30"/>
  <c r="AQ25"/>
  <c r="AP6"/>
  <c r="AQ27"/>
  <c r="AQ29"/>
  <c r="AQ33"/>
  <c r="AQ28"/>
  <c r="AQ71" i="26"/>
  <c r="AQ73"/>
  <c r="AQ72"/>
  <c r="AQ52"/>
  <c r="AQ53"/>
  <c r="AQ54"/>
  <c r="AQ51"/>
  <c r="AQ50"/>
  <c r="AQ49"/>
  <c r="AQ32"/>
  <c r="AQ33"/>
  <c r="AQ31"/>
  <c r="AQ30"/>
  <c r="AQ29"/>
  <c r="AQ28"/>
  <c r="AQ10"/>
  <c r="AQ11"/>
  <c r="AQ9"/>
  <c r="AQ8"/>
  <c r="AQ7"/>
  <c r="AQ6"/>
  <c r="AJ4"/>
  <c r="AJ5"/>
  <c r="B10"/>
  <c r="C1" i="1"/>
  <c r="B6" i="26"/>
  <c r="B8"/>
  <c r="B7"/>
  <c r="B9"/>
  <c r="AP12" i="24"/>
  <c r="K10" i="25"/>
  <c r="K7"/>
  <c r="K9"/>
  <c r="K8"/>
  <c r="K6"/>
  <c r="AP9" i="24"/>
  <c r="AP10"/>
  <c r="AP11"/>
  <c r="AP8"/>
  <c r="AP7"/>
  <c r="AP68"/>
  <c r="B1" i="1"/>
  <c r="F63" i="27" s="1"/>
  <c r="AP67" i="24"/>
  <c r="K8" i="9"/>
  <c r="A19" i="23"/>
  <c r="B20"/>
  <c r="C30" i="6"/>
  <c r="C33"/>
  <c r="C32"/>
  <c r="C31"/>
  <c r="C8" i="9"/>
  <c r="K9"/>
  <c r="C9" i="20"/>
  <c r="C33"/>
  <c r="C7"/>
  <c r="C31"/>
  <c r="C8"/>
  <c r="C32"/>
  <c r="C28"/>
  <c r="C4"/>
  <c r="C29"/>
  <c r="C5"/>
  <c r="C20" i="9" s="1"/>
  <c r="C10" i="20"/>
  <c r="C34"/>
  <c r="C6"/>
  <c r="C30"/>
  <c r="K7" i="9"/>
  <c r="K6"/>
  <c r="K4"/>
  <c r="C9"/>
  <c r="K10"/>
  <c r="K5"/>
  <c r="C7"/>
  <c r="C5"/>
  <c r="C6"/>
  <c r="C4"/>
  <c r="C61" i="6"/>
  <c r="J57" i="28" s="1"/>
  <c r="C60" i="6"/>
  <c r="J37" i="28" s="1"/>
  <c r="J40" s="1"/>
  <c r="P159" i="1"/>
  <c r="P158"/>
  <c r="P157"/>
  <c r="P156"/>
  <c r="J99" i="28" l="1"/>
  <c r="D123"/>
  <c r="J59"/>
  <c r="D119"/>
  <c r="J49"/>
  <c r="D118"/>
  <c r="J39"/>
  <c r="D117"/>
  <c r="J105"/>
  <c r="J100"/>
  <c r="J60"/>
  <c r="J50"/>
  <c r="H20" i="25"/>
  <c r="F60" i="27"/>
  <c r="K21" i="25"/>
  <c r="C60" i="27"/>
  <c r="G60"/>
  <c r="G64"/>
  <c r="G63"/>
  <c r="G67"/>
  <c r="G66"/>
  <c r="G70"/>
  <c r="G62"/>
  <c r="G61"/>
  <c r="G65"/>
  <c r="G69"/>
  <c r="G68"/>
  <c r="F64"/>
  <c r="F68"/>
  <c r="F67"/>
  <c r="F69"/>
  <c r="F62"/>
  <c r="F66"/>
  <c r="F70"/>
  <c r="F61"/>
  <c r="F65"/>
  <c r="C63"/>
  <c r="E63" s="1"/>
  <c r="C67"/>
  <c r="E67" s="1"/>
  <c r="C62"/>
  <c r="E62" s="1"/>
  <c r="C66"/>
  <c r="E66" s="1"/>
  <c r="C70"/>
  <c r="E70" s="1"/>
  <c r="C61"/>
  <c r="E61" s="1"/>
  <c r="C65"/>
  <c r="E65" s="1"/>
  <c r="C69"/>
  <c r="E69" s="1"/>
  <c r="C64"/>
  <c r="E64" s="1"/>
  <c r="C68"/>
  <c r="E68" s="1"/>
  <c r="E60"/>
  <c r="F7"/>
  <c r="G7"/>
  <c r="G11"/>
  <c r="G15"/>
  <c r="G10"/>
  <c r="G14"/>
  <c r="G12"/>
  <c r="G9"/>
  <c r="G13"/>
  <c r="G8"/>
  <c r="C13"/>
  <c r="E13" s="1"/>
  <c r="F14"/>
  <c r="F15"/>
  <c r="F13"/>
  <c r="F11"/>
  <c r="F10"/>
  <c r="F9"/>
  <c r="F8"/>
  <c r="F12"/>
  <c r="C7"/>
  <c r="E7" s="1"/>
  <c r="C11"/>
  <c r="E11" s="1"/>
  <c r="C15"/>
  <c r="E15" s="1"/>
  <c r="C10"/>
  <c r="E10" s="1"/>
  <c r="C14"/>
  <c r="E14" s="1"/>
  <c r="C9"/>
  <c r="E9" s="1"/>
  <c r="C8"/>
  <c r="E8" s="1"/>
  <c r="C12"/>
  <c r="E12" s="1"/>
  <c r="Y16" i="28"/>
  <c r="Y17"/>
  <c r="Y18"/>
  <c r="Y19"/>
  <c r="W25"/>
  <c r="V54" s="1"/>
  <c r="X25"/>
  <c r="V56" s="1"/>
  <c r="U25"/>
  <c r="V52" s="1"/>
  <c r="C66" i="6"/>
  <c r="B72" s="1"/>
  <c r="AP71" i="24"/>
  <c r="AQ37"/>
  <c r="AP48" s="1"/>
  <c r="H19" i="25"/>
  <c r="H6"/>
  <c r="H18"/>
  <c r="BI56" i="24"/>
  <c r="BH56"/>
  <c r="BI43"/>
  <c r="BI38"/>
  <c r="BH38"/>
  <c r="BI20"/>
  <c r="BI7"/>
  <c r="BH20"/>
  <c r="BI25"/>
  <c r="H17" i="25"/>
  <c r="AP15" i="24"/>
  <c r="K24" i="9" s="1"/>
  <c r="H16" i="25"/>
  <c r="AQ74" i="26"/>
  <c r="AQ34"/>
  <c r="AQ56"/>
  <c r="AJ6"/>
  <c r="AQ13"/>
  <c r="B17"/>
  <c r="C21" i="9"/>
  <c r="H14" i="25"/>
  <c r="H15"/>
  <c r="H12"/>
  <c r="H13"/>
  <c r="H10"/>
  <c r="H11"/>
  <c r="H8"/>
  <c r="H9"/>
  <c r="H7"/>
  <c r="C37" i="6"/>
  <c r="B21" i="23"/>
  <c r="A20"/>
  <c r="C35" i="20"/>
  <c r="C12"/>
  <c r="P155" i="1"/>
  <c r="J108" i="28" l="1"/>
  <c r="AQ70" i="24"/>
  <c r="G106" i="28"/>
  <c r="J109" s="1"/>
  <c r="AQ14" i="24"/>
  <c r="K25" i="9"/>
  <c r="H21" i="25"/>
  <c r="E71" i="27"/>
  <c r="C71"/>
  <c r="AP49" i="24"/>
  <c r="E16" i="27"/>
  <c r="F71"/>
  <c r="G71"/>
  <c r="C72"/>
  <c r="Q13" s="1"/>
  <c r="Q18" s="1"/>
  <c r="G16"/>
  <c r="F16"/>
  <c r="C16"/>
  <c r="C17"/>
  <c r="Y25" i="28"/>
  <c r="V58" s="1"/>
  <c r="AQ6" i="24"/>
  <c r="CA18"/>
  <c r="AQ13"/>
  <c r="AQ12"/>
  <c r="AQ11"/>
  <c r="AQ10"/>
  <c r="AQ9"/>
  <c r="AQ8"/>
  <c r="AQ7"/>
  <c r="AQ67"/>
  <c r="AQ69"/>
  <c r="AQ68"/>
  <c r="CA16"/>
  <c r="CA17"/>
  <c r="CA9"/>
  <c r="CA7"/>
  <c r="CA6"/>
  <c r="CA8"/>
  <c r="B22" i="23"/>
  <c r="A21"/>
  <c r="P12" i="17"/>
  <c r="O12"/>
  <c r="P154" i="1"/>
  <c r="P153"/>
  <c r="P152"/>
  <c r="P151"/>
  <c r="P150"/>
  <c r="P149"/>
  <c r="P148"/>
  <c r="P147"/>
  <c r="P146"/>
  <c r="P145"/>
  <c r="P144"/>
  <c r="P143"/>
  <c r="P142"/>
  <c r="P140"/>
  <c r="P141"/>
  <c r="P139"/>
  <c r="P137"/>
  <c r="P136"/>
  <c r="P138"/>
  <c r="P135"/>
  <c r="P133"/>
  <c r="P134"/>
  <c r="P132"/>
  <c r="P131"/>
  <c r="P130"/>
  <c r="P129"/>
  <c r="P126"/>
  <c r="P128"/>
  <c r="P127"/>
  <c r="P125"/>
  <c r="P124"/>
  <c r="P123"/>
  <c r="P122"/>
  <c r="P121"/>
  <c r="P120"/>
  <c r="P119"/>
  <c r="P118"/>
  <c r="P117"/>
  <c r="P116"/>
  <c r="P114"/>
  <c r="P115"/>
  <c r="P112"/>
  <c r="P110"/>
  <c r="P111"/>
  <c r="P113"/>
  <c r="P108"/>
  <c r="P107"/>
  <c r="P109"/>
  <c r="P106"/>
  <c r="P105"/>
  <c r="P102"/>
  <c r="P101"/>
  <c r="P103"/>
  <c r="P104"/>
  <c r="P100"/>
  <c r="P99"/>
  <c r="P98"/>
  <c r="P97"/>
  <c r="P96"/>
  <c r="P95"/>
  <c r="P94"/>
  <c r="P93"/>
  <c r="P92"/>
  <c r="P91"/>
  <c r="P90"/>
  <c r="P89"/>
  <c r="P88"/>
  <c r="P86"/>
  <c r="P87"/>
  <c r="P85"/>
  <c r="P84"/>
  <c r="P83"/>
  <c r="P82"/>
  <c r="P81"/>
  <c r="P80"/>
  <c r="P79"/>
  <c r="P78"/>
  <c r="P77"/>
  <c r="P76"/>
  <c r="P75"/>
  <c r="P74"/>
  <c r="P73"/>
  <c r="P72"/>
  <c r="P70"/>
  <c r="P71"/>
  <c r="P69"/>
  <c r="P68"/>
  <c r="P67"/>
  <c r="P65"/>
  <c r="P66"/>
  <c r="P64"/>
  <c r="P63"/>
  <c r="P62"/>
  <c r="P61"/>
  <c r="P59"/>
  <c r="P60"/>
  <c r="P58"/>
  <c r="P57"/>
  <c r="P56"/>
  <c r="P55"/>
  <c r="P54"/>
  <c r="P53"/>
  <c r="P52"/>
  <c r="P50"/>
  <c r="P51"/>
  <c r="P49"/>
  <c r="P48"/>
  <c r="P47"/>
  <c r="P46"/>
  <c r="P45"/>
  <c r="P44"/>
  <c r="P43"/>
  <c r="P42"/>
  <c r="P41"/>
  <c r="P40"/>
  <c r="P39"/>
  <c r="P38"/>
  <c r="P37"/>
  <c r="P36"/>
  <c r="P35"/>
  <c r="P34"/>
  <c r="P33"/>
  <c r="P32"/>
  <c r="P30"/>
  <c r="P31"/>
  <c r="P27"/>
  <c r="P29"/>
  <c r="P26"/>
  <c r="P25"/>
  <c r="P28"/>
  <c r="P24"/>
  <c r="P23"/>
  <c r="P22"/>
  <c r="P21"/>
  <c r="P20"/>
  <c r="P19"/>
  <c r="P17"/>
  <c r="P18"/>
  <c r="P16"/>
  <c r="P15"/>
  <c r="P14"/>
  <c r="P13"/>
  <c r="P12"/>
  <c r="P11"/>
  <c r="P10"/>
  <c r="P9"/>
  <c r="P8"/>
  <c r="P7"/>
  <c r="P6"/>
  <c r="P5"/>
  <c r="P4"/>
  <c r="P3"/>
  <c r="C1" i="9"/>
  <c r="G107" i="28" l="1"/>
  <c r="AP50" i="24"/>
  <c r="AQ48" s="1"/>
  <c r="A22" i="23"/>
  <c r="B23"/>
  <c r="R8" i="17"/>
  <c r="R6"/>
  <c r="R5"/>
  <c r="R4"/>
  <c r="R3"/>
  <c r="R2"/>
  <c r="R27" l="1"/>
  <c r="AQ49" i="24"/>
  <c r="AQ47"/>
  <c r="B24" i="23"/>
  <c r="A23"/>
  <c r="AQ50" i="24" l="1"/>
  <c r="B25" i="23"/>
  <c r="A24"/>
  <c r="C24" i="20"/>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9" i="7"/>
  <c r="B8"/>
  <c r="B7"/>
  <c r="B14" s="1"/>
  <c r="C96" i="27" l="1"/>
  <c r="E96" s="1"/>
  <c r="C94"/>
  <c r="E94" s="1"/>
  <c r="F96"/>
  <c r="F94"/>
  <c r="F93"/>
  <c r="F95"/>
  <c r="C92"/>
  <c r="E92" s="1"/>
  <c r="C90"/>
  <c r="E90" s="1"/>
  <c r="C91"/>
  <c r="E91" s="1"/>
  <c r="F88"/>
  <c r="F90"/>
  <c r="C88"/>
  <c r="E88" s="1"/>
  <c r="C95"/>
  <c r="E95" s="1"/>
  <c r="C86"/>
  <c r="F92"/>
  <c r="F87"/>
  <c r="C89"/>
  <c r="E89" s="1"/>
  <c r="C87"/>
  <c r="E87" s="1"/>
  <c r="C93"/>
  <c r="E93" s="1"/>
  <c r="F91"/>
  <c r="F86"/>
  <c r="F89"/>
  <c r="F97" l="1"/>
  <c r="C98"/>
  <c r="Q37" s="1"/>
  <c r="Q42" s="1"/>
  <c r="C97"/>
  <c r="E86"/>
  <c r="E97" s="1"/>
</calcChain>
</file>

<file path=xl/comments1.xml><?xml version="1.0" encoding="utf-8"?>
<comments xmlns="http://schemas.openxmlformats.org/spreadsheetml/2006/main">
  <authors>
    <author>delacruz</author>
  </authors>
  <commentList>
    <comment ref="N1312" authorId="0">
      <text>
        <r>
          <rPr>
            <b/>
            <sz val="9"/>
            <color indexed="81"/>
            <rFont val="Tahoma"/>
            <family val="2"/>
          </rPr>
          <t>delacruz: Me comuniqué telonicamente con el Juzgado de Garnatías primera nominación y me informa que los expedientes se encuentran acumulados por cuerda firme, y que deberá intervenir la fiscalía que le correspondiera al delito más graves</t>
        </r>
      </text>
    </comment>
    <comment ref="N1324" authorId="0">
      <text>
        <r>
          <rPr>
            <b/>
            <sz val="9"/>
            <color indexed="81"/>
            <rFont val="Tahoma"/>
            <family val="2"/>
          </rPr>
          <t>delacruz: Me comuniqué telonicamente con el Juzgado de Garnatías primera nominación y me informa que los expedientes se encuentran acumulados por cuerda firme, y que deberá intervenir la fiscalía que le correspondiera al delito más graves</t>
        </r>
      </text>
    </comment>
    <comment ref="N1530" authorId="0">
      <text>
        <r>
          <rPr>
            <b/>
            <sz val="9"/>
            <color indexed="81"/>
            <rFont val="Tahoma"/>
            <family val="2"/>
          </rPr>
          <t>delacruz: El Dr. Pastrana llamó por telefono consultando respecto al expediente para compulsarlo y adelantar trabajo.</t>
        </r>
      </text>
    </comment>
    <comment ref="M1577" authorId="0">
      <text>
        <r>
          <rPr>
            <b/>
            <sz val="9"/>
            <color indexed="81"/>
            <rFont val="Tahoma"/>
            <family val="2"/>
          </rPr>
          <t>delacruz:</t>
        </r>
        <r>
          <rPr>
            <sz val="9"/>
            <color indexed="81"/>
            <rFont val="Tahoma"/>
            <family val="2"/>
          </rPr>
          <t xml:space="preserve">
informar a la Dra. Villamayor que gestione la audiencia pese al horario, pero que otro la realizará</t>
        </r>
      </text>
    </comment>
    <comment ref="N1671" authorId="0">
      <text>
        <r>
          <rPr>
            <b/>
            <sz val="9"/>
            <color indexed="81"/>
            <rFont val="Tahoma"/>
            <family val="2"/>
          </rPr>
          <t xml:space="preserve">delacruz: En el expediente surge que tanto el Dr. Lopez Soto como el Dr. Torres Rubelt dieron directivas. </t>
        </r>
      </text>
    </comment>
  </commentList>
</comments>
</file>

<file path=xl/comments2.xml><?xml version="1.0" encoding="utf-8"?>
<comments xmlns="http://schemas.openxmlformats.org/spreadsheetml/2006/main">
  <authors>
    <author>delacruz</author>
  </authors>
  <commentList>
    <comment ref="M71" authorId="0">
      <text>
        <r>
          <rPr>
            <b/>
            <sz val="9"/>
            <color indexed="81"/>
            <rFont val="Tahoma"/>
            <family val="2"/>
          </rPr>
          <t>delacruz: LLEGO UN ESCRITO DE LA DEFENSA QUIEN EXPRESA QUE INTIMO A LA FISCALÍA POR EL 256 Y QUE SE VENCIERON LOS DIAS</t>
        </r>
      </text>
    </comment>
  </commentList>
</comments>
</file>

<file path=xl/sharedStrings.xml><?xml version="1.0" encoding="utf-8"?>
<sst xmlns="http://schemas.openxmlformats.org/spreadsheetml/2006/main" count="42111" uniqueCount="7560">
  <si>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</si>
  <si>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</si>
  <si>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</si>
  <si>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</si>
  <si>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</si>
  <si>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</si>
  <si>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</si>
  <si>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</si>
  <si>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</si>
  <si>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</si>
  <si>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</si>
  <si>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</si>
  <si>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</si>
  <si>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</si>
  <si>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</si>
  <si>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</si>
  <si>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</si>
  <si>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</si>
  <si>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</si>
  <si>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</si>
  <si>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</si>
  <si>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</si>
  <si>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</si>
  <si>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</si>
  <si>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</si>
  <si>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</si>
  <si>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</si>
  <si>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</si>
  <si>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</si>
  <si>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</si>
  <si>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</si>
  <si>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</si>
  <si>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</si>
  <si>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</si>
  <si>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</si>
  <si>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</si>
  <si>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</si>
  <si>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</si>
  <si>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</si>
  <si>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</si>
  <si>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</si>
  <si>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</si>
  <si>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</si>
  <si>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</si>
  <si>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</si>
  <si>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</si>
  <si>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</si>
  <si>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</si>
  <si>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</si>
  <si>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</si>
  <si>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</si>
  <si>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</si>
  <si>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</si>
  <si>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</si>
  <si>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</si>
  <si>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</si>
  <si>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</si>
  <si>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</si>
  <si>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</si>
  <si>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</si>
  <si>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</si>
  <si>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</si>
  <si>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</si>
  <si>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</si>
  <si>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</si>
  <si>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</si>
  <si>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</si>
  <si>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</si>
  <si>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</si>
  <si>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</si>
  <si>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</si>
  <si>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</si>
  <si>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</si>
  <si>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</si>
  <si>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</si>
  <si>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</si>
  <si>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</si>
  <si>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</si>
  <si>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</si>
  <si>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</si>
  <si>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</si>
  <si>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</si>
  <si>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</si>
  <si>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</si>
  <si>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</si>
  <si>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</si>
  <si>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</si>
  <si>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</si>
  <si>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</si>
  <si>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</si>
  <si>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</si>
  <si>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</si>
  <si>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</si>
  <si>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</si>
  <si>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</si>
  <si>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</si>
  <si>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</si>
  <si>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</si>
  <si>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</si>
  <si>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</si>
  <si>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</si>
  <si>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</si>
  <si>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</si>
  <si>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</si>
  <si>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</si>
  <si>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</si>
  <si>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</si>
  <si>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</si>
  <si>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</si>
  <si>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</si>
  <si>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</si>
  <si>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</si>
  <si>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</si>
  <si>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</si>
  <si>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</si>
  <si>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</si>
  <si>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</si>
  <si>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</si>
  <si>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</si>
  <si>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</si>
  <si>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</si>
  <si>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</si>
  <si>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</si>
  <si>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</si>
  <si>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</si>
  <si>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</si>
  <si>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</si>
  <si>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</si>
  <si>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</si>
  <si>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</si>
  <si>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</si>
  <si>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</si>
  <si>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</si>
  <si>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</si>
  <si>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</si>
  <si>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</si>
  <si>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</si>
  <si>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</si>
  <si>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</si>
  <si>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</si>
  <si>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</si>
  <si>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</si>
  <si>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</si>
  <si>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</si>
  <si>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</si>
  <si>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</si>
  <si>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</si>
  <si>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</si>
  <si>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</si>
  <si>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</si>
  <si>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</si>
  <si>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</si>
  <si>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</si>
  <si>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</si>
  <si>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</si>
  <si>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</si>
  <si>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</si>
  <si>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</si>
  <si>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</si>
  <si>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</si>
  <si>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</si>
  <si>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</si>
  <si>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</si>
  <si>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</si>
  <si>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</si>
  <si>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</si>
  <si>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</si>
  <si>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</si>
  <si>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</si>
  <si>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</si>
  <si>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</si>
  <si>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</si>
  <si>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</si>
  <si>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</si>
  <si>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</si>
  <si>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</si>
  <si>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</si>
  <si>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</si>
  <si>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</si>
  <si>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</si>
  <si>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</si>
  <si>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</si>
  <si>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</si>
  <si>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</si>
  <si>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</si>
  <si>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</si>
  <si>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</si>
  <si>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</si>
  <si>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</si>
  <si>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</si>
  <si>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</si>
  <si>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</si>
  <si>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</si>
  <si>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</si>
  <si>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</si>
  <si>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</si>
  <si>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</si>
  <si>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</si>
  <si>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</si>
  <si>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</si>
  <si>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</si>
  <si>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</si>
  <si>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</si>
  <si>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</si>
  <si>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</si>
  <si>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</si>
  <si>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</si>
  <si>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</si>
  <si>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</si>
  <si>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</si>
  <si>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</si>
  <si>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</si>
  <si>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</si>
  <si>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</si>
  <si>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</si>
  <si>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</si>
  <si>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</si>
  <si>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</si>
  <si>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</si>
  <si>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</si>
  <si>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</si>
  <si>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</si>
  <si>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</si>
  <si>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</si>
  <si>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</si>
  <si>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</si>
  <si>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</si>
  <si>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</si>
  <si>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</si>
  <si>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</si>
  <si>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</si>
  <si>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</si>
  <si>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</si>
  <si>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</si>
  <si>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</si>
  <si>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</si>
  <si>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</si>
  <si>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</si>
  <si>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</si>
  <si>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</si>
  <si>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</si>
  <si>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</si>
  <si>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</si>
  <si>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</si>
  <si>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</si>
  <si>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</si>
  <si>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</si>
  <si>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</si>
  <si>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</si>
  <si>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</si>
  <si>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</si>
  <si>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</si>
  <si>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</si>
  <si>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</si>
  <si>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</si>
  <si>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</si>
  <si>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</si>
  <si>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</si>
  <si>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</si>
  <si>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</si>
  <si>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</si>
  <si>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</si>
  <si>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</si>
  <si>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</si>
  <si>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</si>
  <si>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</si>
  <si>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</si>
  <si>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</si>
  <si>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</si>
  <si>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</si>
  <si>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</si>
  <si>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</si>
  <si>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</si>
  <si>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</si>
  <si>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</si>
  <si>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</si>
  <si>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</si>
  <si>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</si>
  <si>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</si>
  <si>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</si>
  <si>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</si>
  <si>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</si>
  <si>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</si>
  <si>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</si>
  <si>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</si>
  <si>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</si>
  <si>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</si>
  <si>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</si>
  <si>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</si>
  <si>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</si>
  <si>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</si>
  <si>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</si>
  <si>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</si>
  <si>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</si>
  <si>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</si>
  <si>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</si>
  <si>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</si>
  <si>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</si>
  <si>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</si>
  <si>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</si>
  <si>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</si>
  <si>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</si>
  <si>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</si>
  <si>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</si>
  <si>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</si>
  <si>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</si>
  <si>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</si>
  <si>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</si>
  <si>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</si>
  <si>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</si>
  <si>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</si>
  <si>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</si>
  <si>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</si>
  <si>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</si>
  <si>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</si>
  <si>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</si>
  <si>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</si>
  <si>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</si>
  <si>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</si>
  <si>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</si>
  <si>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</si>
  <si>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</si>
  <si>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</si>
  <si>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</si>
  <si>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</si>
  <si>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</si>
  <si>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</si>
  <si>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</si>
  <si>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</si>
  <si>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</si>
  <si>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</si>
  <si>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</si>
  <si>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</si>
  <si>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</si>
  <si>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</si>
  <si>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</si>
  <si>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</si>
  <si>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</si>
  <si>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</si>
  <si>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</si>
  <si>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</si>
  <si>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</si>
  <si>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</si>
  <si>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</si>
  <si>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</si>
  <si>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</si>
  <si>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</si>
  <si>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</si>
  <si>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</si>
  <si>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</si>
  <si>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</si>
  <si>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</si>
  <si>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</si>
  <si>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</si>
  <si>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</si>
  <si>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</si>
  <si>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</si>
  <si>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</si>
  <si>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</si>
  <si>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</si>
  <si>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</si>
  <si>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</si>
  <si>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</si>
  <si>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</si>
  <si>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</si>
  <si>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</si>
  <si>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</si>
  <si>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</si>
  <si>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</si>
  <si>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</si>
  <si>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</si>
  <si>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</si>
  <si>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</si>
  <si>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</si>
  <si>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</si>
  <si>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</si>
  <si>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</si>
  <si>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</si>
  <si>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</si>
  <si>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</si>
  <si>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</si>
  <si>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</si>
  <si>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</si>
  <si>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</si>
  <si>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</si>
  <si>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</si>
  <si>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</si>
  <si>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</si>
  <si>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</si>
  <si>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</si>
  <si>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</si>
  <si>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</si>
  <si>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</si>
  <si>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</si>
  <si>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</si>
  <si>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</si>
  <si>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</si>
  <si>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</si>
  <si>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</si>
  <si>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</si>
  <si>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</si>
  <si>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</si>
  <si>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</si>
  <si>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</si>
  <si>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</si>
  <si>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</si>
  <si>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</si>
  <si>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</si>
  <si>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</si>
  <si>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</si>
  <si>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</si>
  <si>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</si>
  <si>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</si>
  <si>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</si>
  <si>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</si>
  <si>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</si>
  <si>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</si>
  <si>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</si>
  <si>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</si>
  <si>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</si>
  <si>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</si>
  <si>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</si>
  <si>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</si>
  <si>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</si>
  <si>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</si>
  <si>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</si>
  <si>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</si>
  <si>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</si>
  <si>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</si>
  <si>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</si>
  <si>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</si>
  <si>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</si>
  <si>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</si>
  <si>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</si>
  <si>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</si>
  <si>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</si>
  <si>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</si>
  <si>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</si>
  <si>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</si>
  <si>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</si>
  <si>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</si>
  <si>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</si>
  <si>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</si>
  <si>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</si>
  <si>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</si>
  <si>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</si>
  <si>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</si>
  <si>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</si>
  <si>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</si>
  <si>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</si>
  <si>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</si>
  <si>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</si>
  <si>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</si>
  <si>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</si>
  <si>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</si>
  <si>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</si>
  <si>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</si>
  <si>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</si>
  <si>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</si>
  <si>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</si>
  <si>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</si>
  <si>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</si>
  <si>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</si>
  <si>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</si>
  <si>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</si>
  <si>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</si>
  <si>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</si>
  <si>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</si>
  <si>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</si>
  <si>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</si>
  <si>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</si>
  <si>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</si>
  <si>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</si>
  <si>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</si>
  <si>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</si>
  <si>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</si>
  <si>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</si>
  <si>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</si>
  <si>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</si>
  <si>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</si>
  <si>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</si>
  <si>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</si>
  <si>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</si>
  <si>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</si>
  <si>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</si>
  <si>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</si>
  <si>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</si>
  <si>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</si>
  <si>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</si>
  <si>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</si>
  <si>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</si>
  <si>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</si>
  <si>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</si>
  <si>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</si>
  <si>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</si>
  <si>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</si>
  <si>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</si>
  <si>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</si>
  <si>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</si>
  <si>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</si>
  <si>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</si>
  <si>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</si>
  <si>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</si>
  <si>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</si>
  <si>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</si>
  <si>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</si>
  <si>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</si>
  <si>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</si>
  <si>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</si>
  <si>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</si>
  <si>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</si>
  <si>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</si>
  <si>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</si>
  <si>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</si>
  <si>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</si>
  <si>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</si>
  <si>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</si>
  <si>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</si>
  <si>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</si>
  <si>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</si>
  <si>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</si>
  <si>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</si>
  <si>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</si>
  <si>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</si>
  <si>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</si>
  <si>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</si>
  <si>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</si>
  <si>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</si>
  <si>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</si>
  <si>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</si>
  <si>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</si>
  <si>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</si>
  <si>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</si>
  <si>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</si>
  <si>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</si>
  <si>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</si>
  <si>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</si>
  <si>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</si>
  <si>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</si>
  <si>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</si>
  <si>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</si>
  <si>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</si>
  <si>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</si>
  <si>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</si>
  <si>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</si>
  <si>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</si>
  <si>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</si>
  <si>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</si>
  <si>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</si>
  <si>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</si>
  <si>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</si>
  <si>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</si>
  <si>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</si>
  <si>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</si>
  <si>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</si>
  <si>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</si>
  <si>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</si>
  <si>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</si>
  <si>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</si>
  <si>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</si>
  <si>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</si>
  <si>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</si>
  <si>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</si>
  <si>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</si>
  <si>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</si>
  <si>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</si>
  <si>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</si>
  <si>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</si>
  <si>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</si>
  <si>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</si>
  <si>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</si>
  <si>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</si>
  <si>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</si>
  <si>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</si>
  <si>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</si>
  <si>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</si>
  <si>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</si>
  <si>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</si>
  <si>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</si>
  <si>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</si>
  <si>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</si>
  <si>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</si>
  <si>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</si>
  <si>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</si>
  <si>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</si>
  <si>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</si>
  <si>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</si>
  <si>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</si>
  <si>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</si>
  <si>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</si>
  <si>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</si>
  <si>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</si>
  <si>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</si>
  <si>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</si>
  <si>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</si>
  <si>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</si>
  <si>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</si>
  <si>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</si>
  <si>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</si>
  <si>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</si>
  <si>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</si>
  <si>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</si>
  <si>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</si>
  <si>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</si>
  <si>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</si>
  <si>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</si>
  <si>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</si>
  <si>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</si>
  <si>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</si>
  <si>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</si>
  <si>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</si>
  <si>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</si>
  <si>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</si>
  <si>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</si>
  <si>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</si>
  <si>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</si>
  <si>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</si>
  <si>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</si>
  <si>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</si>
  <si>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</si>
  <si>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</si>
  <si>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</si>
  <si>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</si>
  <si>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</si>
  <si>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</si>
  <si>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</si>
  <si>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</si>
  <si>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</si>
  <si>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</si>
  <si>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</si>
  <si>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</si>
  <si>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</si>
  <si>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</si>
  <si>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</si>
  <si>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</si>
  <si>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</si>
  <si>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</si>
  <si>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</si>
  <si>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</si>
  <si>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</si>
  <si>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</si>
  <si>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</si>
  <si>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</si>
  <si>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</si>
  <si>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</si>
  <si>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</si>
  <si>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</si>
  <si>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</si>
  <si>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</si>
  <si>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</si>
  <si>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</si>
  <si>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</si>
  <si>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</si>
  <si>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</si>
  <si>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</si>
  <si>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</si>
  <si>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</si>
  <si>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</si>
  <si>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</si>
  <si>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</si>
  <si>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</si>
  <si>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</si>
  <si>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</si>
  <si>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</si>
  <si>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</si>
  <si>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</si>
  <si>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</si>
  <si>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</si>
  <si>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</si>
  <si>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</si>
  <si>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</si>
  <si>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</si>
  <si>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</si>
  <si>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</si>
  <si>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</si>
  <si>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</si>
  <si>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</si>
  <si>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</si>
  <si>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</si>
  <si>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</si>
  <si>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</si>
  <si>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</si>
  <si>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</si>
  <si>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</si>
  <si>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</si>
  <si>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</si>
  <si>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</si>
  <si>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</si>
  <si>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</si>
  <si>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</si>
  <si>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</si>
  <si>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</si>
  <si>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</si>
  <si>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</si>
  <si>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</si>
  <si>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</si>
  <si>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</si>
  <si>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</si>
  <si>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</si>
  <si>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</si>
  <si>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</si>
  <si>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</si>
  <si>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</si>
  <si>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</si>
  <si>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</si>
  <si>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</si>
  <si>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</si>
  <si>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</si>
  <si>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</si>
  <si>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</si>
  <si>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</si>
  <si>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</si>
  <si>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</si>
  <si>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</si>
  <si>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</si>
  <si>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</si>
  <si>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</si>
  <si>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</si>
  <si>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</si>
  <si>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</si>
  <si>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</si>
  <si>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</si>
  <si>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</si>
  <si>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</si>
  <si>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</si>
  <si>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</si>
  <si>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</si>
  <si>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</si>
  <si>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</si>
  <si>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</si>
  <si>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</si>
  <si>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</si>
  <si>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</si>
  <si>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</si>
  <si>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</si>
  <si>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</si>
  <si>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</si>
  <si>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</si>
  <si>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</si>
  <si>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</si>
  <si>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</si>
  <si>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</si>
  <si>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</si>
  <si>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</si>
  <si>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</si>
  <si>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</si>
  <si>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</si>
  <si>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</si>
  <si>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</si>
  <si>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</si>
  <si>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</si>
  <si>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</si>
  <si>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</si>
  <si>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</si>
  <si>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</si>
  <si>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</si>
  <si>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</si>
  <si>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</si>
  <si>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</si>
  <si>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</si>
  <si>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</si>
  <si>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</si>
  <si>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</si>
  <si>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</si>
  <si>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</si>
  <si>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</si>
  <si>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</si>
  <si>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</si>
  <si>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</si>
  <si>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</si>
  <si>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</si>
  <si>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</si>
  <si>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</si>
  <si>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</si>
  <si>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</si>
  <si>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</si>
  <si>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</si>
  <si>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</si>
  <si>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</si>
  <si>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</si>
  <si>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</si>
  <si>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</si>
  <si>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</si>
  <si>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</si>
  <si>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</si>
  <si>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</si>
  <si>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</si>
  <si>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</si>
  <si>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</si>
  <si>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</si>
  <si>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</si>
  <si>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</si>
  <si>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</si>
  <si>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</si>
  <si>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</si>
  <si>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</si>
  <si>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</si>
  <si>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</si>
  <si>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</si>
  <si>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</si>
  <si>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</si>
  <si>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</si>
  <si>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</si>
  <si>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</si>
  <si>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</si>
  <si>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</si>
  <si>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</si>
  <si>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</si>
  <si>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</si>
  <si>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</si>
  <si>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</si>
  <si>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</si>
  <si>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</si>
  <si>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</si>
  <si>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</si>
  <si>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</si>
  <si>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</si>
  <si>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</si>
  <si>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</si>
  <si>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</si>
  <si>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</si>
  <si>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</si>
  <si>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</si>
  <si>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</si>
  <si>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</si>
  <si>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</si>
  <si>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</si>
  <si>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</si>
  <si>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</si>
  <si>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</si>
  <si>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</si>
  <si>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</si>
  <si>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</si>
  <si>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</si>
  <si>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</si>
  <si>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</si>
  <si>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</si>
  <si>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</si>
  <si>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</si>
  <si>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</si>
  <si>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</si>
  <si>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</si>
  <si>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</si>
  <si>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</si>
  <si>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</si>
  <si>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</si>
  <si>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</si>
  <si>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</si>
  <si>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</si>
  <si>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</si>
  <si>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</si>
  <si>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</si>
  <si>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</si>
  <si>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</si>
  <si>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</si>
  <si>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</si>
  <si>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</si>
  <si>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</si>
  <si>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</si>
  <si>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</si>
  <si>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</si>
  <si>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</si>
  <si>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</si>
  <si>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</si>
  <si>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</si>
  <si>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</si>
  <si>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</si>
  <si>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</si>
  <si>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</si>
  <si>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</si>
  <si>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</si>
  <si>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</si>
  <si>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</si>
  <si>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</si>
  <si>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</si>
  <si>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</si>
  <si>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</si>
  <si>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</si>
  <si>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</si>
  <si>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</si>
  <si>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</si>
  <si>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</si>
  <si>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</si>
  <si>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</si>
  <si>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</si>
  <si>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</si>
  <si>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</si>
  <si>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</si>
  <si>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</si>
  <si>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</si>
  <si>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</si>
  <si>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</si>
  <si>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</si>
  <si>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</si>
  <si>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</si>
  <si>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</si>
  <si>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</si>
  <si>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</si>
  <si>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</si>
  <si>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</si>
  <si>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</si>
  <si>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</si>
  <si>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</si>
  <si>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</si>
  <si>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</si>
  <si>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</si>
  <si>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</si>
  <si>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</si>
  <si>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</si>
  <si>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</si>
  <si>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</si>
  <si>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</si>
  <si>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</si>
  <si>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</si>
  <si>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</si>
  <si>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</si>
  <si>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</si>
  <si>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</si>
  <si>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</si>
  <si>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</si>
  <si>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</si>
  <si>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</si>
  <si>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</si>
  <si>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</si>
  <si>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</si>
  <si>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</si>
  <si>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</si>
  <si>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</si>
  <si>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</si>
  <si>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</si>
  <si>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</si>
  <si>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</si>
  <si>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</si>
  <si>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</si>
  <si>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</si>
  <si>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</si>
  <si>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</si>
  <si>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</si>
  <si>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</si>
  <si>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</si>
  <si>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</si>
  <si>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</si>
  <si>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</si>
  <si>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</si>
  <si>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</si>
  <si>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</si>
  <si>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</si>
  <si>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</si>
  <si>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</si>
  <si>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</si>
  <si>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</si>
  <si>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</si>
  <si>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</si>
  <si>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</si>
  <si>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</si>
  <si>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</si>
  <si>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</si>
  <si>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</si>
  <si>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</si>
  <si>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</si>
  <si>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</si>
  <si>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</si>
  <si>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</si>
  <si>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</si>
  <si>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</si>
  <si>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</si>
  <si>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</si>
  <si>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</si>
  <si>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</si>
  <si>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</si>
  <si>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</si>
  <si>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</si>
  <si>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</si>
  <si>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</si>
  <si>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</si>
  <si>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</si>
  <si>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</si>
  <si>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</si>
  <si>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</si>
  <si>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</si>
  <si>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</si>
  <si>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</si>
  <si>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</si>
  <si>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</si>
  <si>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</si>
  <si>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</si>
  <si>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</si>
  <si>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</si>
  <si>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</si>
  <si>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</si>
  <si>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</si>
  <si>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</si>
  <si>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</si>
  <si>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</si>
  <si>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</si>
  <si>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</si>
  <si>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</si>
  <si>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</si>
  <si>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</si>
  <si>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</si>
  <si>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</si>
  <si>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</si>
  <si>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</si>
  <si>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</si>
  <si>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</si>
  <si>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</si>
  <si>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</si>
  <si>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</si>
  <si>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</si>
  <si>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</si>
  <si>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</si>
  <si>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</si>
  <si>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</si>
  <si>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</si>
  <si>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</si>
  <si>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</si>
  <si>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</si>
  <si>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</si>
  <si>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</si>
  <si>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</si>
  <si>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</si>
  <si>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</si>
  <si>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</si>
  <si>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</si>
  <si>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</si>
  <si>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</si>
  <si>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</si>
  <si>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</si>
  <si>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</si>
  <si>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</si>
  <si>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</si>
  <si>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</si>
  <si>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</si>
  <si>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</si>
  <si>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</si>
  <si>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</si>
  <si>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</si>
  <si>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</si>
  <si>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</si>
  <si>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</si>
  <si>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</si>
  <si>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</si>
  <si>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</si>
  <si>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</si>
  <si>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</si>
  <si>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</si>
  <si>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</si>
  <si>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</si>
  <si>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</si>
  <si>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</si>
  <si>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</si>
  <si>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</si>
  <si>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</si>
  <si>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</si>
  <si>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</si>
  <si>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</si>
  <si>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</si>
  <si>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</si>
  <si>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</si>
  <si>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</si>
  <si>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</si>
  <si>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</si>
  <si>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</si>
  <si>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</si>
  <si>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</si>
  <si>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</si>
  <si>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</si>
  <si>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</si>
  <si>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</si>
  <si>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</si>
  <si>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</si>
  <si>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</si>
  <si>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</si>
  <si>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</si>
  <si>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</si>
  <si>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</si>
  <si>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</si>
  <si>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</si>
  <si>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</si>
  <si>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</si>
  <si>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</si>
  <si>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</si>
  <si>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</si>
  <si>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</si>
  <si>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</si>
  <si>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</si>
  <si>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</si>
  <si>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</si>
  <si>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</si>
  <si>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</si>
  <si>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</si>
  <si>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</si>
  <si>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</si>
  <si>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</si>
  <si>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</si>
  <si>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</si>
  <si>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</si>
  <si>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</si>
  <si>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</si>
  <si>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</si>
  <si>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</si>
  <si>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</si>
  <si>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</si>
  <si>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</si>
  <si>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</si>
  <si>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</si>
  <si>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</si>
  <si>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</si>
  <si>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</si>
  <si>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</si>
  <si>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</si>
  <si>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</si>
  <si>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</si>
  <si>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</si>
  <si>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</si>
  <si>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</si>
  <si>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</si>
  <si>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</si>
  <si>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</si>
  <si>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</si>
  <si>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</si>
  <si>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</si>
  <si>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</si>
  <si>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</si>
  <si>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</si>
  <si>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</si>
  <si>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</si>
  <si>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</si>
  <si>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</si>
  <si>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</si>
  <si>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</si>
  <si>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</si>
  <si>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</si>
  <si>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</si>
  <si>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</si>
  <si>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</si>
  <si>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</si>
  <si>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</si>
  <si>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</si>
  <si>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</si>
  <si>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</si>
  <si>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</si>
  <si>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</si>
  <si>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</si>
  <si>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</si>
  <si>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</si>
  <si>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</si>
  <si>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</si>
  <si>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</si>
  <si>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</si>
  <si>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</si>
  <si>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</si>
  <si>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</si>
  <si>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</si>
  <si>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</si>
  <si>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</si>
  <si>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</si>
  <si>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</si>
  <si>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</si>
  <si>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</si>
  <si>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</si>
  <si>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</si>
  <si>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</si>
  <si>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</si>
  <si>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</si>
  <si>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</si>
  <si>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</si>
  <si>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</si>
  <si>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</si>
  <si>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</si>
  <si>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</si>
  <si>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</si>
  <si>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</si>
  <si>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</si>
  <si>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</si>
  <si>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</si>
  <si>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</si>
  <si>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</si>
  <si>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</si>
  <si>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</si>
  <si>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</si>
  <si>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</si>
  <si>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</si>
  <si>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</si>
  <si>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</si>
  <si>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</si>
  <si>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</si>
  <si>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</si>
  <si>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</si>
  <si>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</si>
  <si>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</si>
  <si>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</si>
  <si>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</si>
  <si>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</si>
  <si>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</si>
  <si>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</si>
  <si>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</si>
  <si>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</si>
  <si>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</si>
  <si>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</si>
  <si>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</si>
  <si>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</si>
  <si>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</si>
  <si>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</si>
  <si>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</si>
  <si>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</si>
  <si>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</si>
  <si>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</si>
  <si>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</si>
  <si>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</si>
  <si>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</si>
  <si>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</si>
  <si>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</si>
  <si>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</si>
  <si>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</si>
  <si>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</si>
  <si>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</si>
  <si>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</si>
  <si>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</si>
  <si>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</si>
  <si>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</si>
  <si>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</si>
  <si>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</si>
  <si>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</si>
  <si>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</si>
  <si>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</si>
  <si>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</si>
  <si>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</si>
  <si>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</si>
  <si>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</si>
  <si>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</si>
  <si>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</si>
  <si>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</si>
  <si>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</si>
  <si>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</si>
  <si>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</si>
  <si>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</si>
  <si>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</si>
  <si>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</si>
  <si>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</si>
  <si>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</si>
  <si>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</si>
  <si>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</si>
  <si>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</si>
  <si>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</si>
  <si>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</si>
  <si>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</si>
  <si>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</si>
  <si>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</si>
  <si>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</si>
  <si>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</si>
  <si>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</si>
  <si>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</si>
  <si>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</si>
  <si>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</si>
  <si>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</si>
  <si>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</si>
  <si>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</si>
  <si>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</si>
  <si>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</si>
  <si>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</si>
  <si>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</si>
  <si>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</si>
  <si>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</si>
  <si>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</si>
  <si>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</si>
  <si>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</si>
  <si>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</si>
  <si>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</si>
  <si>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</si>
  <si>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</si>
  <si>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</si>
  <si>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</si>
  <si>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</si>
  <si>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</si>
  <si>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</si>
  <si>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</si>
  <si>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</si>
  <si>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</si>
  <si>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</si>
  <si>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</si>
  <si>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</si>
  <si>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</si>
  <si>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</si>
  <si>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</si>
  <si>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</si>
  <si>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</si>
  <si>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</si>
  <si>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</si>
  <si>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</si>
  <si>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</si>
  <si>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</si>
  <si>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</si>
  <si>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</si>
  <si>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</si>
  <si>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</si>
  <si>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</si>
  <si>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</si>
  <si>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</si>
  <si>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</si>
  <si>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</si>
  <si>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</si>
  <si>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</si>
  <si>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</si>
  <si>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</si>
  <si>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</si>
  <si>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</si>
  <si>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</si>
  <si>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</si>
  <si>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</si>
  <si>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</si>
  <si>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</si>
  <si>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</si>
  <si>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</si>
  <si>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</si>
  <si>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</si>
  <si>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</si>
  <si>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</si>
  <si>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</si>
  <si>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</si>
  <si>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</si>
  <si>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</si>
  <si>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</si>
  <si>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</si>
  <si>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</si>
  <si>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</si>
  <si>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</si>
  <si>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</si>
  <si>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</si>
  <si>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</si>
  <si>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</si>
  <si>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</si>
  <si>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</si>
  <si>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</si>
  <si>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</si>
  <si>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</si>
  <si>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</si>
  <si>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</si>
  <si>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</si>
  <si>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</si>
  <si>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</si>
  <si>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</si>
  <si>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</si>
  <si>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</si>
  <si>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</si>
  <si>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</si>
  <si>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</si>
  <si>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</si>
  <si>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</si>
  <si>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</si>
  <si>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</si>
  <si>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</si>
  <si>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</si>
  <si>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</si>
  <si>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</si>
  <si>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</si>
  <si>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</si>
  <si>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</si>
  <si>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</si>
  <si>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</si>
  <si>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</si>
  <si>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</si>
  <si>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</si>
  <si>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</si>
  <si>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</si>
  <si>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</si>
  <si>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</si>
  <si>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</si>
  <si>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</si>
  <si>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</si>
  <si>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</si>
  <si>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</si>
  <si>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</si>
  <si>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</si>
  <si>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</si>
  <si>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</si>
  <si>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</si>
  <si>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</si>
  <si>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</si>
  <si>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</si>
  <si>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</si>
  <si>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</si>
  <si>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</si>
  <si>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</si>
  <si>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</si>
  <si>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</si>
  <si>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</si>
  <si>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</si>
  <si>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</si>
  <si>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</si>
  <si>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</si>
  <si>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</si>
  <si>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</si>
  <si>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</si>
  <si>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</si>
  <si>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</si>
  <si>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</si>
  <si>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</si>
  <si>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</si>
  <si>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</si>
  <si>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</si>
  <si>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</si>
  <si>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</si>
  <si>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</si>
  <si>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</si>
  <si>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</si>
  <si>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</si>
  <si>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</si>
  <si>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</si>
  <si>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</si>
  <si>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</si>
  <si>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</si>
  <si>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</si>
  <si>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</si>
  <si>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</si>
  <si>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</si>
  <si>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</si>
  <si>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</si>
  <si>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</si>
  <si>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</si>
  <si>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</si>
  <si>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</si>
  <si>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</si>
  <si>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</si>
  <si>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</si>
  <si>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</si>
  <si>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</si>
  <si>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</si>
  <si>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</si>
  <si>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</si>
  <si>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</si>
  <si>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</si>
  <si>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</si>
  <si>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</si>
  <si>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</si>
  <si>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</si>
  <si>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</si>
  <si>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</si>
  <si>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</si>
  <si>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</si>
  <si>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</si>
  <si>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</si>
  <si>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</si>
  <si>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</si>
  <si>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</si>
  <si>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</si>
  <si>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</si>
  <si>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</si>
  <si>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</si>
  <si>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</si>
  <si>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</si>
  <si>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</si>
  <si>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</si>
  <si>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</si>
  <si>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</si>
  <si>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</si>
  <si>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</si>
  <si>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</si>
  <si>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</si>
  <si>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</si>
  <si>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</si>
  <si>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</si>
  <si>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</si>
  <si>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</si>
  <si>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</si>
  <si>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</si>
  <si>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</si>
  <si>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</si>
  <si>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</si>
  <si>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</si>
  <si>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</si>
  <si>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</si>
  <si>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</si>
  <si>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</si>
  <si>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</si>
  <si>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</si>
  <si>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</si>
  <si>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</si>
  <si>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</si>
  <si>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</si>
  <si>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</si>
  <si>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</si>
  <si>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</si>
  <si>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</si>
  <si>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</si>
  <si>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</si>
  <si>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</si>
  <si>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</si>
  <si>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</si>
  <si>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</si>
  <si>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</si>
  <si>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</si>
  <si>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</si>
  <si>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</si>
  <si>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</si>
  <si>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</si>
  <si>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</si>
  <si>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</si>
  <si>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</si>
  <si>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</si>
  <si>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</si>
  <si>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</si>
  <si>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</si>
  <si>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</si>
  <si>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</si>
  <si>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</si>
  <si>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</si>
  <si>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</si>
  <si>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</si>
  <si>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</si>
  <si>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</si>
  <si>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</si>
  <si>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</si>
  <si>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</si>
  <si>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</si>
  <si>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</si>
  <si>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</si>
  <si>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</si>
  <si>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</si>
  <si>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</si>
  <si>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</si>
  <si>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</si>
  <si>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</si>
  <si>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</si>
  <si>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</si>
  <si>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</si>
  <si>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</si>
  <si>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</si>
  <si>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</si>
  <si>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</si>
  <si>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</si>
  <si>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</si>
  <si>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</si>
  <si>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</si>
  <si>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</si>
  <si>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</si>
  <si>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</si>
  <si>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</si>
  <si>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</si>
  <si>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</si>
  <si>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</si>
  <si>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</si>
  <si>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</si>
  <si>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</si>
  <si>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</si>
  <si>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</si>
  <si>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</si>
  <si>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</si>
  <si>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</si>
  <si>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</si>
  <si>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</si>
  <si>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</si>
  <si>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</si>
  <si>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</si>
  <si>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</si>
  <si>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</si>
  <si>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</si>
  <si>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</si>
  <si>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</si>
  <si>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</si>
  <si>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</si>
  <si>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</si>
  <si>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</si>
  <si>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</si>
  <si>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</si>
  <si>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</si>
  <si>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</si>
  <si>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</si>
  <si>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</si>
  <si>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</si>
  <si>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</si>
  <si>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</si>
  <si>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</si>
  <si>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</si>
  <si>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</si>
  <si>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</si>
  <si>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</si>
  <si>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</si>
  <si>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</si>
  <si>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</si>
  <si>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</si>
  <si>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</si>
  <si>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</si>
  <si>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</si>
  <si>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</si>
  <si>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</si>
  <si>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</si>
  <si>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</si>
  <si>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</si>
  <si>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</si>
  <si>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</si>
  <si>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</si>
  <si>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</si>
  <si>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</si>
  <si>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</si>
  <si>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</si>
  <si>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</si>
  <si>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</si>
  <si>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</si>
  <si>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</si>
  <si>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</si>
  <si>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</si>
  <si>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</si>
  <si>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</si>
  <si>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</si>
  <si>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</si>
  <si>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</si>
  <si>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</si>
  <si>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</si>
  <si>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</si>
  <si>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</si>
  <si>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</si>
  <si>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</si>
  <si>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</si>
  <si>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</si>
  <si>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</si>
  <si>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</si>
  <si>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</si>
  <si>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</si>
  <si>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</si>
  <si>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</si>
  <si>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</si>
  <si>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</si>
  <si>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</si>
  <si>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</si>
  <si>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</si>
  <si>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</si>
  <si>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</si>
  <si>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</si>
  <si>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</si>
  <si>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</si>
  <si>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</si>
  <si>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</si>
  <si>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</si>
  <si>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</si>
  <si>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</si>
  <si>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</si>
  <si>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</si>
  <si>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</si>
  <si>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</si>
  <si>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</si>
  <si>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</si>
  <si>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</si>
  <si>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</si>
  <si>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</si>
  <si>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</si>
  <si>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</si>
  <si>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</si>
  <si>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</si>
  <si>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</si>
  <si>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</si>
  <si>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</si>
  <si>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</si>
  <si>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</si>
  <si>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</si>
  <si>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</si>
  <si>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</si>
  <si>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</si>
  <si>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</si>
  <si>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</si>
  <si>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</si>
  <si>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</si>
  <si>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</si>
  <si>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</si>
  <si>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</si>
  <si>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</si>
  <si>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</si>
  <si>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</si>
  <si>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</si>
  <si>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</si>
  <si>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</si>
  <si>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</si>
  <si>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</si>
  <si>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</si>
  <si>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</si>
  <si>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</si>
  <si>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</si>
  <si>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</si>
  <si>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</si>
  <si>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</si>
  <si>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</si>
  <si>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</si>
  <si>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</si>
  <si>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</si>
  <si>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</si>
  <si>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</si>
  <si>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</si>
  <si>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</si>
  <si>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</si>
  <si>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</si>
  <si>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</si>
  <si>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</si>
  <si>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</si>
  <si>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</si>
  <si>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</si>
  <si>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</si>
  <si>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</si>
  <si>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</si>
  <si>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</si>
  <si>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</si>
  <si>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</si>
  <si>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</si>
  <si>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</si>
  <si>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</si>
  <si>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</si>
  <si>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</si>
  <si>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</si>
  <si>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</si>
  <si>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</si>
  <si>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</si>
  <si>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</si>
  <si>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</si>
  <si>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</si>
  <si>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</si>
  <si>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</si>
  <si>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</si>
  <si>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</si>
  <si>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</si>
  <si>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</si>
  <si>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</si>
  <si>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</si>
  <si>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</si>
  <si>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</si>
  <si>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</si>
  <si>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</si>
  <si>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</si>
  <si>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</si>
  <si>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</si>
  <si>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</si>
  <si>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</si>
  <si>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</si>
  <si>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</si>
  <si>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</si>
  <si>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</si>
  <si>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</si>
  <si>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</si>
  <si>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</si>
  <si>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</si>
  <si>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</si>
  <si>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</si>
  <si>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</si>
  <si>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</si>
  <si>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</si>
  <si>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</si>
  <si>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</si>
  <si>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</si>
  <si>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</si>
  <si>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</si>
  <si>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</si>
  <si>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</si>
  <si>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</si>
  <si>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</si>
  <si>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</si>
  <si>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</si>
  <si>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</si>
  <si>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</si>
  <si>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</si>
  <si>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</si>
  <si>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</si>
  <si>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</si>
  <si>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</si>
  <si>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</si>
  <si>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</si>
  <si>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</si>
  <si>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</si>
  <si>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</si>
  <si>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</si>
  <si>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</si>
  <si>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</si>
  <si>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</si>
  <si>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</si>
  <si>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</si>
  <si>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</si>
  <si>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</si>
  <si>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</si>
  <si>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</si>
  <si>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</si>
  <si>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</si>
  <si>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</si>
  <si>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</si>
  <si>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</si>
  <si>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</si>
  <si>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</si>
  <si>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</si>
  <si>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</si>
  <si>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</si>
  <si>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</si>
  <si>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</si>
  <si>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</si>
  <si>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</si>
  <si>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</si>
  <si>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</si>
  <si>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</si>
  <si>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</si>
  <si>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</si>
  <si>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</si>
  <si>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</si>
  <si>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</si>
  <si>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</si>
  <si>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</si>
  <si>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</si>
  <si>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</si>
  <si>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</si>
  <si>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</si>
  <si>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</si>
  <si>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</si>
  <si>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</si>
  <si>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</si>
  <si>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</si>
  <si>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</si>
  <si>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</si>
  <si>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</si>
  <si>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</si>
  <si>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</si>
  <si>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</si>
  <si>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</si>
  <si>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</si>
  <si>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</si>
  <si>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</si>
  <si>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</si>
  <si>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</si>
  <si>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</si>
  <si>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</si>
  <si>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</si>
  <si>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</si>
  <si>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</si>
  <si>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</si>
  <si>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</si>
  <si>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</si>
  <si>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</si>
  <si>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</si>
  <si>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</si>
  <si>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</si>
  <si>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</si>
  <si>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</si>
  <si>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</si>
  <si>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</si>
  <si>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</si>
  <si>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</si>
  <si>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</si>
  <si>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</si>
  <si>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</si>
  <si>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</si>
  <si>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</si>
  <si>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</si>
  <si>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</si>
  <si>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</si>
  <si>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</si>
  <si>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</si>
  <si>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</si>
  <si>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</si>
  <si>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</si>
  <si>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</si>
  <si>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</si>
  <si>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</si>
  <si>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</si>
  <si>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</si>
  <si>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</si>
  <si>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</si>
  <si>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</si>
  <si>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</si>
  <si>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</si>
  <si>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</si>
  <si>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</si>
  <si>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</si>
  <si>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</si>
  <si>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</si>
  <si>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</si>
  <si>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</si>
  <si>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</si>
  <si>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</si>
  <si>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</si>
  <si>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</si>
  <si>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</si>
  <si>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</si>
  <si>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</si>
  <si>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</si>
  <si>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</si>
  <si>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</si>
  <si>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</si>
  <si>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</si>
  <si>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</si>
  <si>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</si>
  <si>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</si>
  <si>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</si>
  <si>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</si>
  <si>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</si>
  <si>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</si>
  <si>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</si>
  <si>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</si>
  <si>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</si>
  <si>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</si>
  <si>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</si>
  <si>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</si>
  <si>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</si>
  <si>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</si>
  <si>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</si>
  <si>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</si>
  <si>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</si>
  <si>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</si>
  <si>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</si>
  <si>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</si>
  <si>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</si>
  <si>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</si>
  <si>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</si>
  <si>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</si>
  <si>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</si>
  <si>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</si>
  <si>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</si>
  <si>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</si>
  <si>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</si>
  <si>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</si>
  <si>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</si>
  <si>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</si>
  <si>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</si>
  <si>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</si>
  <si>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</si>
  <si>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</si>
  <si>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</si>
  <si>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</si>
  <si>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</si>
  <si>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</si>
  <si>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</si>
  <si>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</si>
  <si>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</si>
  <si>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</si>
  <si>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</si>
  <si>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</si>
  <si>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</si>
  <si>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</si>
  <si>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</si>
  <si>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</si>
  <si>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</si>
  <si>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</si>
  <si>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</si>
  <si>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</si>
  <si>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</si>
  <si>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</si>
  <si>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</si>
  <si>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</si>
  <si>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</si>
  <si>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</si>
  <si>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</si>
  <si>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</si>
  <si>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</si>
  <si>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</si>
  <si>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</si>
  <si>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</si>
  <si>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</si>
  <si>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</si>
  <si>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</si>
  <si>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</si>
  <si>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</si>
  <si>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</si>
  <si>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</si>
  <si>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</si>
  <si>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</si>
  <si>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</si>
  <si>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</si>
  <si>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</si>
  <si>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</si>
  <si>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</si>
  <si>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</si>
  <si>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</si>
  <si>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</si>
  <si>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</si>
  <si>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</si>
  <si>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</si>
  <si>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</si>
  <si>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</si>
  <si>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</si>
  <si>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</si>
  <si>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</si>
  <si>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</si>
  <si>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</si>
  <si>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</si>
  <si>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</si>
  <si>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</si>
  <si>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</si>
  <si>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</si>
  <si>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</si>
  <si>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</si>
  <si>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</si>
  <si>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</si>
  <si>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</si>
  <si>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</si>
  <si>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</si>
  <si>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</si>
  <si>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</si>
  <si>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</si>
  <si>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</si>
  <si>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</si>
  <si>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</si>
  <si>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</si>
  <si>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</si>
  <si>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</si>
  <si>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</si>
  <si>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</si>
  <si>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</si>
  <si>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</si>
  <si>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</si>
  <si>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</si>
  <si>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</si>
  <si>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</si>
  <si>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</si>
  <si>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</si>
  <si>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</si>
  <si>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</si>
  <si>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</si>
  <si>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</si>
  <si>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</si>
  <si>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</si>
  <si>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</si>
  <si>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</si>
  <si>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</si>
  <si>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</si>
  <si>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</si>
  <si>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</si>
  <si>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</si>
  <si>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</si>
  <si>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</si>
  <si>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</si>
  <si>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</si>
  <si>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</si>
  <si>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</si>
  <si>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</si>
  <si>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</si>
  <si>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</si>
  <si>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</si>
  <si>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</si>
  <si>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</si>
  <si>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</si>
  <si>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</si>
  <si>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</si>
  <si>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</si>
  <si>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</si>
  <si>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</si>
  <si>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</si>
  <si>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</si>
  <si>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</si>
  <si>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</si>
  <si>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</si>
  <si>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</si>
  <si>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</si>
  <si>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</si>
  <si>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</si>
  <si>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</si>
  <si>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</si>
  <si>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</si>
  <si>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</si>
  <si>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</si>
  <si>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</si>
  <si>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</si>
  <si>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</si>
  <si>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</si>
  <si>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</si>
  <si>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</si>
  <si>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</si>
  <si>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</si>
  <si>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</si>
  <si>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</si>
  <si>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</si>
  <si>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</si>
  <si>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</si>
  <si>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</si>
  <si>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</si>
  <si>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</si>
  <si>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</si>
  <si>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</si>
  <si>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</si>
  <si>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</si>
  <si>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</si>
  <si>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</si>
  <si>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</si>
  <si>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</si>
  <si>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</si>
  <si>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FP VFyG 1 - Dra. Siemsen de Bielke</t>
  </si>
  <si>
    <t>FP UDIS 3 - Dra. Sodero Calvet</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</si>
  <si>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</si>
  <si>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</si>
  <si>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</si>
  <si>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</si>
  <si>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</si>
  <si>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</si>
  <si>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</si>
  <si>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</si>
  <si>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</si>
  <si>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</si>
  <si>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</si>
  <si>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</si>
  <si>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</si>
  <si>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</si>
  <si>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</si>
  <si>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</si>
  <si>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</si>
  <si>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</si>
  <si>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</si>
  <si>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</si>
  <si>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</si>
  <si>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</si>
  <si>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</si>
  <si>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</si>
  <si>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</si>
  <si>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</si>
  <si>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</si>
  <si>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</si>
  <si>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</si>
  <si>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</si>
  <si>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</si>
  <si>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</si>
  <si>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</si>
  <si>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</si>
  <si>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</si>
  <si>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</si>
  <si>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</si>
  <si>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</si>
  <si>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</si>
  <si>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</si>
  <si>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</si>
  <si>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</si>
  <si>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</si>
  <si>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</si>
  <si>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</si>
  <si>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</si>
  <si>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</si>
  <si>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</si>
  <si>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</si>
  <si>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</si>
  <si>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</si>
  <si>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</si>
  <si>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</si>
  <si>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</si>
  <si>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</si>
  <si>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</si>
  <si>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</si>
  <si>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</si>
  <si>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</si>
  <si>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</si>
  <si>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</si>
  <si>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</si>
  <si>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</si>
  <si>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</si>
  <si>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</si>
  <si>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</si>
  <si>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</si>
  <si>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</si>
  <si>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</si>
  <si>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</si>
  <si>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</si>
  <si>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</si>
  <si>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</si>
  <si>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</si>
  <si>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</si>
  <si>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</si>
  <si>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</si>
  <si>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</si>
  <si>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</si>
  <si>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</si>
  <si>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</si>
  <si>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</si>
  <si>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</si>
  <si>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</si>
  <si>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</si>
  <si>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</si>
  <si>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</si>
  <si>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</si>
  <si>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</si>
  <si>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</si>
  <si>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</si>
  <si>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</si>
  <si>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</si>
  <si>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</si>
  <si>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</si>
  <si>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</si>
  <si>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</si>
  <si>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</si>
  <si>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</si>
  <si>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</si>
  <si>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</si>
  <si>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</si>
  <si>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</si>
  <si>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</si>
  <si>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</si>
  <si>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</si>
  <si>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</si>
  <si>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</si>
  <si>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</si>
  <si>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</si>
  <si>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</si>
  <si>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</si>
  <si>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</si>
  <si>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</si>
  <si>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</si>
  <si>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</si>
  <si>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</si>
  <si>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</si>
  <si>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</si>
  <si>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</si>
  <si>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</si>
  <si>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</si>
  <si>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</si>
  <si>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</si>
  <si>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</si>
  <si>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</si>
  <si>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</si>
  <si>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</si>
  <si>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</si>
  <si>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</si>
  <si>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</si>
  <si>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</si>
  <si>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</si>
  <si>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</si>
  <si>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</si>
  <si>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</si>
  <si>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</si>
  <si>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</si>
  <si>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</si>
  <si>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</si>
  <si>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</si>
  <si>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</si>
  <si>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</si>
  <si>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</si>
  <si>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</si>
  <si>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</si>
  <si>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</si>
  <si>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</si>
  <si>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</si>
  <si>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</si>
  <si>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</si>
  <si>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</si>
  <si>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</si>
  <si>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</si>
  <si>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</si>
  <si>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</si>
  <si>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</si>
  <si>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</si>
  <si>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</si>
  <si>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</si>
  <si>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</si>
  <si>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</si>
  <si>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</si>
  <si>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</si>
  <si>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</si>
  <si>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</si>
  <si>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</si>
  <si>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</si>
  <si>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</si>
  <si>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</si>
  <si>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</si>
  <si>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</si>
  <si>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</si>
  <si>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</si>
  <si>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</si>
  <si>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</si>
  <si>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</si>
  <si>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</si>
  <si>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</si>
  <si>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</si>
  <si>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</si>
  <si>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</si>
  <si>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</si>
  <si>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</si>
  <si>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</si>
  <si>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</si>
  <si>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</si>
  <si>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</si>
  <si>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</si>
  <si>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</si>
  <si>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</si>
  <si>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</si>
  <si>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</si>
  <si>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</si>
  <si>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</si>
  <si>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</si>
  <si>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</si>
  <si>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</si>
  <si>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</si>
  <si>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</si>
  <si>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</si>
  <si>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</si>
  <si>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</si>
  <si>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</si>
  <si>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</si>
  <si>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</si>
  <si>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</si>
  <si>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</si>
  <si>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</si>
  <si>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</si>
  <si>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</si>
  <si>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</si>
  <si>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</si>
  <si>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</si>
  <si>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</si>
  <si>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</si>
  <si>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</si>
  <si>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</si>
  <si>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</si>
  <si>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</si>
  <si>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</si>
  <si>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</si>
  <si>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</si>
  <si>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</si>
  <si>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</si>
  <si>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</si>
  <si>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</si>
  <si>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</si>
  <si>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</si>
  <si>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</si>
  <si>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</si>
  <si>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</si>
  <si>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</si>
  <si>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</si>
  <si>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</si>
  <si>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</si>
  <si>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</si>
  <si>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</si>
  <si>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</si>
  <si>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</si>
  <si>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</si>
  <si>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</si>
  <si>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</si>
  <si>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</si>
  <si>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</si>
  <si>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</si>
  <si>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</si>
  <si>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</si>
  <si>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</si>
  <si>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</si>
  <si>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</si>
  <si>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</si>
  <si>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</si>
  <si>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</si>
  <si>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</si>
  <si>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</si>
  <si>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</si>
  <si>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</si>
  <si>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</si>
  <si>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</si>
  <si>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</si>
  <si>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</si>
  <si>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</si>
  <si>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</si>
  <si>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</si>
  <si>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</si>
  <si>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</si>
  <si>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</si>
  <si>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</si>
  <si>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</si>
  <si>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</si>
  <si>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</si>
  <si>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</si>
  <si>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</si>
  <si>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</si>
  <si>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</si>
  <si>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</si>
  <si>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</si>
  <si>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</si>
  <si>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</si>
  <si>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</si>
  <si>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</si>
  <si>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</si>
  <si>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</si>
  <si>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</si>
  <si>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</si>
  <si>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</si>
  <si>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</si>
  <si>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</si>
  <si>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</si>
  <si>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</si>
  <si>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</si>
  <si>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</si>
  <si>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</si>
  <si>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</si>
  <si>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</si>
  <si>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</si>
  <si>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</si>
  <si>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</si>
  <si>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</si>
  <si>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</si>
  <si>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</si>
  <si>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</si>
  <si>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</si>
  <si>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</si>
  <si>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</si>
  <si>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</si>
  <si>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</si>
  <si>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</si>
  <si>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</si>
  <si>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</si>
  <si>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</si>
  <si>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</si>
  <si>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</si>
  <si>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</si>
  <si>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</si>
  <si>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</si>
  <si>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</si>
  <si>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</si>
  <si>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</si>
  <si>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</si>
  <si>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</si>
  <si>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</si>
  <si>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</si>
  <si>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</si>
  <si>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</si>
  <si>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</si>
  <si>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</si>
  <si>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</si>
  <si>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</si>
  <si>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</si>
  <si>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</si>
  <si>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</si>
  <si>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</si>
  <si>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</si>
  <si>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</si>
  <si>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</si>
  <si>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</si>
  <si>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</si>
  <si>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</si>
  <si>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</si>
  <si>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</si>
  <si>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</si>
  <si>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</si>
  <si>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</si>
  <si>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</si>
  <si>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</si>
  <si>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</si>
  <si>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</si>
  <si>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</si>
  <si>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</si>
  <si>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</si>
  <si>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</si>
  <si>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</si>
  <si>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</si>
  <si>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</si>
  <si>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</si>
  <si>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</si>
  <si>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</si>
  <si>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</si>
  <si>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</si>
  <si>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</si>
  <si>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</si>
  <si>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</si>
  <si>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</si>
  <si>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</si>
  <si>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</si>
  <si>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</si>
  <si>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</si>
  <si>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</si>
  <si>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</si>
  <si>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</si>
  <si>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</si>
  <si>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</si>
  <si>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</si>
  <si>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</si>
  <si>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</si>
  <si>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</si>
  <si>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</si>
  <si>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</si>
  <si>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</si>
  <si>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</si>
  <si>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</si>
  <si>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</si>
  <si>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</si>
  <si>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</si>
  <si>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</si>
  <si>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</si>
  <si>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</si>
  <si>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</si>
  <si>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</si>
  <si>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</si>
  <si>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</si>
  <si>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</si>
  <si>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</si>
  <si>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</si>
  <si>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</si>
  <si>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</si>
  <si>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</si>
  <si>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</si>
  <si>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</si>
  <si>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</si>
  <si>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</si>
  <si>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</si>
  <si>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</si>
  <si>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</si>
  <si>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</si>
  <si>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</si>
  <si>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</si>
  <si>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</si>
  <si>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</si>
  <si>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</si>
  <si>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</si>
  <si>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</si>
  <si>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</si>
  <si>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</si>
  <si>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</si>
  <si>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</si>
  <si>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</si>
  <si>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</si>
  <si>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</si>
  <si>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</si>
  <si>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</si>
  <si>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</si>
  <si>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</si>
  <si>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</si>
  <si>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</si>
  <si>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</si>
  <si>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</si>
  <si>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</si>
  <si>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</si>
  <si>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</si>
  <si>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</si>
  <si>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</si>
  <si>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</si>
  <si>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</si>
  <si>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</si>
  <si>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</si>
  <si>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</si>
  <si>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</si>
  <si>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</si>
  <si>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</si>
  <si>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</si>
  <si>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</si>
  <si>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</si>
  <si>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</si>
  <si>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</si>
  <si>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</si>
  <si>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</si>
  <si>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</si>
  <si>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</si>
  <si>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</si>
  <si>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</si>
  <si>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</si>
  <si>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</si>
  <si>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</si>
  <si>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</si>
  <si>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</si>
  <si>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</si>
  <si>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</si>
  <si>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</si>
  <si>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</si>
  <si>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</si>
  <si>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</si>
  <si>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</si>
  <si>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</si>
  <si>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</si>
  <si>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</si>
  <si>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</si>
  <si>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</si>
  <si>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</si>
  <si>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</si>
  <si>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</si>
  <si>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</si>
  <si>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</si>
  <si>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</si>
  <si>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</si>
  <si>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</si>
  <si>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</si>
  <si>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</si>
  <si>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</si>
  <si>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</si>
  <si>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</si>
  <si>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</si>
  <si>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</si>
  <si>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</si>
  <si>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</si>
  <si>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</si>
  <si>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</si>
  <si>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</si>
  <si>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</si>
  <si>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</si>
  <si>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</si>
  <si>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</si>
  <si>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</si>
  <si>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</si>
  <si>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</si>
  <si>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</si>
  <si>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</si>
  <si>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</si>
  <si>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</si>
  <si>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</si>
  <si>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</si>
  <si>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</si>
  <si>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</si>
  <si>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</si>
  <si>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</si>
  <si>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</si>
  <si>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</si>
  <si>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</si>
  <si>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</si>
  <si>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</si>
  <si>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</si>
  <si>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</si>
  <si>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</si>
  <si>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</si>
  <si>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</si>
  <si>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</si>
  <si>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</si>
  <si>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</si>
  <si>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</si>
  <si>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</si>
  <si>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</si>
  <si>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</si>
  <si>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</si>
  <si>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</si>
  <si>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</si>
  <si>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</si>
  <si>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</si>
  <si>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</si>
  <si>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</si>
  <si>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</si>
  <si>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</si>
  <si>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</si>
  <si>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</si>
  <si>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</si>
  <si>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</si>
  <si>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</si>
  <si>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</si>
  <si>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</si>
  <si>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</si>
  <si>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</si>
  <si>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</si>
  <si>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</si>
  <si>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</si>
  <si>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</si>
  <si>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</si>
  <si>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</si>
  <si>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</si>
  <si>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</si>
  <si>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</si>
  <si>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</si>
  <si>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</si>
  <si>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</si>
  <si>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</si>
  <si>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</si>
  <si>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</si>
  <si>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</si>
  <si>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</si>
  <si>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</si>
  <si>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</si>
  <si>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</si>
  <si>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</si>
  <si>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</si>
  <si>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</si>
  <si>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</si>
  <si>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</si>
  <si>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</si>
  <si>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</si>
  <si>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</si>
  <si>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</si>
  <si>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</si>
  <si>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</si>
  <si>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</si>
  <si>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</si>
  <si>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</si>
  <si>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</si>
  <si>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</si>
  <si>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</si>
  <si>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</si>
  <si>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</si>
  <si>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</si>
  <si>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</si>
  <si>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</si>
  <si>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</si>
  <si>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</si>
  <si>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</si>
  <si>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</si>
  <si>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</si>
  <si>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</si>
  <si>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</si>
  <si>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</si>
  <si>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</si>
  <si>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</si>
  <si>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</si>
  <si>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</si>
  <si>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</si>
  <si>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</si>
  <si>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</si>
  <si>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</si>
  <si>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</si>
  <si>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</si>
  <si>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</si>
  <si>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</si>
  <si>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</si>
  <si>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</si>
  <si>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</si>
  <si>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</si>
  <si>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</si>
  <si>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</si>
  <si>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</si>
  <si>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</si>
  <si>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</si>
  <si>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</si>
  <si>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</si>
  <si>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</si>
  <si>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</si>
  <si>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</si>
  <si>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</si>
  <si>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</si>
  <si>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</si>
  <si>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</si>
  <si>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</si>
  <si>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</si>
  <si>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</si>
  <si>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</si>
  <si>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</si>
  <si>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</si>
  <si>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</si>
  <si>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</si>
  <si>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</si>
  <si>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</si>
  <si>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</si>
  <si>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</si>
  <si>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</si>
  <si>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</si>
  <si>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</si>
  <si>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</si>
  <si>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</si>
  <si>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</si>
  <si>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</si>
  <si>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</si>
  <si>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</si>
  <si>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</si>
  <si>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</si>
  <si>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</si>
  <si>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</si>
  <si>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</si>
  <si>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</si>
  <si>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</si>
  <si>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</si>
  <si>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</si>
  <si>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</si>
  <si>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</si>
  <si>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</si>
  <si>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</si>
  <si>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</si>
  <si>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</si>
  <si>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</si>
  <si>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</si>
  <si>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</si>
  <si>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</si>
  <si>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</si>
  <si>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</si>
  <si>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</si>
  <si>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</si>
  <si>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</si>
  <si>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</si>
  <si>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</si>
  <si>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</si>
  <si>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</si>
  <si>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</si>
  <si>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</si>
  <si>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</si>
  <si>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</si>
  <si>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</si>
  <si>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</si>
  <si>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</si>
  <si>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</si>
  <si>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</si>
  <si>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</si>
  <si>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</si>
  <si>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</si>
  <si>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</si>
  <si>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</si>
  <si>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</si>
  <si>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</si>
  <si>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</si>
  <si>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</si>
  <si>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</si>
  <si>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</si>
  <si>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</si>
  <si>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</si>
  <si>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</si>
  <si>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</si>
  <si>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</si>
  <si>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</si>
  <si>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</si>
  <si>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</si>
  <si>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</si>
  <si>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</si>
  <si>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</si>
  <si>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</si>
  <si>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</si>
  <si>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</si>
  <si>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</si>
  <si>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</si>
  <si>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</si>
  <si>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</si>
  <si>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</si>
  <si>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</si>
  <si>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</si>
  <si>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</si>
  <si>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</si>
  <si>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</si>
  <si>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</si>
  <si>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</si>
  <si>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</si>
  <si>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</si>
  <si>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</si>
  <si>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</si>
  <si>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</si>
  <si>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</si>
  <si>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</si>
  <si>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</si>
  <si>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</si>
  <si>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</si>
  <si>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</si>
  <si>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</si>
  <si>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</si>
  <si>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</si>
  <si>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</si>
  <si>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</si>
  <si>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</si>
  <si>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</si>
  <si>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</si>
  <si>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</si>
  <si>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</si>
  <si>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</si>
  <si>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</si>
  <si>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</si>
  <si>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</si>
  <si>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</si>
  <si>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</si>
  <si>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</si>
  <si>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</si>
  <si>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</si>
  <si>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</si>
  <si>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</si>
  <si>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</si>
  <si>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</si>
  <si>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</si>
  <si>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</si>
  <si>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</si>
  <si>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</si>
  <si>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</si>
  <si>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</si>
  <si>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</si>
  <si>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</si>
  <si>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</si>
  <si>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</si>
  <si>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</si>
  <si>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</si>
  <si>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</si>
  <si>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</si>
  <si>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</si>
  <si>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</si>
  <si>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</si>
  <si>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</si>
  <si>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</si>
  <si>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</si>
  <si>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</si>
  <si>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</si>
  <si>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</si>
  <si>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</si>
  <si>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</si>
  <si>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</si>
  <si>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</si>
  <si>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</si>
  <si>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</si>
  <si>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</si>
  <si>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</si>
  <si>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</si>
  <si>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</si>
  <si>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</si>
  <si>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</si>
  <si>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</si>
  <si>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</si>
  <si>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</si>
  <si>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</si>
  <si>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</si>
  <si>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</si>
  <si>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</si>
  <si>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</si>
  <si>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</si>
  <si>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</si>
  <si>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</si>
  <si>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</si>
  <si>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</si>
  <si>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</si>
  <si>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</si>
  <si>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</si>
  <si>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</si>
  <si>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</si>
  <si>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</si>
  <si>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</si>
  <si>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</si>
  <si>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</si>
  <si>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</si>
  <si>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</si>
  <si>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</si>
  <si>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</si>
  <si>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</si>
  <si>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</si>
  <si>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</si>
  <si>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</si>
  <si>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</si>
  <si>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</si>
  <si>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</si>
  <si>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</si>
  <si>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</si>
  <si>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</si>
  <si>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</si>
  <si>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</si>
  <si>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</si>
  <si>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</si>
  <si>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</si>
  <si>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</si>
  <si>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</si>
  <si>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</si>
  <si>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</si>
  <si>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</si>
  <si>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</si>
  <si>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</si>
  <si>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</si>
  <si>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</si>
  <si>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</si>
  <si>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</si>
  <si>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</si>
  <si>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</si>
  <si>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</si>
  <si>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</si>
  <si>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</si>
  <si>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</si>
  <si>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</si>
  <si>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</si>
  <si>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</si>
  <si>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</si>
  <si>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</si>
  <si>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</si>
  <si>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</si>
  <si>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</si>
  <si>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</si>
  <si>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</si>
  <si>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</si>
  <si>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</si>
  <si>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</si>
  <si>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</si>
  <si>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</si>
  <si>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</si>
  <si>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</si>
  <si>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</si>
  <si>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</si>
  <si>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</si>
  <si>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</si>
  <si>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</si>
  <si>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</si>
  <si>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</si>
  <si>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</si>
  <si>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</si>
  <si>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</si>
  <si>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</si>
  <si>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</si>
  <si>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</si>
  <si>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</si>
  <si>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</si>
  <si>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</si>
  <si>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</si>
  <si>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</si>
  <si>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</si>
  <si>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</si>
  <si>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</si>
  <si>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</si>
  <si>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</si>
  <si>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</si>
  <si>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</si>
  <si>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</si>
  <si>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</si>
  <si>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</si>
  <si>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</si>
  <si>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</si>
  <si>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</si>
  <si>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</si>
  <si>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</si>
  <si>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</si>
  <si>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</si>
  <si>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</si>
  <si>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</si>
  <si>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</si>
  <si>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</si>
  <si>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</si>
  <si>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</si>
  <si>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</si>
  <si>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</si>
  <si>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</si>
  <si>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</si>
  <si>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</si>
  <si>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</si>
  <si>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</si>
  <si>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</si>
  <si>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</si>
  <si>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</si>
  <si>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</si>
  <si>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</si>
  <si>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</si>
  <si>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</si>
  <si>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</si>
  <si>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</si>
  <si>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</si>
  <si>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</si>
  <si>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</si>
  <si>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</si>
  <si>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</si>
  <si>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</si>
  <si>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</si>
  <si>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</si>
  <si>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</si>
  <si>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</si>
  <si>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</si>
  <si>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</si>
  <si>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</si>
  <si>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</si>
  <si>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</si>
  <si>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</si>
  <si>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</si>
  <si>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</si>
  <si>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</si>
  <si>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</si>
  <si>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</si>
  <si>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</si>
  <si>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</si>
  <si>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</si>
  <si>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</si>
  <si>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</si>
  <si>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</si>
  <si>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</si>
  <si>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</si>
  <si>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</si>
  <si>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</si>
  <si>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</si>
  <si>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</si>
  <si>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</si>
  <si>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</si>
  <si>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GARNICA LUCAS FERNANDO ULISES por lesiones leves agravadas por la relacion preexistente y por constituir violencia de genero en perj. De Barrionuevo Daniela Maria</t>
  </si>
  <si>
    <t>186364/23</t>
  </si>
  <si>
    <t>NUÑEZ Gabriel Alejandro por Robo en perj. De Morales Gisel Carolina</t>
  </si>
  <si>
    <t>FP Güemes - Aux. Dra. Geraldina Abraham</t>
  </si>
  <si>
    <t>Abreviado: 6 Meses Efectiva</t>
  </si>
  <si>
    <t>Demora por tratavas entre las pates</t>
  </si>
  <si>
    <t>Demora por la Fiscalia</t>
  </si>
  <si>
    <t>177583/22</t>
  </si>
  <si>
    <t>186516/23</t>
  </si>
  <si>
    <t>186506/23</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</si>
  <si>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</si>
  <si>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</si>
  <si>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</si>
  <si>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</si>
  <si>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</si>
  <si>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</si>
  <si>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</si>
  <si>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</si>
  <si>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</si>
  <si>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</si>
  <si>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</si>
  <si>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</si>
  <si>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</si>
  <si>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</si>
  <si>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</si>
  <si>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</si>
  <si>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</si>
  <si>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</si>
  <si>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</si>
  <si>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</si>
  <si>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</si>
  <si>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</si>
  <si>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</si>
  <si>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</si>
  <si>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</si>
  <si>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</si>
  <si>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</si>
  <si>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</si>
  <si>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</si>
  <si>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</si>
  <si>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</si>
  <si>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</si>
  <si>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</si>
  <si>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</si>
  <si>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</si>
  <si>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</si>
  <si>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</si>
  <si>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</si>
  <si>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</si>
  <si>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</si>
  <si>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</si>
  <si>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</si>
  <si>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</si>
  <si>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</si>
  <si>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</si>
  <si>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</si>
  <si>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</si>
  <si>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</si>
  <si>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</si>
  <si>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</si>
  <si>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</si>
  <si>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</si>
  <si>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</si>
  <si>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</si>
  <si>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</si>
  <si>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</si>
  <si>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</si>
  <si>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</si>
  <si>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</si>
  <si>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</si>
  <si>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</si>
  <si>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</si>
  <si>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</si>
  <si>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</si>
  <si>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</si>
  <si>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</si>
  <si>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</si>
  <si>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</si>
  <si>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</si>
  <si>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</si>
  <si>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</si>
  <si>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</si>
  <si>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</si>
  <si>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</si>
  <si>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</si>
  <si>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</si>
  <si>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</si>
  <si>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</si>
  <si>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</si>
  <si>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</si>
  <si>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</si>
  <si>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</si>
  <si>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</si>
  <si>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</si>
  <si>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</si>
  <si>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</si>
  <si>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</si>
  <si>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</si>
  <si>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</si>
  <si>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</si>
  <si>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</si>
  <si>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</si>
  <si>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</si>
  <si>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</si>
  <si>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</si>
  <si>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</si>
  <si>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</si>
  <si>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</si>
  <si>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</si>
  <si>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</si>
  <si>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</si>
  <si>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</si>
  <si>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</si>
  <si>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</si>
  <si>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</si>
  <si>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</si>
  <si>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</si>
  <si>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</si>
  <si>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</si>
  <si>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</si>
  <si>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</si>
  <si>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</si>
  <si>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</si>
  <si>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</si>
  <si>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</si>
  <si>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</si>
  <si>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</si>
  <si>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</si>
  <si>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</si>
  <si>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</si>
  <si>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</si>
  <si>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</si>
  <si>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</si>
  <si>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</si>
  <si>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</si>
  <si>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</si>
  <si>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</si>
  <si>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</si>
  <si>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</si>
  <si>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</si>
  <si>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</si>
  <si>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</si>
  <si>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</si>
  <si>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</si>
  <si>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</si>
  <si>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</si>
  <si>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</si>
  <si>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</si>
  <si>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</si>
  <si>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</si>
  <si>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</si>
  <si>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</si>
  <si>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</si>
  <si>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</si>
  <si>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</si>
  <si>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</si>
  <si>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</si>
  <si>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</si>
  <si>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</si>
  <si>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</si>
  <si>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</si>
  <si>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</si>
  <si>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</si>
  <si>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</si>
  <si>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</si>
  <si>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</si>
  <si>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</si>
  <si>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</si>
  <si>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</si>
  <si>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</si>
  <si>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</si>
  <si>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</si>
  <si>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</si>
  <si>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</si>
  <si>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</si>
  <si>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</si>
  <si>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</si>
  <si>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</si>
  <si>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</si>
  <si>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</si>
  <si>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</si>
  <si>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</si>
  <si>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</si>
  <si>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</si>
  <si>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</si>
  <si>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</si>
  <si>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</si>
  <si>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</si>
  <si>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</si>
  <si>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</si>
  <si>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</si>
  <si>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</si>
  <si>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</si>
  <si>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</si>
  <si>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</si>
  <si>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</si>
  <si>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</si>
  <si>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</si>
  <si>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</si>
  <si>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</si>
  <si>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</si>
  <si>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</si>
  <si>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</si>
  <si>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</si>
  <si>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</si>
  <si>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</si>
  <si>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</si>
  <si>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</si>
  <si>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</si>
  <si>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</si>
  <si>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</si>
  <si>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</si>
  <si>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</si>
  <si>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</si>
  <si>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</si>
  <si>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</si>
  <si>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</si>
  <si>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</si>
  <si>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</si>
  <si>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</si>
  <si>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</si>
  <si>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</si>
  <si>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</si>
  <si>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</si>
  <si>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</si>
  <si>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</si>
  <si>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</si>
  <si>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</si>
  <si>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</si>
  <si>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</si>
  <si>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</si>
  <si>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</si>
  <si>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</si>
  <si>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</si>
  <si>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</si>
  <si>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</si>
  <si>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</si>
  <si>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</si>
  <si>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</si>
  <si>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</si>
  <si>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</si>
  <si>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</si>
  <si>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</si>
  <si>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</si>
  <si>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</si>
  <si>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</si>
  <si>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</si>
  <si>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</si>
  <si>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</si>
  <si>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</si>
  <si>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</si>
  <si>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</si>
  <si>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</si>
  <si>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</si>
  <si>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</si>
  <si>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</si>
  <si>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</si>
  <si>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</si>
  <si>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</si>
  <si>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</si>
  <si>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</si>
  <si>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</si>
  <si>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</si>
  <si>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</si>
  <si>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</si>
  <si>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</si>
  <si>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</si>
  <si>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</si>
  <si>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</si>
  <si>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</si>
  <si>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</si>
  <si>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</si>
  <si>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</si>
  <si>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</si>
  <si>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</si>
  <si>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</si>
  <si>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</si>
  <si>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</si>
  <si>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</si>
  <si>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</si>
  <si>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</si>
  <si>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</si>
  <si>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</si>
  <si>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</si>
  <si>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</si>
  <si>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</si>
  <si>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</si>
  <si>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</si>
  <si>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</si>
  <si>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</si>
  <si>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</si>
  <si>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</si>
  <si>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</si>
  <si>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</si>
  <si>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</si>
  <si>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</si>
  <si>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</si>
  <si>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</si>
  <si>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</si>
  <si>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</si>
  <si>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</si>
  <si>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</si>
  <si>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</si>
  <si>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</si>
  <si>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</si>
  <si>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</si>
  <si>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</si>
  <si>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</si>
  <si>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</si>
  <si>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</si>
  <si>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</si>
  <si>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</si>
  <si>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</si>
  <si>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</si>
  <si>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</si>
  <si>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</si>
  <si>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</si>
  <si>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</si>
  <si>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</si>
  <si>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</si>
  <si>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</si>
  <si>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</si>
  <si>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</si>
  <si>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</si>
  <si>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</si>
  <si>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</si>
  <si>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</si>
  <si>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</si>
  <si>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</si>
  <si>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</si>
  <si>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</si>
  <si>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</si>
  <si>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</si>
  <si>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</si>
  <si>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</si>
  <si>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</si>
  <si>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</si>
  <si>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</si>
  <si>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</si>
  <si>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</si>
  <si>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</si>
  <si>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</si>
  <si>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</si>
  <si>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</si>
  <si>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</si>
  <si>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</si>
  <si>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</si>
  <si>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</si>
  <si>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</si>
  <si>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</si>
  <si>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</si>
  <si>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</si>
  <si>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</si>
  <si>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</si>
  <si>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</si>
  <si>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</si>
  <si>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</si>
  <si>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</si>
  <si>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</si>
  <si>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</si>
  <si>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</si>
  <si>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</si>
  <si>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</si>
  <si>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</si>
  <si>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</si>
  <si>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</si>
  <si>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</si>
  <si>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</si>
  <si>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</si>
  <si>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</si>
  <si>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</si>
  <si>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</si>
  <si>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</si>
  <si>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</si>
  <si>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</si>
  <si>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</si>
  <si>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</si>
  <si>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</si>
  <si>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</si>
  <si>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</si>
  <si>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</si>
  <si>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</si>
  <si>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</si>
  <si>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</si>
  <si>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</si>
  <si>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</si>
  <si>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</si>
  <si>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</si>
  <si>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</si>
  <si>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</si>
  <si>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</si>
  <si>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</si>
  <si>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</si>
  <si>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</si>
  <si>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</si>
  <si>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</si>
  <si>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</si>
  <si>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</si>
  <si>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</si>
  <si>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</si>
  <si>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</si>
  <si>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</si>
  <si>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</si>
  <si>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</si>
  <si>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</si>
  <si>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</si>
  <si>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</si>
  <si>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</si>
  <si>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</si>
  <si>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</si>
  <si>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</si>
  <si>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</si>
  <si>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</si>
  <si>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</si>
  <si>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</si>
  <si>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</si>
  <si>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</si>
  <si>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</si>
  <si>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</si>
  <si>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</si>
  <si>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</si>
  <si>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</si>
  <si>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</si>
  <si>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</si>
  <si>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</si>
  <si>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</si>
  <si>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</si>
  <si>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</si>
  <si>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</si>
  <si>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</si>
  <si>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</si>
  <si>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</si>
  <si>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</si>
  <si>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</si>
  <si>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</si>
  <si>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</si>
  <si>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</si>
  <si>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</si>
  <si>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</si>
  <si>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</si>
  <si>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</si>
  <si>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</si>
  <si>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</si>
  <si>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</si>
  <si>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</si>
  <si>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</si>
  <si>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</si>
  <si>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</si>
  <si>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</si>
  <si>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</si>
  <si>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</si>
  <si>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</si>
  <si>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</si>
  <si>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</si>
  <si>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</si>
  <si>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</si>
  <si>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</si>
  <si>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</si>
  <si>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</si>
  <si>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</si>
  <si>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</si>
  <si>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</si>
  <si>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</si>
  <si>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</si>
  <si>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</si>
  <si>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</si>
  <si>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</si>
  <si>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</si>
  <si>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</si>
  <si>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</si>
  <si>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</si>
  <si>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</si>
  <si>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</si>
  <si>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</si>
  <si>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</si>
  <si>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</si>
  <si>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</si>
  <si>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</si>
  <si>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</si>
  <si>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</si>
  <si>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</si>
  <si>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</si>
  <si>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</si>
  <si>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</si>
  <si>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</si>
  <si>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</si>
  <si>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</si>
  <si>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</si>
  <si>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</si>
  <si>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</si>
  <si>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</si>
  <si>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</si>
  <si>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</si>
  <si>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</si>
  <si>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</si>
  <si>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</si>
  <si>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</si>
  <si>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</si>
  <si>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</si>
  <si>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</si>
  <si>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</si>
  <si>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</si>
  <si>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</si>
  <si>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</si>
  <si>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</si>
  <si>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</si>
  <si>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</si>
  <si>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</si>
  <si>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</si>
  <si>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</si>
  <si>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</si>
  <si>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</si>
  <si>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</si>
  <si>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</si>
  <si>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</si>
  <si>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</si>
  <si>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</si>
  <si>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</si>
  <si>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</si>
  <si>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</si>
  <si>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</si>
  <si>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</si>
  <si>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</si>
  <si>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</si>
  <si>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</si>
  <si>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</si>
  <si>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</si>
  <si>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</si>
  <si>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</si>
  <si>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</si>
  <si>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</si>
  <si>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</si>
  <si>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</si>
  <si>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</si>
  <si>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</si>
  <si>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</si>
  <si>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</si>
  <si>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</si>
  <si>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</si>
  <si>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</si>
  <si>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</si>
  <si>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</si>
  <si>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</si>
  <si>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</si>
  <si>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</si>
  <si>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</si>
  <si>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</si>
  <si>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</si>
  <si>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</si>
  <si>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</si>
  <si>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</si>
  <si>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</si>
  <si>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</si>
  <si>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</si>
  <si>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</si>
  <si>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</si>
  <si>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</si>
  <si>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</si>
  <si>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</si>
  <si>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</si>
  <si>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</si>
  <si>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</si>
  <si>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</si>
  <si>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</si>
  <si>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</si>
  <si>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</si>
  <si>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</si>
  <si>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</si>
  <si>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</si>
  <si>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</si>
  <si>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</si>
  <si>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</si>
  <si>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</si>
  <si>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</si>
  <si>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</si>
  <si>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</si>
  <si>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</si>
  <si>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</si>
  <si>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</si>
  <si>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</si>
  <si>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</si>
  <si>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</si>
  <si>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</si>
  <si>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</si>
  <si>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</si>
  <si>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</si>
  <si>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</si>
  <si>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</si>
  <si>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</si>
  <si>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</si>
  <si>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</si>
  <si>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</si>
  <si>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</si>
  <si>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</si>
  <si>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</si>
  <si>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</si>
  <si>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</si>
  <si>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</si>
  <si>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</si>
  <si>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</si>
  <si>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</si>
  <si>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</si>
  <si>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</si>
  <si>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</si>
  <si>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</si>
  <si>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</si>
  <si>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</si>
  <si>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</si>
  <si>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</si>
  <si>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</si>
  <si>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</si>
  <si>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</si>
  <si>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</si>
  <si>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</si>
  <si>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</si>
  <si>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</si>
  <si>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</si>
  <si>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</si>
  <si>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</si>
  <si>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</si>
  <si>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</si>
  <si>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</si>
  <si>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</si>
  <si>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</si>
  <si>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</si>
  <si>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</si>
  <si>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</si>
  <si>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</si>
  <si>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</si>
  <si>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</si>
  <si>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</si>
  <si>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</si>
  <si>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</si>
  <si>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</si>
  <si>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</si>
  <si>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</si>
  <si>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</si>
  <si>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</si>
  <si>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</si>
  <si>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</si>
  <si>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</si>
  <si>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</si>
  <si>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</si>
  <si>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</si>
  <si>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</si>
  <si>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</si>
  <si>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</si>
  <si>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</si>
  <si>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</si>
  <si>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</si>
  <si>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</si>
  <si>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</si>
  <si>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</si>
  <si>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</si>
  <si>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</si>
  <si>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</si>
  <si>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</si>
  <si>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</si>
  <si>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</si>
  <si>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</si>
  <si>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</si>
  <si>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</si>
  <si>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</si>
  <si>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</si>
  <si>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</si>
  <si>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</si>
  <si>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</si>
  <si>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</si>
  <si>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</si>
  <si>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</si>
  <si>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</si>
  <si>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</si>
  <si>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</si>
  <si>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</si>
  <si>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</si>
  <si>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</si>
  <si>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</si>
  <si>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</si>
  <si>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</si>
  <si>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</si>
  <si>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</si>
  <si>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</si>
  <si>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</si>
  <si>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</si>
  <si>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</si>
  <si>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</si>
  <si>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</si>
  <si>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</si>
  <si>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</si>
  <si>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</si>
  <si>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</si>
  <si>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</si>
  <si>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</si>
  <si>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</si>
  <si>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</si>
  <si>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</si>
  <si>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</si>
  <si>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</si>
  <si>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</si>
  <si>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</si>
  <si>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</si>
  <si>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</si>
  <si>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</si>
  <si>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</si>
  <si>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</si>
  <si>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</si>
  <si>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</si>
  <si>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</si>
  <si>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</si>
  <si>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</si>
  <si>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</si>
  <si>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</si>
  <si>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</si>
  <si>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</si>
  <si>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</si>
  <si>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</si>
  <si>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</si>
  <si>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</si>
  <si>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</si>
  <si>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</si>
  <si>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</si>
  <si>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</si>
  <si>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</si>
  <si>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</si>
  <si>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</si>
  <si>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</si>
  <si>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</si>
  <si>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</si>
  <si>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</si>
  <si>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</si>
  <si>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</si>
  <si>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</si>
  <si>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</si>
  <si>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</si>
  <si>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</si>
  <si>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</si>
  <si>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</si>
  <si>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</si>
  <si>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</si>
  <si>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</si>
  <si>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</si>
  <si>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</si>
  <si>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</si>
  <si>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</si>
  <si>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</si>
  <si>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</si>
  <si>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</si>
  <si>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</si>
  <si>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</si>
  <si>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</si>
  <si>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</si>
  <si>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</si>
  <si>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</si>
  <si>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</si>
  <si>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</si>
  <si>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</si>
  <si>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</si>
  <si>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</si>
  <si>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</si>
  <si>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</si>
  <si>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</si>
  <si>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</si>
  <si>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</si>
  <si>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</si>
  <si>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</si>
  <si>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</si>
  <si>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</si>
  <si>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</si>
  <si>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</si>
  <si>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</si>
  <si>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</si>
  <si>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</si>
  <si>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</si>
  <si>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</si>
  <si>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</si>
  <si>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</si>
  <si>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</si>
  <si>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</si>
  <si>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</si>
  <si>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</si>
  <si>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</si>
  <si>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</si>
  <si>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</si>
  <si>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</si>
  <si>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</si>
  <si>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</si>
  <si>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</si>
  <si>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</si>
  <si>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</si>
  <si>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</si>
  <si>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</si>
  <si>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</si>
  <si>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</si>
  <si>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</si>
  <si>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</si>
  <si>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</si>
  <si>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</si>
  <si>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</si>
  <si>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</si>
  <si>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</si>
  <si>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</si>
  <si>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</si>
  <si>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</si>
  <si>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</si>
  <si>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</si>
  <si>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</si>
  <si>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</si>
  <si>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</si>
  <si>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</si>
  <si>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</si>
  <si>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</si>
  <si>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</si>
  <si>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</si>
  <si>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</si>
  <si>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</si>
  <si>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</si>
  <si>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</si>
  <si>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</si>
  <si>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</si>
  <si>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</si>
  <si>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</si>
  <si>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</si>
  <si>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</si>
  <si>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</si>
  <si>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</si>
  <si>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</si>
  <si>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</si>
  <si>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</si>
  <si>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</si>
  <si>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</si>
  <si>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</si>
  <si>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</si>
  <si>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</si>
  <si>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</si>
  <si>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</si>
  <si>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</si>
  <si>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</si>
  <si>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</si>
  <si>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</si>
  <si>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</si>
  <si>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</si>
  <si>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</si>
  <si>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</si>
  <si>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</si>
  <si>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</si>
  <si>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</si>
  <si>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</si>
  <si>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</si>
  <si>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</si>
  <si>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</si>
  <si>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</si>
  <si>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</si>
  <si>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</si>
  <si>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</si>
  <si>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</si>
  <si>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</si>
  <si>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</si>
  <si>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</si>
  <si>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</si>
  <si>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</si>
  <si>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</si>
  <si>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</si>
  <si>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</si>
  <si>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</si>
  <si>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</si>
  <si>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</si>
  <si>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</si>
  <si>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</si>
  <si>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</si>
  <si>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</si>
  <si>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</si>
  <si>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</si>
  <si>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</si>
  <si>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</si>
  <si>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</si>
  <si>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</si>
  <si>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</si>
  <si>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</si>
  <si>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</si>
  <si>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</si>
  <si>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</si>
  <si>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</si>
  <si>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</si>
  <si>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</si>
  <si>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</si>
  <si>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</si>
  <si>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</si>
  <si>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</si>
  <si>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</si>
  <si>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</si>
  <si>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</si>
  <si>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</si>
  <si>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187300/23</t>
  </si>
  <si>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</si>
  <si>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</si>
  <si>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</si>
  <si>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</si>
  <si>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</si>
  <si>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</si>
  <si>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</si>
  <si>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</si>
  <si>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</si>
  <si>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</si>
  <si>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</si>
  <si>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</si>
  <si>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</si>
  <si>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</si>
  <si>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</si>
  <si>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</si>
  <si>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</si>
  <si>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Gar 2</t>
  </si>
  <si>
    <t>GONZALEZ, JOSE LUIS MARIA POR EL DELITO DE HURTO SIMPLE EN PERJUICIO DE PALAVECINO NORMA NATALIA</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</si>
  <si>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</si>
  <si>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</si>
  <si>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</si>
  <si>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</si>
  <si>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</si>
  <si>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</si>
  <si>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</si>
  <si>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</si>
  <si>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</si>
  <si>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</si>
  <si>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</si>
  <si>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</si>
  <si>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</si>
  <si>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</si>
  <si>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</si>
  <si>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</si>
  <si>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</si>
  <si>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</si>
  <si>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</si>
  <si>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</si>
  <si>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</si>
  <si>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</si>
  <si>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</si>
  <si>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</si>
  <si>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</si>
  <si>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</si>
  <si>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</si>
  <si>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</si>
  <si>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</si>
  <si>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</si>
  <si>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</si>
  <si>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</si>
  <si>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</si>
  <si>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</si>
  <si>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</si>
  <si>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</si>
  <si>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183540/23</t>
  </si>
  <si>
    <t>ORIANA ARACELIA CUELLAR Y ANGELICA LUCIANA CUELLAR POR EL DELITO DE COMERCIALIZACION DE ESTUPEFACIENTS AGRAVADOS POR LA PARTICIPACION ORGANIZADA DE TRES O MAS PERSONAS</t>
  </si>
  <si>
    <t>CAYO RICARLO LEONARDO POR EL DELITO DE HURTO SIMPLE EN PERJUICIO DE DIAZ ROBERTO</t>
  </si>
  <si>
    <t>187122/23</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</si>
  <si>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</si>
  <si>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</si>
  <si>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</si>
  <si>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</si>
  <si>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</si>
  <si>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</si>
  <si>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</si>
  <si>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</si>
  <si>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</si>
  <si>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</si>
  <si>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</si>
  <si>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</si>
  <si>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</si>
  <si>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</si>
  <si>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</si>
  <si>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</si>
  <si>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</si>
  <si>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</si>
  <si>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</si>
  <si>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</si>
  <si>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</si>
  <si>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</si>
  <si>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</si>
  <si>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</si>
  <si>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</si>
  <si>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</si>
  <si>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</si>
  <si>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</si>
  <si>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</si>
  <si>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</si>
  <si>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</si>
  <si>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</si>
  <si>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</si>
  <si>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</si>
  <si>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</si>
  <si>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</si>
  <si>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</si>
  <si>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</si>
  <si>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</si>
  <si>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</si>
  <si>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</si>
  <si>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</si>
  <si>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GUZMAN, DANIEL RAMON POR PRIVACION  LEGITIMA DE LA  LIBERTAD, ROBO  SIMPLE Y LESIONES DOBLEMENTE AGRAVADAS POR LA RELACION DE PAREJA Y POR EL GENERO, TODO EN CONCURSO REAL; EN PERJUICIO DE TERRAZAS GRA</t>
  </si>
  <si>
    <t>Dr. Paz, Hernan Facundo MP Nº 6324</t>
  </si>
  <si>
    <t xml:space="preserve">El investigado fue delcarado inimputable </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</si>
  <si>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</si>
  <si>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</si>
  <si>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</si>
  <si>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</si>
  <si>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</si>
  <si>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</si>
  <si>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</si>
  <si>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</si>
  <si>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187420/23</t>
  </si>
  <si>
    <t xml:space="preserve">GALEAN, MAXIMILIANO ELIAS DANIEL POR EL DELITO DE ABUSO SEXUAL CON ACCESO CARNAL Y VIOLACION DE DOMICILIO EN CONCURSO REAL EN PERJUICIO DE </t>
  </si>
  <si>
    <t>183119/23</t>
  </si>
  <si>
    <t>Dr. Martin D'Andrea MP 5875</t>
  </si>
  <si>
    <t>SUAREZ, SERGIO RICARDO POR EL DELITO DE ABUSO SEXUAL CON ACCESO CARNAL EN PERJUCIO DE CATERINA REYNALDA CRUZ</t>
  </si>
  <si>
    <t>187129/23</t>
  </si>
  <si>
    <t xml:space="preserve">RUEDA, SEBASTIAN MARCELINO POR EL DELITO DE ROBO SIMPLE EN PERJUICIO DE JOHANA JUDITH MAMANI </t>
  </si>
  <si>
    <t xml:space="preserve">FPNº 2 D.S.Lorenzo </t>
  </si>
  <si>
    <t xml:space="preserve">FP Nº 2 D.S.Lorenzo </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</si>
  <si>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</si>
  <si>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</si>
  <si>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</si>
  <si>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</si>
  <si>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</si>
  <si>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</si>
  <si>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</si>
  <si>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</si>
  <si>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</si>
  <si>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</si>
  <si>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</si>
  <si>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</si>
  <si>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</si>
  <si>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</si>
  <si>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</si>
  <si>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</si>
  <si>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</si>
  <si>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</si>
  <si>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</si>
  <si>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</si>
  <si>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</si>
  <si>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</si>
  <si>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</si>
  <si>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</si>
  <si>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</si>
  <si>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</si>
  <si>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</si>
  <si>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</si>
  <si>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</si>
  <si>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</si>
  <si>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</si>
  <si>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</si>
  <si>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</si>
  <si>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</si>
  <si>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</si>
  <si>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</si>
  <si>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</si>
  <si>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</si>
  <si>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</si>
  <si>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</si>
  <si>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</si>
  <si>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</si>
  <si>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</si>
  <si>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</si>
  <si>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</si>
  <si>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</si>
  <si>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</si>
  <si>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</si>
  <si>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187469/23</t>
  </si>
  <si>
    <t>BENICIO, ARON LAUTARO POR EL DELITO DE LESIONES LEVES, AMENZAS CON ARMA Y VIOLACION DE DOMICILIO ENN CONCURSO REAL</t>
  </si>
  <si>
    <t>186839/23</t>
  </si>
  <si>
    <t>CRUZ, JUAN RAMON POR EL DELITO DE LESIONES LEVES AGRAVADAS POR EL VINCULO Y POR EL GENERO EN PERJUIO DE JAZMIN ELENA CRUZ, AMENAZAS -DOS HECHOS EN PERJUICIO DE PATRICIA ALDERETE Y JAZMIN ELENA CRUZ EN CONCURSO REAL</t>
  </si>
  <si>
    <t>187496/23</t>
  </si>
  <si>
    <t>187484/23</t>
  </si>
  <si>
    <t>187221/23</t>
  </si>
  <si>
    <t>187370/23</t>
  </si>
  <si>
    <t>GARCIA, ANHAN SARAI POR EL DELITO DE DESOBEDIENCIA JUDICIAL</t>
  </si>
  <si>
    <t>187173/23</t>
  </si>
  <si>
    <t>GUTIRREZ, GUILLERMO MARTIN POR EL DELITO DE GROOMIN EN PERJUICIO DE UN MENOR DE EDAD</t>
  </si>
  <si>
    <t>186678/23</t>
  </si>
  <si>
    <t xml:space="preserve">ARCE, ANIBAL ALEJANDRO POR EL DE ROBO CALIFICADO POR HABERSE COMETIDO CON ESCALAMIENTO EN PERJUICIO DE </t>
  </si>
  <si>
    <t>187232/23</t>
  </si>
  <si>
    <t>187463/23</t>
  </si>
  <si>
    <t>187365/23</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</si>
  <si>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</si>
  <si>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</si>
  <si>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</si>
  <si>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</si>
  <si>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</si>
  <si>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</si>
  <si>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</si>
  <si>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</si>
  <si>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</si>
  <si>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</si>
  <si>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</si>
  <si>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</si>
  <si>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</si>
  <si>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</si>
  <si>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</si>
  <si>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</si>
  <si>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</si>
  <si>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</si>
  <si>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</si>
  <si>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</si>
  <si>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</si>
  <si>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</si>
  <si>
    <t>Dra. Aranibar</t>
  </si>
  <si>
    <t>184102/23</t>
  </si>
  <si>
    <t>GIMENEZ, JUAN MANUEL POR EL DELITO DE TENENCIA DE ESTUPEFACIENTES CON FINES DE COMERCIALIZACION</t>
  </si>
  <si>
    <t>PATRANA, JOAQUIN ALEJANDRO POR EL DELITO DE LESIONES LEVES EN PERJUICIO E.A.V.V.</t>
  </si>
  <si>
    <t>187235/23</t>
  </si>
  <si>
    <t>VEGA MOLINA, JOSE MIGUEL POR VIOLACION DE DOMICILIO, LESIONES LEVES AGRAVADAS POR LA RELACION DE PAREJA Y POR EL GENERO, AMENAZAS, COACCION Y HURTO EN CONCURSO REAL EN PERKIOCOP DE MENDEZ ADRIANA PATRICIA</t>
  </si>
  <si>
    <t>BARRETO, JORGE DAVID POR EL DELITO DE HURTO SIMPLE Y HURTO SIMPLE EN GRADO DE TENTATIVA Y EL SR. OSCAR LEONEL GUZMAN POR EL DELITO DE HURTO SIMPLE EN GRADO DE TENTATIVA EN PERJUICIO DE RICARDO TAPIA</t>
  </si>
  <si>
    <t>187012/23</t>
  </si>
  <si>
    <t>187523/23</t>
  </si>
  <si>
    <t xml:space="preserve">WALTER RAMOS o WALTER ANTONIO DANIEL GALLARDO o WALTER ANTONIO DANTE GALLARDO y ZALAZAR SUSANA MARIA POR EL DELITO DE HURTO SIMPLE Y ENCUBRIMIENTO EN PERJUICIO DE </t>
  </si>
  <si>
    <t>CABRERA FERNANDO GABRIEL Y AGÜERO JOAQUIN ABEL POR ESTAFA EN PERJ. DE MIRETTI ALBA ROSA</t>
  </si>
  <si>
    <t>187361/23</t>
  </si>
  <si>
    <t>VERA, YAMIL GUSTAVO Y VELAZQUEZ, GUSTAVO DAMIAN POR EL DELITO DEROBO CALIFICADO POR ESCALAMIENTO EN PERJUICIO DE</t>
  </si>
  <si>
    <t>187374/23</t>
  </si>
  <si>
    <t xml:space="preserve">FLORES ROMERO. RUBEN ALFREDO POR EL DELITO DE COACCION, LESIONES LEVES AGRAVADAS POR LA RELACION DE FAMILIA Y EL GENERO, AMENAZAS Y DESOBEDIENCIA JUDICIAL EN CONCURSO REAL EN PERJUICIO DE </t>
  </si>
  <si>
    <t>186984/23</t>
  </si>
  <si>
    <t>Suspendida por libertad en juzgado de origen</t>
  </si>
  <si>
    <t>Suspendida por otras causas procesales - aCUMULADA 187287/23</t>
  </si>
  <si>
    <r>
      <t xml:space="preserve">suspendida por pedido de partes y se remite al juzgado de origen - 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</si>
  <si>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rPr>
        <b/>
        <sz val="10"/>
        <color rgb="FF000000"/>
        <rFont val="Arial"/>
        <family val="2"/>
      </rPr>
      <t>ABREVIADO:</t>
    </r>
    <r>
      <rPr>
        <sz val="10"/>
        <color rgb="FF000000"/>
        <rFont val="Arial"/>
        <family val="2"/>
      </rPr>
      <t xml:space="preserve"> DOS AÑOS DE PRISIÓN DE EJECUCIÓN CONDICIONAL</t>
    </r>
  </si>
  <si>
    <t>COMENZO RETRASADA POR LLEGAR TARDE DEL IMPUTADO Y POR ARREGLO ENTRE LAS PARTES</t>
  </si>
  <si>
    <t>Prision Preventiva x 60 dias</t>
  </si>
  <si>
    <t>Intevino el Dr. Colombo en reemplazo de la Dra. Puertas (Carpeta Medica)</t>
  </si>
  <si>
    <t>ABREVIADO: 7 Meses EFECTIVA - Dr. Héctor Villa</t>
  </si>
  <si>
    <t>MOTIVO DE LA DEMORA: HABÍA OTRA AUDIENCIA ANTERIORMENTE - LA AUDIENCIA INICIÓ A LA HORA QUE INGRESÓ EL JUEZ</t>
  </si>
  <si>
    <r>
      <t xml:space="preserve">ABREVIADO: 2 AÑOS CONDICIONAL ---REMPLAZA </t>
    </r>
    <r>
      <rPr>
        <b/>
        <sz val="10"/>
        <rFont val="Arial"/>
        <family val="2"/>
      </rPr>
      <t>Dra. Lamas</t>
    </r>
  </si>
  <si>
    <t>Falto la Juez por pedido medico y se tardo en encontrar reemplazo</t>
  </si>
  <si>
    <t>RAMIREZ, RODRIGO LUCAS POR LOS DELITOS DE LESIONES LEVES AGRAVADAS POR MEDIAR RELACION DE PAREJA PREVIA Y DE GENERO, AMENAZAS, DESOBEDIENCIA JUDICIAL, RESISTENCIA A LA AUTORIDAD Y AMENAZAS EN CONCURSO REAL</t>
  </si>
  <si>
    <t>ABREVIADO: 4  meses EFECTIVA</t>
  </si>
  <si>
    <t>Demora porque subieron tarde a la imputada</t>
  </si>
  <si>
    <t>Demora en conectarse la Fiscal virtual</t>
  </si>
  <si>
    <t>CARLOS JESOS GALLARDO EFECTIVA 1 AÑO Y 2 MESES DE PRISION EFECTIVA COMPOSICIONALSolicita la revision por Gallardo</t>
  </si>
  <si>
    <t>Demora por arreglo entre las partes</t>
  </si>
  <si>
    <t xml:space="preserve">Prision Preventiva para los dos Imputados </t>
  </si>
  <si>
    <t>Demora por llegada muy tarde del Abogado Particular (08:45) Dr. Alarcon</t>
  </si>
  <si>
    <t>SUSPENDIDA POR DESESTIMIENTO DE REVISION DE PRISION PREVENTIVA POR PARTE DE LA DEFENSA</t>
  </si>
  <si>
    <t>LIBERTAD CON SUSTITUTIVAS -- -Se devuelve al juzgado de origen para su acumulacion a la  causa 186356/23</t>
  </si>
  <si>
    <t>Observación: No se presento el fiscal - Cuarto intermedio de 08:48 a 09:50</t>
  </si>
  <si>
    <t>ABREVIADO: 8 MESES CONDICIONAL</t>
  </si>
  <si>
    <t>Demora del Fiscal</t>
  </si>
  <si>
    <r>
      <rPr>
        <b/>
        <sz val="10"/>
        <rFont val="Arial"/>
        <family val="2"/>
      </rPr>
      <t>PRISION PREVENTIVA</t>
    </r>
    <r>
      <rPr>
        <sz val="10"/>
        <rFont val="Arial"/>
        <family val="2"/>
      </rPr>
      <t xml:space="preserve"> DR. MAMANÍ, NELSON (ABOGADO PARTICULAR DEL IMPUTADO RODRIGUEZ) AUDIENCIA reprogramada previamente - SS SOLICITA LA NTERVENCION A NUEVA DEFENSA POR INTERESES CONTRAPUESTOS</t>
    </r>
  </si>
  <si>
    <t>MOTIVO DE LA DEMORA: HABÍA OTRA AUDIENCIA ANTERIOR - LA VÍCTIMA SE COMUNICÓ VÍA REMOTA POR MEDIO DE UNA LLAMADA TELEFÓNICA</t>
  </si>
  <si>
    <r>
      <rPr>
        <b/>
        <sz val="10"/>
        <rFont val="Arial"/>
        <family val="2"/>
      </rPr>
      <t>SOBRESEIMIENTO POR CONCILACION Y SE OTORGA LA LIBERTAD</t>
    </r>
    <r>
      <rPr>
        <sz val="10"/>
        <rFont val="Arial"/>
        <family val="2"/>
      </rPr>
      <t xml:space="preserve"> C/Leg de Inv. Original por cuerda-- llegó el día 10/11/2023--</t>
    </r>
  </si>
  <si>
    <t>ABREVIADO: 2 AÑOS CONDICIONAL --  vista a la Asesoria en turno en fecha 14/11/2023</t>
  </si>
  <si>
    <t>COMENZO RETRASADA POR DESOCUPARSE LA SRA. JUEZ CON POSTERIORIDAD EN AUDIENCIA ANTERIOR</t>
  </si>
  <si>
    <t xml:space="preserve"> 11:28</t>
  </si>
  <si>
    <t>ABREVIADO: 3 MESES EFECTIVA</t>
  </si>
  <si>
    <t>MOTIVO DE LA DEMORA: EL FISCAL JOVANOVICS NO VINO, EN SU REEMPLAZO SE PRESENTO EL DR. CORDOBA</t>
  </si>
  <si>
    <t>JUI 3</t>
  </si>
  <si>
    <t>187236/23</t>
  </si>
  <si>
    <r>
      <rPr>
        <b/>
        <sz val="10"/>
        <rFont val="Arial"/>
        <family val="2"/>
      </rPr>
      <t>MARTINEZ GUTIERREZ, SERGIO MAURO</t>
    </r>
    <r>
      <rPr>
        <sz val="10"/>
        <rFont val="Arial"/>
        <family val="2"/>
      </rPr>
      <t xml:space="preserve"> POR HOMICIDIO CULPOSO POR LA CONDUCCION IMPRIDENTE, NEGLIGENTE O ANTIREGLAMENTARIA DE UN VEHICULO AUTOMOTOR CALIFICADO POR DARSE A LA FUGA Y NO INTENTAR SOCORRER A LA VICTIMA Y ABALLAY, BRIAN ANGEL POR EL DELITO DE ESCUBRIMIENTO EN PERJUICIO DE DANTE DANIEL LAUREANO</t>
    </r>
  </si>
  <si>
    <t>Dr. Palazzo Gutierrez, Rodrigo Daniel MP 3477</t>
  </si>
  <si>
    <t>187206/23</t>
  </si>
  <si>
    <t>IBAÑEZ, GONZALO FEDERICO POR EL DELITO DE LESIONES LEVES AGRAVADAS POR LA RELACION DE PAREJA PREVIA Y POR EL GENERO - DOS HECHOS EN CONCURSO REAL EN PERJUICIO DE IRIS NATALIA VERASAY</t>
  </si>
  <si>
    <t>Dra. Cala, Estela Noemi MP 5703</t>
  </si>
  <si>
    <t>Dr. Alonso Casimiro MP 5433</t>
  </si>
  <si>
    <t>SUSPENDIDA POR PEDIDOD E LA FISCALIA -- - - C/Abreviado incial</t>
  </si>
  <si>
    <t>187291/23</t>
  </si>
  <si>
    <t xml:space="preserve">BURGOS, FRANCISCO TENTATIVA DE HOMICIDIO AGRAVADO POR ALEVOSIA EN PERJUICIO DE JAIRO IVAN CABANA </t>
  </si>
  <si>
    <t>jui 3</t>
  </si>
  <si>
    <t>187461/23</t>
  </si>
  <si>
    <t>187255/23</t>
  </si>
  <si>
    <t>FLORES, MARIANO ADOLFO POR EL DELITO DE LESIONES LEVES AGRAVADAS POR EL VINCULO Y MEDIAR VIOLENCIA DE GENERO</t>
  </si>
  <si>
    <t>187381/23</t>
  </si>
  <si>
    <t>187542/23</t>
  </si>
  <si>
    <t xml:space="preserve">CHINCHILLA, JOSE ANTONIO o JOSE ALEJANDRO JEREZ o JUAN ALEJANDRO JEREZ o LUIS ALBERTO TORRESo LOPEZ o ALFREDO CASTRO o CLAUDIO TORRES en perjuicio de </t>
  </si>
  <si>
    <t>187547/23</t>
  </si>
  <si>
    <t>187360/23</t>
  </si>
  <si>
    <t>187283/23</t>
  </si>
  <si>
    <t>SANCHEZ, ROBERTO MARCELO o MARTINEZ, JOSE ALEJANDRO POR EL DELITO DE ESTELIONATO Y FALSIFICACION DE INTRUMENTO PRIVADO EN CONCURSO REAL</t>
  </si>
  <si>
    <t>187416/23</t>
  </si>
  <si>
    <t>Dra. Oriana Nevora MP 7532</t>
  </si>
  <si>
    <r>
      <rPr>
        <sz val="10"/>
        <color rgb="FFFF0000"/>
        <rFont val="Arial"/>
        <family val="2"/>
      </rPr>
      <t xml:space="preserve">VIRTUAL VICTIMA FISCALIA GUEMES </t>
    </r>
    <r>
      <rPr>
        <sz val="10"/>
        <rFont val="Arial"/>
        <family val="2"/>
      </rPr>
      <t>DELGADO, JOSÉ MARIA POR EL DELITO DE DESOBEDIENCIA JUDICIAL EN PERJUICIO DE GERMAN CECILIO DELGADO</t>
    </r>
  </si>
  <si>
    <r>
      <rPr>
        <sz val="10"/>
        <color rgb="FFFF0000"/>
        <rFont val="Arial"/>
        <family val="2"/>
      </rPr>
      <t xml:space="preserve">VIRTUAL CON VICTIMA EN FISCALIA - </t>
    </r>
    <r>
      <rPr>
        <sz val="10"/>
        <rFont val="Arial"/>
        <family val="2"/>
      </rPr>
      <t>SOSA MERIDA, ANTONELLA ABIGAIL POR EL DELITO DE AMENAZAS, COACCION, RESISTENCIA A LA AUTORIDAD Y HURTO SIMPLE EN CONCURSO REAL</t>
    </r>
  </si>
  <si>
    <t>187286/23</t>
  </si>
  <si>
    <t>ALEMAN, OCTAVIO FERNANDO NAHUEL POR EL DELITO DE ABUSO SEXUAL GRAVEMENTE ULTRAJANTE EN PERJUICIO DE YONAR, LUCIANA GUADALUPE</t>
  </si>
  <si>
    <t>Dr. Ignes, Juan Pablo 5960</t>
  </si>
  <si>
    <t>187544/23</t>
  </si>
  <si>
    <t>COLLAR. JONATHAN MATIAS POR ROBO SIMPLE EN PERJUICIO DE LUNA, LILIANA IRENE</t>
  </si>
  <si>
    <t>187116/23</t>
  </si>
  <si>
    <t>HECTOR MARTIN CORONEL POR EL DELITO DE ROBO AGRAVADO POR EL USO DE ARMA EN GRADO DE TENTATIVA EN PERJUICIO DE EMANUEL HUGO AGUSTIN ALCOBA EN CONCURSO REAL CON HOMICIDIO SIMPLE EN GRADO DE TENTATIVA . DOS HECHOS - EN CONCURSO REAL EN PERJUICIO DE TOMAS ALEJANDRO TARITOLAY ROJAS Y EMANUEL HUGO AGUSTIN ALCOBA</t>
  </si>
  <si>
    <t>187367/23</t>
  </si>
  <si>
    <r>
      <t>PRESO</t>
    </r>
    <r>
      <rPr>
        <sz val="10"/>
        <rFont val="Arial"/>
        <family val="2"/>
      </rPr>
      <t xml:space="preserve"> LAGOS Melisa Marianela - GUTIERREZ Federico Ramón - ISAIRE Tomas Francisco Nahuel  por ttv.  De ROBO en poblado y en Banda en perj. De Lopez Edgardo Rolando y acum 159834/19</t>
    </r>
  </si>
  <si>
    <t>RAMOS, GUILLERMO MAXIMILIANO POR COACCION, LESIONES LEVES AGRAVADAS POR LA RELACION DE PAREJA PREEXISTENTE Y DEGENERO EN CONCURSO REAL EN PERJUICIO DE PUITA, DORA FABIANA</t>
  </si>
  <si>
    <t>187358/23</t>
  </si>
  <si>
    <t>QUIROGA, VERONICA DEL VALLE Y CHOQUE, PEDRO SEGUNDO POR EL DELITO DE TENENCIA DE ESTUPEFACIENTES CON FINES DE COMERCIALIZACION EN PERJUICIO DE LA SALUD PUBLICA</t>
  </si>
  <si>
    <t>Dr. López, Agustín MP 5266</t>
  </si>
  <si>
    <t>Dra. Maria Agostina Cuellar Granados</t>
  </si>
  <si>
    <t>LIBERTAD CON SUSTITUTIVAS -- Asesoria de Menores Nº 3</t>
  </si>
  <si>
    <t>COMENZO LA AUDIENCIA SIN FISCALIA ATENTO A LA PRESENTACION EFECTUADA EN EL JUZGADO DE ORIGEN</t>
  </si>
  <si>
    <t>Inicio de audiencia retrasado por demora en audiencia anterior.</t>
  </si>
  <si>
    <t>SUSPENDIDA. la imputado había designado como defensa al Dr. Poclava en la Fiscalia de Güemes, al cual no se le curso notificacion ya que nunca se informo a OFIJU.</t>
  </si>
  <si>
    <t xml:space="preserve"> 09.17</t>
  </si>
  <si>
    <r>
      <rPr>
        <b/>
        <sz val="10"/>
        <rFont val="Arial"/>
        <family val="2"/>
      </rPr>
      <t>LIBERTAD CON SUSTITUTIVAS ---</t>
    </r>
    <r>
      <rPr>
        <sz val="10"/>
        <rFont val="Arial"/>
        <family val="2"/>
      </rPr>
      <t xml:space="preserve"> el 09/11 se suspende audiencia del 10/11 por falta de horario del Dr. Maggio SE reprograma</t>
    </r>
  </si>
  <si>
    <t>COMENZO RETRASADA POR ARREGLO ENTRE LAS PARTES</t>
  </si>
  <si>
    <t>JUICIO ABREVIADO CONDENADO A UNA MES Y TRES DIAS DE PRISION EFECTIVA</t>
  </si>
  <si>
    <t>COMENZO VIA REMOTA LA SRA. AUXILIAR FISCAL</t>
  </si>
  <si>
    <t xml:space="preserve">Juicio abreviado - 2 meses efectiva para Quiroga y Vargas y sobreseimiento para Llanos </t>
  </si>
  <si>
    <t>Motivo atraso: Tratativa entre las partes (Defensa/Imputado)</t>
  </si>
  <si>
    <t>3 MESES DE PRISION EFECTIVA</t>
  </si>
  <si>
    <t>DEMORA FISCAL, DEMORA POR ARREGLO ENTRE LAS PARTES</t>
  </si>
  <si>
    <r>
      <rPr>
        <b/>
        <sz val="10"/>
        <rFont val="Arial"/>
        <family val="2"/>
      </rPr>
      <t>PRISION PREVENTIVA ASESORA INCAPACES Nº 6 - Dra. Ibarguren</t>
    </r>
    <r>
      <rPr>
        <sz val="10"/>
        <rFont val="Arial"/>
        <family val="2"/>
      </rPr>
      <t xml:space="preserve"> SE REMite el presente exp en el día de la fecha 06/11/2023 a la Asesoría de Menores e Incapaces en turno para la intervencion por el menor</t>
    </r>
  </si>
  <si>
    <t>SUSPENDIDA Posible intervencion del Dr. AGUSTIN LOPEZ por el inv. Villanueva</t>
  </si>
  <si>
    <t>Libertad con nsustitutivas</t>
  </si>
  <si>
    <t>Motivo atraso: subieron tarde al imputado</t>
  </si>
  <si>
    <t>Çjuicio abreviado 2 meses efectiva</t>
  </si>
  <si>
    <t>Motivo atraso: subieron tarde al mputado</t>
  </si>
  <si>
    <t>Prision preventiva -       Audiencia realiza Dra. Pedraza - Dra. Albornoz, Laura de los Ángeles como representante legal de la víctima (no es querellante); y Asesorìa de Menores e Incapaces Nº 6</t>
  </si>
  <si>
    <t>SUSPENDIDA por incomparencia de la defensa   -   Dr. Fernando Diaz Zabalaga MP 4432 (Parron Baldoni)</t>
  </si>
  <si>
    <t>FIGUEROA, NATALIA SOLEDAD Y SANCHEZ. CESAR GUSTAVO POR EL DELITO DE HURTO SIMPLE</t>
  </si>
  <si>
    <t>MOHAMD</t>
  </si>
  <si>
    <t>Cantidad de dias desde ingreso de escrito hasta la fecha de audiencia</t>
  </si>
  <si>
    <t>Pedidos de Prision preventiva ingresados</t>
  </si>
  <si>
    <t>Cantidad de Audiencias realizadas por mes</t>
  </si>
  <si>
    <t>Promedio diario en el mes</t>
  </si>
  <si>
    <t>Septiembre</t>
  </si>
  <si>
    <t>Promedio total diario</t>
  </si>
  <si>
    <t>Motivoa traso: subieron tarde al imputado</t>
  </si>
  <si>
    <t>Juicio abreviado - 4 meses condicional</t>
  </si>
  <si>
    <t>Suspendida por pedido fiscal (para acumulación de causas)</t>
  </si>
  <si>
    <t>Motivo atraso: tratativa entre las partes (Fiscal/Victima)</t>
  </si>
  <si>
    <t xml:space="preserve"> 10:34</t>
  </si>
  <si>
    <t>Motivoa atraso: audiencia previa</t>
  </si>
  <si>
    <t>Arresto domiciliario - Asesoria de Incapaces Nº 10</t>
  </si>
  <si>
    <t>Juicio abreviado - 1 mes y 15 dias efectiva</t>
  </si>
  <si>
    <r>
      <t xml:space="preserve">Se remite el expediente al Juzgado de Origen quien le otorga la </t>
    </r>
    <r>
      <rPr>
        <b/>
        <sz val="10"/>
        <rFont val="Arial"/>
        <family val="2"/>
      </rPr>
      <t>LIBERTAD</t>
    </r>
    <r>
      <rPr>
        <sz val="10"/>
        <rFont val="Arial"/>
        <family val="2"/>
      </rPr>
      <t xml:space="preserve"> -- Dr. Luciano Romano por la investigada Figueroa, Marria Soledad</t>
    </r>
  </si>
  <si>
    <t xml:space="preserve">SUVIA, JORGE ALBERTO POR AMENAZAS CON ARMA Y DAÑOS EN PERJUICIO DE </t>
  </si>
  <si>
    <t>187387/23</t>
  </si>
  <si>
    <t>186866/23</t>
  </si>
  <si>
    <t>187614/23</t>
  </si>
  <si>
    <t>FARFAN Segura Ramiro Daniel por Robo AMENAZAS en perj. De GUTIERREZ Corina Etel</t>
  </si>
  <si>
    <t xml:space="preserve"> 12:25</t>
  </si>
  <si>
    <t>187561/23</t>
  </si>
  <si>
    <t>RIOS Diego por ROBO SIMPLE en perj. De ARANDA Maria Rosa</t>
  </si>
  <si>
    <t>187543/23</t>
  </si>
  <si>
    <t>187607/23</t>
  </si>
  <si>
    <t>CABRERA CALA, JOSE MANUEL POR EL DELITO DE AMENAZAS Y DESOBEDIENCIA JUDICIAL EN CONCURSO REAL en perj. De HERRERA Silvia</t>
  </si>
  <si>
    <t>LOBO, GUSTAVO MANUEL POR EL DELITO DE GROOMING EN PERJUICIO DE menores - Denuncia SAJAMA Lorena</t>
  </si>
  <si>
    <t>Dr. Vaercellino Vicente MP 5839</t>
  </si>
  <si>
    <t xml:space="preserve">VICEVIC, EMILIANO EXEQUIEL POR DELITO DE HURTO EN PERJUICIO de VILLAROEL Adriana </t>
  </si>
  <si>
    <t>PICHOTTI, EXEQUIEL GASTON POR EL DELITO DE ROBO CALIFICADO POR EL USO DE ARMA EN GRADO DE TENTATIVA EN PERJUICIO DE GUTIERREZ Isac Maximliano</t>
  </si>
  <si>
    <t>187417/23</t>
  </si>
  <si>
    <t>ABREVIADO: 10 (DIEZ) MESES DE PRISIÓN DE EJECUCIÓN CONDICIONAL prorroga de la detención</t>
  </si>
  <si>
    <t>MOTIVO DE LA DEMORA: CAMBIO DE SALA DE AUDIENCIAS PORQUE HABÍA OTRA AUDIENCIA DE JUICIO - ACUERDO ENTRE LAS PARTES - DEFENSA PARTICULAR LLEGÓ DESPUÉS DE HORA.</t>
  </si>
  <si>
    <t>ABREVIADO: 2 MESES EFECTIVA + REISIDENTE POR 4TA VEZ</t>
  </si>
  <si>
    <t>Se tuvo que cambiar de Sala por superposición. Se efectúa la misma en GARANTÍAS 7 - Demora porque la Defensa se encontraba en otra audiencia.</t>
  </si>
  <si>
    <t>JUICIO ABREVIADO CONDENADO A SEIS MESE DE PRISION DE EJECUCION CONDICIONAL  prorroga de la detención -390</t>
  </si>
  <si>
    <t xml:space="preserve">COMENZO RETRASADA POR LLEGAR FUERA DE HORARIO EL IMPUTADO DEBIDO A SU TRASLADO DESDE LA LOCALIDAD DE EL CARRIL Y POR ARREGLO PREVIO ENTRE LAS PARTES </t>
  </si>
  <si>
    <t>Cuarto intermedio de 08:46 a 09:12 Motivo atraso: Tratativa entre las partes</t>
  </si>
  <si>
    <t>MOTIVO DE LA DEMORA: ACUERDO ENTRE LAS PARTES - LA AUDIENCIA INICIÓ A LA HORA QUE INGRESÓ S.S. JUEZ DRA. SANDRA ESPECHE</t>
  </si>
  <si>
    <t>DEMORA FISCAL</t>
  </si>
  <si>
    <t>ARRESTO DOMIICLIARIO</t>
  </si>
  <si>
    <t>en fecha 22/11 Se devuelve al juzgado de origen por solicitud d e libertad presentada por el fiscal en causa 187096/23 devuelta a ofiju el dia 23/11</t>
  </si>
  <si>
    <t>187458/23</t>
  </si>
  <si>
    <t xml:space="preserve">GUERRERO, JORGE ARMANDO POR EL DELITO DE AMENAZAS EN CONCURSO REAL CON ROBO AGRAVADO POR SER PERPRETRADO EN POBLADO Y EN BANDA EN GRADO DE TENTATIVA EN PERJUICIO DE </t>
  </si>
  <si>
    <t>187378/23</t>
  </si>
  <si>
    <t>183940/23</t>
  </si>
  <si>
    <t>MERCELA NOELIA DE LOS ÁNGELES GARNICA, ROBERTO CHAILE; CLAUDIA MARÍA DE LOS ANGELES CHAILE; NICOLE AYELEN CHAILE, ANIBAL RUBÉN RUIZ, FACUNDO ESCALANTE; Y JOSE HERNAN LIENDRO POR EL DELITO DE TENENCIA DE ESTUPEFACIENTES CON FINES DE COMERCIALIZACIÓN EN PERJUICIO DE LA SALUD PUBLICA</t>
  </si>
  <si>
    <t>187428/23</t>
  </si>
  <si>
    <t xml:space="preserve">LOPEZ, JOSIAS NATANAEL POR EL DELITO DE LESIONES LEVES AGRAVADAS POR MEDIAR RELACION DE PAREJA PREVIA Y GENERO EN PERJUICIO DE LA SRA. VELAZQUEZ DAIANA DEL VALLE </t>
  </si>
  <si>
    <t>187384/23</t>
  </si>
  <si>
    <t>COPA, ANDRES HERNAN POR EL DELITO DE AMENAZAS EN PERJUICIO DE LA SRA. MARCELA COPA Y VIOLACION DE DOMICILIO, AMENAZAS Y LESIONES LEVES AGRAVADAS POR EL GENERO EN PERJUICIO DE ANDREA COPA</t>
  </si>
  <si>
    <t>187611/23</t>
  </si>
  <si>
    <t>CHOQUE, JORGE LUIS POR LESIONES LEVES Y AMENAZAS EN CONCURSO REAL EN PERJUICIO DE CHOQUE, CRISTIAN DANUEL</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</si>
  <si>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</si>
  <si>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187545/23</t>
  </si>
  <si>
    <t xml:space="preserve">AYBAR, VICTOR GERMAN POR EL DELITO DE DESOBEDIENCIA JUDICIAL, LESIONES AGRAVADSA OIR KA REKACUIBO PREEXISTENTE Y CONTITUIR VIOLENCIA DE GENERO, AMENAZAS, AMENAZAS CON ARMA Y COACCION; DESOBEDIENCIA JUDICIAL, LESIONES AGRAVADAS POR LA RELACION DE PAREJA PREEXISTENTE Y POR CONSTITUIR VIOLENCIA DE GENERO; AMENAZAS Y PRIVACIÒN ILEGITIMA DE LA LIBERTAD  EN PERJUIOCIO DE BALDIVIEZO, ABIGAIL RAQUEL </t>
  </si>
  <si>
    <t>CARDOZO, EMANUEL ESTEBAN Y TEJEDA, JORGE LUIS POR EL DELITO DE ROBO AGRAVADO POR TRATARSE DE VEHICULO DEJADOS EN LA VIA PUBLICA EN GRADO DE TENTATIVA</t>
  </si>
  <si>
    <t>187548/23</t>
  </si>
  <si>
    <t>CHOCOBAR, RUBEN RODOLFO; OCAMPO, GERMANO ISMAEL; FERREIRA, GUILLERMO DANIEL POR TENENCIA DE ESTUPEFACIENTES CON FINES DE COMERCALIZACIÓN AGRAVADA POR LA PARTICIPACIÓN DE MAS DE TRES PERSONAS EN FORMA ORGANIZADA</t>
  </si>
  <si>
    <t>DIMIITRICOFF</t>
  </si>
  <si>
    <t>187434/23</t>
  </si>
  <si>
    <t>HUMANO, JOSE MANUEL MARTIN POR EL DELITO DE LESIONES LEVES AGRAVADAS POR LA RELACION DE PAREJA PREEXISTENTE Y AMENAZAS EN PERJUICIO DE MEJIAS, CINTHIA ELIZABETH</t>
  </si>
  <si>
    <t>SANCHEZ MARIO FERNANDEZ POR ROBO SIMPLE - LLANOS MAXIMILIANO LUIS OPR ROBO SIMPLE EN PERJ. DE NN</t>
  </si>
  <si>
    <t>ORTIZ FRANCISCO NICOLAS POR AMENAZAS - DESOBEDIENCIA JUDICIAL EN PERJ. DE ORTIZ MARCELO EXEQUIEL</t>
  </si>
  <si>
    <t>LEANDRA MAIDA POR AMENAZAS - DAÑOS - DESOBEDIENCIA JUDICIAL EN PERJ. DE JUAN JUAN PABLO DARIO Y LEANDRA SONIA</t>
  </si>
  <si>
    <t>187516/23</t>
  </si>
  <si>
    <t>MARTINEZ, CARLOS ALFREDO POR EL DELITO DE VIOLACION DE DOMICILIO, HURTO EN GRADO DE TENTATIVA, PRIVACION ILEGITIMA DE LA LIBERTAD, COACCION ARGAVADA POR EL USO DE ARMA Y ROBO EN PERJUICIO DE LA SRA. GONZALEZ, LISETTE ROCIO</t>
  </si>
  <si>
    <t>187684/23</t>
  </si>
  <si>
    <t xml:space="preserve">RUEDA, EZEQUIEL JOSE ANTONIO POR EL DELITO DE ABUSO SEXUAL CON ACCESO CARNAL EN PERJUICIO DE SPOJA IBAÑEZ, MAIRA AGOSTINA </t>
  </si>
  <si>
    <t>187520/23</t>
  </si>
  <si>
    <t>187517/23</t>
  </si>
  <si>
    <t>ERIK ROBERTO NICOLAS PINTO POR EL DELITO DE ABUSO SEXUAL CON ACCESO CARNAL EN CONCURSO IDEAL DE PRIVACION ILEGITIMA DE LA LIBERTAD EN PERJUICIO DE CANDELARIA ZUPAN NICOLINI</t>
  </si>
  <si>
    <t>187526/23</t>
  </si>
  <si>
    <t>187638/23</t>
  </si>
  <si>
    <t>187401/23</t>
  </si>
  <si>
    <t xml:space="preserve">LLANES, WALTER ISAC POR EL DELITO DE AMENAZAS CON ARMA Y COACCION, DESOBEDIENCIA JUDICIAL; PRIVACIÓN ILEGITIMA DE LA LIBERTAD AGRAVADA POR LA VIOLENCIA DE GENERL, COACCION, LESIONES LEVES Y AMENAZAS CON ARMA </t>
  </si>
  <si>
    <t>187141/23</t>
  </si>
  <si>
    <t>187409/23</t>
  </si>
  <si>
    <t>187168/23</t>
  </si>
  <si>
    <t>Dr. Velazquez, Elias Nahuel MP N 7600</t>
  </si>
  <si>
    <t>187525/23</t>
  </si>
  <si>
    <t>187369/23</t>
  </si>
  <si>
    <t>ROMERO, CRISTIAN MARTIN POR EL DELITO DE DESOBEDIENCIA JUDICIAL - TRES HECHOS -, VIOLACION DE DOMICILIO - TRES HECHOS, HURTO Y AMENAZAS EN CONCURSO REAL</t>
  </si>
  <si>
    <t>VILLAROEL, FACUNDO EMILIANO POR EL DELITO DE ROBO SIMPLE EN PERJUICIO DE PEREYRA GOMEZ DAIRA AGOSTINA</t>
  </si>
  <si>
    <t>TORRES, IVAN MAXIMILIANO POR EL DELITO DE DESOBEDIENCIA JUDICIAL EN PERJUICIO DE TORRES KAREN GISEKA Y MENACHO MIRTA ANGELICA</t>
  </si>
  <si>
    <t>VICOCEHA, DIEGO FERNANDO POR EL DELITO DE AMENAZAS DOS HECHOS, AGRESION CON ARMA IMPROPIA AGRAVADA Y VIOLACION DE DOMICILIO EN PERJUICIO DE RODRIGUEZ, LORENA DAIANA</t>
  </si>
  <si>
    <r>
      <rPr>
        <b/>
        <sz val="10"/>
        <rFont val="Arial"/>
        <family val="2"/>
      </rPr>
      <t xml:space="preserve">DENHER OSORIO DO VALLE </t>
    </r>
    <r>
      <rPr>
        <sz val="10"/>
        <rFont val="Arial"/>
        <family val="2"/>
      </rPr>
      <t xml:space="preserve">Y VICTOR FACUNDO ONESTI POR EL DELITO DE ROBO SIMPLE EN PERJUICIO DE </t>
    </r>
  </si>
  <si>
    <t>SEGOVIA, OCTAVIO JOSE LEANDRO POR EL DELITO DE DESOBEDIENCIA JUDICIAL TRES HECHOS Y AMENAZAS EN PERJUICIO DE JAEL ALIT ALE</t>
  </si>
  <si>
    <t>186806/23</t>
  </si>
  <si>
    <t>LOPEZ, NICOLAS EMANUEL POR ROBO CALIFICADO POR EL USO DE ARMA; ROBO SIMPLE . DOS HECHOS - Y ROBO CALIFICADO POR EFRACCIÓN EN PERJUICIO DE  JUAN PABLO DIAZ</t>
  </si>
  <si>
    <t>187677/23</t>
  </si>
  <si>
    <t>SUAREZ DIAZ ROMERO, ROBERTO NICOLAS POR EL DELITO DE AMENAZAS EN PERJUICIO DE NAVARRO DIAZ ROMERO, ROCIO ALDANA</t>
  </si>
  <si>
    <t xml:space="preserve">RUEDA, IVAN GREGORIO POR EL DELITO DE LESIONES LEVES AGRAVADAS POR LA RELACION DE PAREJA PREEXISTENTE Y MEDIAR VIOLENCIA DE GENERO </t>
  </si>
  <si>
    <t>187663/23</t>
  </si>
  <si>
    <t>VALERDO, ALEJANDRO CARLOS ADRIAN POR EL DELITO DE ABUSO SEXUAL SIMPLE EN PERJUICIO DE B.D.N.S. MENOR</t>
  </si>
  <si>
    <t>181486/23</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</si>
  <si>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</si>
  <si>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t>187661/23</t>
  </si>
  <si>
    <t>187373/23</t>
  </si>
  <si>
    <t>VALDEZ, JHONATAN DARIO por desobediencia judicial en perjuicio de Sanchez Salas, Yamila</t>
  </si>
  <si>
    <t>DOC ENRIQUE</t>
  </si>
  <si>
    <t>Motivo atraso: Llego tarde el abogado particular</t>
  </si>
  <si>
    <t>Juicio abreaciado - 5 meses efectiva -- CAMBIO DE SALA DE GAR 4 A GAR 5</t>
  </si>
  <si>
    <t>Cuarto intermedio de 09:01 a 09:06 - Moativo atraso: llevaron tarde al detenido</t>
  </si>
  <si>
    <t xml:space="preserve">Cuarto intermedio de 09:10 a 09:32 Motivo atraso: se estaba viendo la presentación de la querella </t>
  </si>
  <si>
    <t>M;otivo atraso: llego tarde el fiscal</t>
  </si>
  <si>
    <t>Juicio abreaviado - 3 meses efectiva</t>
  </si>
  <si>
    <t xml:space="preserve"> 11:04</t>
  </si>
  <si>
    <t>MARTIN ROMERO</t>
  </si>
  <si>
    <r>
      <rPr>
        <b/>
        <sz val="10"/>
        <rFont val="Arial"/>
        <family val="2"/>
      </rPr>
      <t xml:space="preserve">SUSPENDIDA </t>
    </r>
    <r>
      <rPr>
        <sz val="10"/>
        <rFont val="Arial"/>
        <family val="2"/>
      </rPr>
      <t>por orden del juez por la llegada tarde del abogado particular</t>
    </r>
  </si>
  <si>
    <t>Suspendida por pedido del juez, por la llegada tarde del defensor que se encontraba en otra audiencia - REPROGRAMAR</t>
  </si>
  <si>
    <t>Juicio abreaviado - 9 meses efectiva</t>
  </si>
  <si>
    <t>Suspendida por renuncia del abogado particular - Querellante Dr. Jandula Ezequiel - Posible intervencion del Dr. AGUSTIN LOPEZ por el inv. Villanueva</t>
  </si>
  <si>
    <t>Motivo atraso: llegada tarde del abogado particular</t>
  </si>
  <si>
    <t>PRISIÓN PREVENTIVA</t>
  </si>
  <si>
    <t>Motivo atraso: subieron tarde el imputado</t>
  </si>
  <si>
    <t>Juicio abreviado - Vaqueda 4 años efectivo unificando a 6 años y 6 meses ; Liendroo 4 años efectiva - Dra. Laura Flores Mejias por Vaqueda y Dr. Chavez Toledo Maximiliano por Liendro</t>
  </si>
  <si>
    <t>Juicio abreaviado - 2 meses efectiva</t>
  </si>
  <si>
    <t>Prision preventiva - Asesoria de incapaces 7 - Dra. Quintero</t>
  </si>
  <si>
    <t>Motivo atraso: llego tarde la asesora</t>
  </si>
  <si>
    <t>Juicio abreaviado 1 año condicional</t>
  </si>
  <si>
    <t xml:space="preserve"> 12:33</t>
  </si>
  <si>
    <t>Motivo atraso: espera de la fiscalia la cual no llego</t>
  </si>
  <si>
    <t>Motivo atraso: subieron tarde al imputado por falta de revisiòn medica</t>
  </si>
  <si>
    <t>Arresto domiciliario para todos los imputados - Dr. Torres defiende a 4 Imp. Cristian Gutierrez Blanco; Esteban Gutierrez Blanco; Alvaro Gutierrez Blanco; y Carlos Serrano --- Dr. Molina y Avila por el Sr. Miguel Vera; --- Dra. Arce por el Sr. Pablo Burgos; y Dra. Godoy por Moreno Julian</t>
  </si>
  <si>
    <t>Motivo atraso: por pedido del fiscal ya que tenia otra audiencia a hs 08:45</t>
  </si>
  <si>
    <t>187636/23</t>
  </si>
  <si>
    <t>187518/23</t>
  </si>
  <si>
    <t>LEMOS, MANUEL ARTURO POR EL DELITO DE LESIONES LEVES AGRAVADAS POR LA RELACION DE PAREJA PREVIA Y VIOLENCIA DE GENERO, PRIVACION ILEGITIMA DE LA LIBERTAD AGRAVAD EN CONCURSO REAL EN PERJUICIO DE OVANDO ALDANA DEL MILAGRO</t>
  </si>
  <si>
    <t>187676/23</t>
  </si>
  <si>
    <t>RODRIGUEZ, EMANUEL ENZO POR ELDELITO DE LESIONES LEVES AGRAVADAS POR LA RELACION DE PAREJA PREEXISTENTE Y POR MEDIAR VIOLENCIA DE GENERO</t>
  </si>
  <si>
    <t>187705/23</t>
  </si>
  <si>
    <t>187606/23</t>
  </si>
  <si>
    <t>YAPURA, JESUS GABRIEL Y CARLOS SAUL CONDORI POR EL DELITO DE ROBO SIMPLE EN GRADO DE TENTATIVA EN PERJUICIO DE HERRERA, SANTIAGO</t>
  </si>
  <si>
    <t xml:space="preserve">NELSON FRANCISGO GUZMAN o NELSON RAFAEL FRANCISCO GUZMAN o NELSON FRANCISCO GUZMAN CANAVIDES POR EL DELITO DE LESIONES LEVES EN PERJUICIO DE </t>
  </si>
  <si>
    <t xml:space="preserve">ALBA, JACQUENINE BRISA CANDELA POR TENENCIA DE ESTUPEFACIENTES CON FINES DE COMERCIALIZACION AGRAVADA POR LA PARTICIPACION DE TRES O </t>
  </si>
  <si>
    <r>
      <rPr>
        <sz val="10"/>
        <color rgb="FFFF0000"/>
        <rFont val="Arial"/>
        <family val="2"/>
      </rPr>
      <t>VIRTUAL CON FISCAL DRA.DAVALOS</t>
    </r>
    <r>
      <rPr>
        <sz val="10"/>
        <rFont val="Arial"/>
        <family val="2"/>
      </rPr>
      <t xml:space="preserve"> - FONSECA, EMILIANO DIEGO MATIAS POR EL DELITO LESIONES GRAVES AGRAVADAS POR EL GENERO Y POR EL VINCULO Y AMENAZAS EN PERJUICIO DE RIVERA MAIA LUZ</t>
    </r>
  </si>
  <si>
    <t>libertad con sustitutivas</t>
  </si>
  <si>
    <t>Motivo atraso: empezo tarde la audiencia el juez</t>
  </si>
  <si>
    <t>Suspensón de juicio a prueba</t>
  </si>
  <si>
    <t>Motivo atraso: Llego tarde el Fiscal</t>
  </si>
  <si>
    <t>Libertad con medidas sustitutivas - Asesoria de Incapaces Nº 4 interviene por el (retraso madurativo)</t>
  </si>
  <si>
    <t>Juicio abreviado - 6 meses efectiva para Rodriguez y 6 meses condicional para Roldan y Saldaña y Sobreseimiento para Herrera</t>
  </si>
  <si>
    <t>Juicio abreaciado - 2 años condicionalProrroga de la Detencion 390</t>
  </si>
  <si>
    <r>
      <t xml:space="preserve">Juicio abreaviado 5 meses efectiva para Sanchez y Suspension de juicio a prueba para Figueroa - Cuarto intermedio desde 29/11 al 01/12 - Se remite el expediente al Juzgado de Origen quien le otorga la </t>
    </r>
    <r>
      <rPr>
        <b/>
        <sz val="10"/>
        <rFont val="Arial"/>
        <family val="2"/>
      </rPr>
      <t>LIBERTAD  Figueroa</t>
    </r>
    <r>
      <rPr>
        <sz val="10"/>
        <rFont val="Arial"/>
        <family val="2"/>
      </rPr>
      <t xml:space="preserve"> -- Dr. Luciano Romano por la investigada Figueroa, Marria Soledad</t>
    </r>
  </si>
  <si>
    <t xml:space="preserve"> 11:20</t>
  </si>
  <si>
    <t xml:space="preserve"> 11:29</t>
  </si>
  <si>
    <t>Juicio abreaviado 8 meses condicional - SE adelanta audiencia del 11/12 al 01/12 cambio juez</t>
  </si>
  <si>
    <t xml:space="preserve"> 12:40</t>
  </si>
  <si>
    <t>Motivo atraso: atrativa entre las partes</t>
  </si>
  <si>
    <t>Juicio abreaviado 4 AÑOS DE EFECTIVA (LUCIANA) Y 2 AÑOS DE CONDICIONAL (ORIANA) - La Sra, Vergara Ivana se presentó con el Dr. Ramos, Ganzalo Emanuel</t>
  </si>
  <si>
    <t>Prisión preventiva por 20 dias</t>
  </si>
  <si>
    <t>ABREVIADO 1 año condicional-  CON SOLICITUD DE ABREVIADO INICIAL</t>
  </si>
  <si>
    <t>187667/23</t>
  </si>
  <si>
    <t>FLORES, LUCAS MIGUEL ANDRES POR EL DELITO DE DESOBEDIENCIA JUDICIAL, VIOLACION DE DOMICILIO, HURTO SIMPLE EN CONCURSO REAL; DESOBEDIENCIA JUDICIAL Y VIOLACION DE DOMICILIO; DESOBEDIENCIA JUDICIAL - DOS HECHOS; HURTO SIMPLE; COACCION, EN PERJUICIO DE LA SRA. ANABEL CELINA AVALOS</t>
  </si>
  <si>
    <t>187708/23</t>
  </si>
  <si>
    <t>NOLASCO, FRANCO EMANUEL POR DAÑOS, DESOBEDIENCIA JUDICIAL, HURTO Y VIOLACION DE DOMICILIO; VIOLACION DE DOMICILIO TRES HECHOS- AMENAZAS, DESOBEDIENCIA JUDICIAL - 3 HECHOS Y COACCION EN PERJUICIO DE ROJA GOMEZ, FAVIOLA TRIANZI</t>
  </si>
  <si>
    <t>187680/23</t>
  </si>
  <si>
    <t>CUEVAS, IBER GABRIEL POR EL DELITO DE ABUSO SEXUAL CON ACCESO CARNAL EN PERJUICIO DE LA MENOR G.A.A.</t>
  </si>
  <si>
    <t>08::55</t>
  </si>
  <si>
    <t>187603/23</t>
  </si>
  <si>
    <t xml:space="preserve">AGUIRRE, MARIO ALEJANDRO POR EL DELITO DE ABUSO SEXUAL CON ACCESO CARNAL EN PERJUICIO DE </t>
  </si>
  <si>
    <t>187558/23</t>
  </si>
  <si>
    <t>187482/23</t>
  </si>
  <si>
    <t>GUAYMAS, ALBERTO GABRIEL POR EL DELITO DE ABUSO SEXUAL CON ACCESO CARNAL CON MENOR DE 18 AÑOS EN CONCURSO REAL CON ABUSO SEXUAL GRAVEMENTE ULTRAJANTE CON MENOR DE 18 AÑOS EN CONCURSO REAL EN PERJUICIO DE LA MENOR M.A.Z.</t>
  </si>
  <si>
    <t>DIAZ, NORMA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</si>
  <si>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Motivo atraso: medico no reviso al imptado</t>
  </si>
  <si>
    <t>NO hacer lugar al pedido de Prision Preventiva en estas actuaciones GAR 177464/22 - sin perjucio de lo dispuesto en GAR Principal (PP) - Con exp. Acumulado GAR 186361/23</t>
  </si>
  <si>
    <t>Libertad con emdidas sustitutivas</t>
  </si>
  <si>
    <t xml:space="preserve">Prsión preventiva </t>
  </si>
  <si>
    <t>PRISIÓN PREVENTIVA PARA OGANEKU CLAUDIO Y PRISIÓN DOMICILIARIA PARA EL RESTO DE LOS IMPUTADOS</t>
  </si>
  <si>
    <t>Abreaviado 2 años condicional</t>
  </si>
  <si>
    <t>Motivoa traso: tratativa entre las partes</t>
  </si>
  <si>
    <t>Suspendida por encontrarse el imputado internado</t>
  </si>
  <si>
    <t>RODRIGUEZ, GABRIEL EXEQUIEL POR EL DELITO DE ROBO SIMPLE EN PERJUICIO DE SICILIANO SILVANA ESELA BEATRIZ</t>
  </si>
  <si>
    <t>IBARRA MIGUEL FRANCISCO POR EXHIBICIONES OBSCENAS AGRAVADOS EN PRESENCIA DE DOS MENORE DE EDAD (DOS HECHOS) EN CONCURSO REAL POR EXHIBICIIONES OBCENAS EN PERJ. DE NN (-) Y SALINAS MARTINA</t>
  </si>
  <si>
    <t>Dr. Alasia, Sergio MP Nº 6160</t>
  </si>
  <si>
    <t>CARRANZA, ANGEL MANUEL POR EL DELITO DE ROBO EN PERJUICIO DE GABRIEL EPIFANIO MOYA y expediente acumulado GAR 182609/23</t>
  </si>
  <si>
    <t>Villa</t>
  </si>
  <si>
    <t xml:space="preserve">DURAN Carlos Alfredo Hurto Simple y robo Calificado por Ser en Poblado y en Banda en Concurso Real en perj. Vera Maximiliano y de Mendoza Omar </t>
  </si>
  <si>
    <t>ALANCAY, HUGO EDUARDO POR ABUSO SEXUAL CON ACCESO CARNAL AGRAVADO POR LA GUARDA Y LA CONVIVENCIA EN PERJUICIO DE C.M.L.A.</t>
  </si>
  <si>
    <t>se remite en devolucion para libertad 01/12/2023 - Garantías 4 informa que le dio la libertad</t>
  </si>
  <si>
    <t>FLORES, EZEQUIEL MANUEL POR EL DELITO DE DESOBEDIENCIA JUDICIAL EN PERJUICIO DE SALINAS, SANDRA ELIZABETH</t>
  </si>
  <si>
    <t>187529/23</t>
  </si>
  <si>
    <t xml:space="preserve">MORENO, JORGE ARMANDO POR EL DELITO DE ROBO SIMPLE ATENTADO A LA AUTORIDAD AGRAVADO POR COMETERSE A MANO ARMADA EN PERJUICIO DE GUANCA CARLOS CRISOSTOMO </t>
  </si>
  <si>
    <t>187550/23</t>
  </si>
  <si>
    <t>THIZ, EZEQUIEL ALFREDO POR EL DELITO DE TENENCIA DE ESTUPEFACIENTES CON FINES DE COMERCIALIZACIÓN EN PERJUICIO DE LA SALUD PUBLICA</t>
  </si>
  <si>
    <t>187555/23</t>
  </si>
  <si>
    <t>GUTIIERREZ, NESTOR MARCELO POR EL DELITO DE AMENAZAS, PRIVACIÓN ILEGITIMA DE LA LIBERTAD AGRAVADA POR EL USO DE ARMA Y POR TRATARSE LA VICTIMA DE UNA PERSONA A LA QUE SE DEBE PARTICULAR RESPETO EN PERJUICIO DE CRUZ, PAOLA GABRIELA</t>
  </si>
  <si>
    <t>187073/23</t>
  </si>
  <si>
    <t xml:space="preserve">SANDRA, MARCELA CORDOBA (a) Sabelo POR EL DELITO DE HOMICIDIO CALIFICADO POR REALIZARSE CON ENSAÑAMIENTO Y ALEVOSIA EN PERJUICIO DE EDUARDO ANTONIO PORTAL </t>
  </si>
  <si>
    <t>187163/23</t>
  </si>
  <si>
    <t>CRUZ, YOEL LEONCIO POR EL DELITO DE ABUSO SEXUAL CON ACCESO CARNAL AGRAVADO POR EL VINCULO CONTINUADO POR EL DELITO DE INES DEL VALLE ALEJO</t>
  </si>
  <si>
    <t>Juicio abreaviado 6 meses efectiva  -  AUDIENCIA ADELANTADA DEL 12/12 (fijada ese dia por OGA) HAY QUE DAR DE BAJA EN OGA EL 12/12/2023</t>
  </si>
  <si>
    <t>en fecha 05/12/2023 se remite en devolucion al Juzgado de Garantias 5 atento al pedido de libertad efectuado por la Fiscalia - el mismo es recepcionado por Mesa de Entrada de dicho Juzgado</t>
  </si>
  <si>
    <t>en fecha 05/12/2023 se remite en devolucion al Juzgado de Garantias 5 atento al pedido de libertad efectuado por la Fiscalia - el mismo es recepcionado por Mesa de Entrada de dicho Juzgado - El mismo es llevado por la Dra. Viviana Angel bajo constancia de firma</t>
  </si>
  <si>
    <t>187613/23</t>
  </si>
  <si>
    <t xml:space="preserve">ROJAS, FERNANDO DANIEL POR EL DELITO DE AMENAZAS DOS HECHOS EN CONCURSO REAL EN PERJUICIO DE </t>
  </si>
  <si>
    <t>180802/22</t>
  </si>
  <si>
    <t>VALCONTE LUIS CARLOS POR EL DELITO DE TENENCIA DE ESTUPEFACIENTES CON FINES DE COMERCIALIZACIÓN NE PERJUICIO DE SALUD PUBLICA</t>
  </si>
  <si>
    <t>187812/23</t>
  </si>
  <si>
    <t xml:space="preserve">TOLEDO, VICTOR RODOLFO POR EL DELITO DE ROBO SIMPLE EN PERJUICIO DE LIMACHI, FERNANDA ELIZABETH </t>
  </si>
  <si>
    <t>187838/23</t>
  </si>
  <si>
    <t>ARAPA, LUIS RAMON POR EL DELITO DE ROBO CALIFICADO POR PREPRETRARSE CON EFRACCIÓN EN GRADO DE TENTATIVA EN PERJUICIO DE RAMOS APARICIO DIEGO Y ALBERTO, VANESA SABRINA</t>
  </si>
  <si>
    <t xml:space="preserve"> 11:27</t>
  </si>
  <si>
    <t>187836/23</t>
  </si>
  <si>
    <t>ORTIZ, RICARDO MIGUEL POR EL DELITO DE ROBO SIMPLE EN GRADO DE TENTATIVA EN PERJUICIO DE DIAZ, VIVIANA</t>
  </si>
  <si>
    <t>el juzgao de origen de dicto la SUSPENSION DE JUICIO DE A PRUEBAS Y EL EXPEDIENTE NUNCA FUE REMITIDO A ESTA OFICINA</t>
  </si>
  <si>
    <t>Dra. Vilter Rita  Luciana</t>
  </si>
  <si>
    <r>
      <rPr>
        <sz val="10"/>
        <color rgb="FFFF0000"/>
        <rFont val="Arial"/>
        <family val="2"/>
      </rPr>
      <t xml:space="preserve">VIRTUAL CON VICTIMA EN FISCALIA - </t>
    </r>
    <r>
      <rPr>
        <sz val="10"/>
        <rFont val="Arial"/>
        <family val="2"/>
      </rPr>
      <t xml:space="preserve">GUTIERREZ, MARIO RICARDO POR EL DELITO DE AMENAZAS CON ARMA Y DAÑOS EN CONCURSO REAL EN PERJUICIO DE </t>
    </r>
  </si>
  <si>
    <t>187639/23</t>
  </si>
  <si>
    <t>COLQUE, GUSTAVO EXEQUIEL POR EL DELITO AMENZAS, PRIVACIÓN ILEGITIMA DE LA LIBERTAD EN CONRICO REAL; AMENAZAS Y DESOBEDIENCIA JUDICIAL; LESIONES LEVES AGRAVADAS POR MEDIAR RELACION DE PAREJA Y DE GENERO EN PERJUICIO DE LA SRA. FIGUEROA BRISA MARIA DEL CIELO</t>
  </si>
  <si>
    <t>184035/23</t>
  </si>
  <si>
    <t>PEREZ, MARIANA NATALIA Y GONZALEZ, JOSE MANUEL POR EL DELITO DE TENENCIA DE ESTUPEFACIENTES CON FINES DE COMERCIALIZACIÓN EN PERJUICIO DE LA SALUD PUBLICA</t>
  </si>
  <si>
    <t>Dra. María Liz Palavecino MPº 3638</t>
  </si>
  <si>
    <t>184065/23</t>
  </si>
  <si>
    <t>CHILO, GABRIEL FERNANDO POR EL DELITO DE ABUSO SEXUAL CONA CECSO CARNAL AGRAVADO POR LA CONVIVENCIA CON MENOR DE 18 AÑOS Y ABUSO SEXUAL SIMPE AGRAVADO POR LA CONVIVENCIA CON MENOR DE 18 EN CONCURSO REAL</t>
  </si>
  <si>
    <t>187688/23</t>
  </si>
  <si>
    <t>Dr. Matías Adet Figueroa MP 3410</t>
  </si>
  <si>
    <r>
      <rPr>
        <b/>
        <sz val="10"/>
        <color rgb="FFFF0000"/>
        <rFont val="Arial"/>
        <family val="2"/>
      </rPr>
      <t xml:space="preserve">Virtual victima Güemes </t>
    </r>
    <r>
      <rPr>
        <sz val="10"/>
        <rFont val="Arial"/>
        <family val="2"/>
      </rPr>
      <t>GUZMAN, LEONARDO DANIEL POR EL DELITO DE AMENAZAS  -DOS HECHOS - Y DESOBEDIENCIA JUDICIAL EN PERJUICIO DE GUZMAN DANIELA</t>
    </r>
  </si>
  <si>
    <t>LOPEZ, ENZO SEBASTIAN POR ROBO SIMPLE EN PERJUICIO DE GERVAN ,ARIEL ANTONIO</t>
  </si>
  <si>
    <r>
      <rPr>
        <b/>
        <sz val="10"/>
        <color theme="1"/>
        <rFont val="Arial"/>
        <family val="2"/>
      </rPr>
      <t xml:space="preserve">Suspendida por incomparencia de la Fiscal interina - Se reprograma para el dia 18/12 - 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</si>
  <si>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t>Atento a la preventiva por 2 meses de fecha 26/10 se devuelve a juzgado de origen requerirlo antes de la audiencia- Suspendida por otorgarse la libertad del imputado en juzgado de origen por Juicio abreviado</t>
  </si>
  <si>
    <t>Juicio abreviado - Lagos (causas 185901/23 y 189834/23) a 4 meses y 4 días de prisión efectiva y costas, inmediata libertad por los plazos de detención - sobreseimiento de Gutierrez e Isaire.- y DOP 10 - Dra. Marina Bouhid SE PIDIO REVISION DE PREVENTIVA - SE ENCUENTRA CON TRAMITE DE ACUSACION</t>
  </si>
  <si>
    <t>Motivo  atraso: Tratativa entre las partes</t>
  </si>
  <si>
    <t>Motivo atraso: Llego tarde el abogado partcular</t>
  </si>
  <si>
    <t>Asesoria de Menores Nº 4 - PRISION PREVENTIVA</t>
  </si>
  <si>
    <t>Juicio abreaviado - 3 efectiva</t>
  </si>
  <si>
    <t>Motivo atraso: Llego tarde eldefensor</t>
  </si>
  <si>
    <t>Prorroga de la Detencion 390 - Abreviado 8 meses condicional</t>
  </si>
  <si>
    <t>Juicio abreaviado - 3 meses y 15 dias efectiva</t>
  </si>
  <si>
    <t>se adelanta audiencia del dia 13/12 - Juicio abreviado 22 dias efectiva</t>
  </si>
  <si>
    <t>Juicio abreviado - 2 años condicional -  C/ LEG DE INVESTIGACION ORIGINAL Nº 190/22 Y 117/23 - SIN REQ. EN MESA VIRTUAL</t>
  </si>
  <si>
    <t xml:space="preserve"> 10:58</t>
  </si>
  <si>
    <t xml:space="preserve"> 11:36</t>
  </si>
  <si>
    <t>Prisión preventiva para ambos imputados</t>
  </si>
  <si>
    <t>Fiscal se conecto tarde a la remota</t>
  </si>
  <si>
    <t>7 (SIETE) MESES DE PRISIÓN DE EJECUCIÓN EFECTIVA PARA BARRETO Y 8 MESES DE PRISIÓN DE EJECUCIÓN CONDICIONAL PARA GUZMAN</t>
  </si>
  <si>
    <t>Motivo atraso: Juez llego tarde</t>
  </si>
  <si>
    <t>CUARTO INTERMEDIO DE FECHA 01/12/2023 HASTA 05/12/2023 - Arresto domiciliario</t>
  </si>
  <si>
    <t>Asesoria de inapaces 7 - Audiencia suspendida por incomparencia de la defensa</t>
  </si>
  <si>
    <t>Juicio abreviado - 1 año condicional - Sobreseimiento por el delito de abuso sexual</t>
  </si>
  <si>
    <t>Asesoria de incapaces N3 Dra. Cardon - Juicio abreviado - 2 meses efectiva</t>
  </si>
  <si>
    <t xml:space="preserve">Motivo atraso: asesora llego tarde </t>
  </si>
  <si>
    <t>Juicioa breviado 2 meses efectiva</t>
  </si>
  <si>
    <t>Posible intervencion del Dr. AGUSTIN LOPEZ por el inv. Villanueva - Prision preventiva</t>
  </si>
  <si>
    <t xml:space="preserve">ACUMULADA 187287/23 - cuarto intermedio el día 04/12/2023 - y Dr. Victor Clarck por intereses contrapuestos - 6 (SEIS) MESES DE PRISIÓN DE EJEUCIÓN EFECTIVA Y COSTAS PARA TEJERINA RUBEN DARIO, Y PARA NAVARRO 6 MESES DE PRISIÓN DE EJECUCIÓ EFECTIVA Y COSTAS </t>
  </si>
  <si>
    <t>Motivo atraso: tratativa entre juez fiscal</t>
  </si>
  <si>
    <t>Juicio abreaviado - 1 año condicional</t>
  </si>
  <si>
    <t>Motivo atraso: llego tarde el defensor</t>
  </si>
  <si>
    <t xml:space="preserve"> 10:49</t>
  </si>
  <si>
    <t>187845/23</t>
  </si>
  <si>
    <t xml:space="preserve">FLORES, LUIS ALFREDO POR EL DELITO DE ABUSO SEXUAL CON ACCESO CARNAL (1 HECHO) AGRAVADO POR LA CONVIVENCIA EN PERJUICIO DE </t>
  </si>
  <si>
    <t>187840/23</t>
  </si>
  <si>
    <t xml:space="preserve">QUIROGA PARRA, AGUSTIN EMILIANO POR EL DELITO DE ROBO CALIFICADO POR EL USO DE ARMA Y AMENAZAS EN CONCURSO REAL EN PERJUICIO DE </t>
  </si>
  <si>
    <t>187839/23</t>
  </si>
  <si>
    <t>COPA, MAXIMILIANO SEBASTIAN POR EL DELITO DE HURTO SIMPLE POR EN PERJUICIO DE PISTAM CLAUDIA ALFREDO</t>
  </si>
  <si>
    <t xml:space="preserve">MOLINA, ADRIAN GUSTAVO POR EL DELITO DE ABUSO SEXUAL SIMPLE AGRAVADO POR SER COMETIDO POR UN ENCARGADO DE LA EDUCACIÓN Y POR LA GUARDA EN PERJUICIO DE VICTIMAS MENORES </t>
  </si>
  <si>
    <r>
      <rPr>
        <sz val="10"/>
        <color rgb="FFFF0000"/>
        <rFont val="Arial"/>
        <family val="2"/>
      </rPr>
      <t>VIRTUAL CON VICTIMA EN FISCALIA</t>
    </r>
    <r>
      <rPr>
        <sz val="10"/>
        <rFont val="Arial"/>
        <family val="2"/>
      </rPr>
      <t xml:space="preserve"> - CORONEL, MARIANELA DE LOS ANGELES POR HURTO SIMPLE</t>
    </r>
  </si>
  <si>
    <r>
      <rPr>
        <sz val="10"/>
        <color rgb="FFFF0000"/>
        <rFont val="Arial"/>
        <family val="2"/>
      </rPr>
      <t>REMOTA -</t>
    </r>
    <r>
      <rPr>
        <sz val="10"/>
        <rFont val="Arial"/>
        <family val="2"/>
      </rPr>
      <t xml:space="preserve">SALVATIERRA, JEREMIAS JOSUE POR EL DELITO DE LESIONES LEVES AGRAVADAS POR LA RELACION DE PAREJA PREEXISTENTE Y POR MEDIAR VIOLENCIA DE GENERO, COACCION Y DAÑOS EN PERJUICIO DE </t>
    </r>
  </si>
  <si>
    <t>Grandes Juicios</t>
  </si>
  <si>
    <t>187669/23</t>
  </si>
  <si>
    <t xml:space="preserve">OLIVERA, HECTOR DANIEL POR EL DELITO DE ROBO CALIFICADO POR SER DE VEHICULO DEJADO EN LA VIA PUBLICA AGRAVADO POR LA PARTICIPACIÓN DE UN MENOR DE EDAD EN PERJUICIO DE </t>
  </si>
  <si>
    <t>186729/23</t>
  </si>
  <si>
    <t>SORAIRE, OSCAR FACUNDO POR EL DELITO DE ABUSO SEXUAL GRAVEMENTE ULTRAJANTE Y ABUSO SEXUAL CON ACCESO CARNAL AGRAVADO POR LA GUARDA Y LA CONVIVENCIA EN OCNCURSO REAL EN PERJUICIO DE UNA MENOR DE EDAD</t>
  </si>
  <si>
    <t>187605/23</t>
  </si>
  <si>
    <t>187640/23</t>
  </si>
  <si>
    <t>187686/23</t>
  </si>
  <si>
    <t>VEGA, PABLO DAVID POR EL DELITO DE ABUSO SEXUAL CON ACCESO CARNAL AGRAVADO POR EL VINCULO, LA GUARDA Y LA CONVIVENCIA, ABUSO SEXUAL GRAVEMENTE ULTRAJANTE AGRAVADO POR EL VINCULO, LA GUARDA Y LA CONVIVENCIA Y DESOBEDIENCIA JUDICIAL EN CONCURSO REAL</t>
  </si>
  <si>
    <t>187435/23</t>
  </si>
  <si>
    <t>Dr. Horacio Morales MP Nº 1486</t>
  </si>
  <si>
    <t>187818/23</t>
  </si>
  <si>
    <t xml:space="preserve">MENDOZA, OSCAR POR HURTO SIMPLE EN PERJUICIO DE AJALLA, LENADRO JOSE </t>
  </si>
  <si>
    <t>Dr. Walter Atilio Diaz MP 4494</t>
  </si>
  <si>
    <t>187857/23</t>
  </si>
  <si>
    <t xml:space="preserve">YURQUINA, JORGE GABRIEL POR EL DELITO DE DESOBEDIENCIA JUDICIAL POR GUTIERREZ, GABRIELA BELEN </t>
  </si>
  <si>
    <t>187833/23</t>
  </si>
  <si>
    <t xml:space="preserve">RIVERO, CLAUDIO RODRIGO POR HURTO SIMPLE EN PERJUICIO DE PEREZ, YAMILA ELI </t>
  </si>
  <si>
    <t>Asesoria de Menores Nº 4 - Juicio abreviado - 8 meses condicional</t>
  </si>
  <si>
    <t>Arresto domiciliario con consigna</t>
  </si>
  <si>
    <t>PRISION DOMICILIARIA - SUSPENDIDA primer audiencia por incomparencia de la defensa   -   Dr. Fernando Diaz Zabalaga MP 4432 (Parron Baldoni)</t>
  </si>
  <si>
    <t>Abreviado 1 mes efectiva</t>
  </si>
  <si>
    <t>PRISIÓN DOMICILIARIA - en fecha 28/11 Se remite al juzgado de origen para acumulación de otras causas</t>
  </si>
  <si>
    <t>Preventiva</t>
  </si>
  <si>
    <t>Juicio abreviado 1 año condicional</t>
  </si>
  <si>
    <t>PRISION PREVENTIVA - Asesoria de Menores Nº 7</t>
  </si>
  <si>
    <t>Juicio abreviado 6 meses condicional - Prorroga de la Detencion 390</t>
  </si>
  <si>
    <t>ABREVIADO 6 MESES CONDICIONAL  -  Audiencia SUSPENDIDA EL DIA  29/11 POR LELGADA TARDE DEL DEFENSOR SE REPROGRAMA</t>
  </si>
  <si>
    <t>ABREVIADO 6 MESES EFECTIVA - Se suspende el dìa 29/11/2023 por solicitud de incompetencia de la defensa- se devuelve al juzgado de origen</t>
  </si>
  <si>
    <t xml:space="preserve"> 10:25</t>
  </si>
  <si>
    <t xml:space="preserve"> 11:16</t>
  </si>
  <si>
    <t>Motivo atraso: llego tarde el fiscal - Cuarto intermedio de 9:23 a 11:02</t>
  </si>
  <si>
    <t>Motivo atraso: Llego tarde la asesora</t>
  </si>
  <si>
    <t>Motivo atraso: tratativa entre las oartes</t>
  </si>
  <si>
    <t>Motivo atraso: cambio de sala</t>
  </si>
  <si>
    <t xml:space="preserve"> 11:13</t>
  </si>
  <si>
    <t>187470/23</t>
  </si>
  <si>
    <t xml:space="preserve">MEDINA, MIGUEL ANGEL POR ROBO SIMPLE EN PERJUICIO DE </t>
  </si>
  <si>
    <t>187815/23</t>
  </si>
  <si>
    <t>187813/23</t>
  </si>
  <si>
    <t>187515/23</t>
  </si>
  <si>
    <t>CHOCOBAR RIVERA CRISTAINA MATIAS DAVID POR HURTO EN PERJ. DE ECHAZU DANIELA BEATRIZ</t>
  </si>
  <si>
    <t>187608/23</t>
  </si>
  <si>
    <t xml:space="preserve">GONZA, NICOLAS FRANCISCO AXEL POR EL DELITO DE AMENAZAS CONARMAS Y DESOBEDIENCIA JUDICIAL EN CONCURSO REAL EN PERJUICIO DE </t>
  </si>
  <si>
    <t>IBAÑEZ. JONATHAN EZEQUIEL POR EL DELITO DE ROBO EN PERJUICIO DE TULA, ERICA JUDITH</t>
  </si>
  <si>
    <t>MEDINA, FERNANDO MATIAS POR EL DELITO DE LESIONES LEVES AGRAVADAS POR LA RELACION DE PAREJA PREEXISTENTE Y POR CONSTITUIR VIOLENCIA DE GENERO, COACCIÓN EN PERJUICIO DE CHOCOBAR, FERNANDA DEL VALLE</t>
  </si>
  <si>
    <t>PALMA, JUAN CARLOS POR EL DELITO DE AMENAZAS CON ARMA EN PERJUICIO DE REYES RÍOS, RAMÓN ALEJANDRO</t>
  </si>
  <si>
    <t>179723/23</t>
  </si>
  <si>
    <t xml:space="preserve">ALEMAN, FRANCISCO NATALIO POR EL DELITO DE ABUSO SEXUAL CON ACCESO CARNAL EN PERJUICIO DE F.A.B.A. </t>
  </si>
  <si>
    <t>CONDORI, JOAQUIN LUCIANO POR EL DELITO DE HOMICIDIO CALIFICADO POR LA RELACION DE PAREJA PREVIA Y POR MEDIAR VIOLENCIA DE GENERO EN GRADO DE TENTATIVA EN PERJUICIO DE DAIANA FABIOLA HIDALGO EN CONCURSO IDEAL CON HOMICIDIO CALIFICADO POR EL PROPOSITO DE CAUSAR SUFRIMIENTO A UNA EX PAREJA (FEMICIDIO VINCULADO O TRANSVERSAL) EN GRANDO DE TENTATIVA EN PERJUICIO DE GASTON EMANUEL DELGADO, EN CONCURSO REAL CON LESIONES LEVES AGRAVADAS POR LA RELACION DE PAREJA PREVIA Y POR MEDIAR VIOLENCIA DE GENERO EN PERJUICIO DE DAIANA FABIOLA HIDALGO</t>
  </si>
  <si>
    <t>187549/23</t>
  </si>
  <si>
    <t>COPA, MAURO LEANDRO POR EL DELITO DE DESOBEDIENCIA JUDICIAL, AMENAZAS EN CONCURSO REAL EN PERJUICIO DE LA SRA. REINA MATILDE ARJONA</t>
  </si>
  <si>
    <t xml:space="preserve">CANABIDES, HERNAN DARIO POR EL DELITO DE LESIONES LEVES, AMENAZAS CON ARMA EN PERJUICIO DE PASTRANAM YAMILA BELEN </t>
  </si>
  <si>
    <t>187893/23</t>
  </si>
  <si>
    <t>CALISAYA, JUANA Y CECILIA ADRIANA CAMPERO POR HURTO SIMPLE - TRES HECHOS EN PERJUICIO DEL SUPER DAMESCO Y CHANGO MAS</t>
  </si>
  <si>
    <t>Dr. Orfeo Maggio - Suspendida por ausencia del JUEZ</t>
  </si>
  <si>
    <t>LÒPEZ</t>
  </si>
  <si>
    <t>187862/23</t>
  </si>
  <si>
    <r>
      <t>INC. G05</t>
    </r>
    <r>
      <rPr>
        <b/>
        <sz val="10"/>
        <rFont val="Arial"/>
        <family val="2"/>
      </rPr>
      <t xml:space="preserve"> QUISPE, ANDRÉS AGUSTIN </t>
    </r>
    <r>
      <rPr>
        <sz val="10"/>
        <rFont val="Arial"/>
        <family val="2"/>
      </rPr>
      <t xml:space="preserve">POR TENENCIA DE ESTUPEFACIENTES CON FINES DE COMERCIALIZACIÓN AGRAVADA POR LA PARTICIPACIÓN DE TRES O MÀS PERSONAS EN FORMA ORGANIZADA Y POR COMETERSE EN UN LUGAR DE DETENCION … Y OTROS INVESTIGADO </t>
    </r>
  </si>
  <si>
    <t>FERNDANDEZ</t>
  </si>
  <si>
    <t>184062/23</t>
  </si>
  <si>
    <t>RIOS, DIEGO POR LESIONES AGRAVADAS POR LA RELACION DE PAREJA PREVIA Y POR EL GENERO - DOS HECHOS-, COACCION EN CONCURSO REAL EN PERJUICIO DE ANAHI ROCIO</t>
  </si>
  <si>
    <t>187537/23</t>
  </si>
  <si>
    <t>COLQUE, GABRIEL ALEJANDRO Y CASTILLO ALA LAUTARO POR EL DELITO DE DELGADO ANACHURI, FRANCO GUSTAVO</t>
  </si>
  <si>
    <t>Dr. Fernandez Ocampo</t>
  </si>
  <si>
    <t>187683/23</t>
  </si>
  <si>
    <t>Exp - 187103/23 - Juicio abreaviado - 2 años condicional</t>
  </si>
  <si>
    <t>Juciio abreaviado - 2 meses efectiva</t>
  </si>
  <si>
    <t>DOP 10 - Dra. BOUHID - PREVENTIVA para Guerra y Prisión domiciliaria para Benicio</t>
  </si>
  <si>
    <t>PRISIÓN DOMICILIARIA</t>
  </si>
  <si>
    <t xml:space="preserve"> 10:46</t>
  </si>
  <si>
    <t xml:space="preserve"> 11:49</t>
  </si>
  <si>
    <t xml:space="preserve"> 11:17</t>
  </si>
  <si>
    <t xml:space="preserve"> Prisión preventiva - Asesor de incapaces Nº 2 Dra. Florencia Larsen</t>
  </si>
  <si>
    <t>Motivo atraso: Llego tarde el defensor particular</t>
  </si>
  <si>
    <t>Juicio abreviado 1 años y 2 meses condicional</t>
  </si>
  <si>
    <t>Libertad con sustitutivas para López, y Prisión Preventiva para Díaz, Norma Alejandra y para Albornoz, Juan Sebastián</t>
  </si>
  <si>
    <t>Cuarto intermedio de 09:48 a 10:00 - Motivo atraso: llegaron tarde los abogados</t>
  </si>
  <si>
    <t>Prisión preventiva para todos los imputados - Dr. Arancibia: Dr. Fernandez Nicolas; Dr. Sala Garrido, Agustin y Dr. Saravia Zenteno, Francisca</t>
  </si>
  <si>
    <t>cuarto intermedio desde 30/11/2023 y retorna el día 12/12/2023 a hs. 08:45 ABREVIADO - 4 años y 6 meses de efectiva para Urzagasti, y para Aguilar y Pastrana 1 año y 6 meses de condicional</t>
  </si>
  <si>
    <t xml:space="preserve">Asesoría Nº 7 - JUICIO ABREVIADO CONDENADO A LA PENA DE OCHO AÑOS Y TRES MESES DE PRISION EFECTIVA </t>
  </si>
  <si>
    <t>Se adelanto la audiencia</t>
  </si>
  <si>
    <t>DR. ENRIQUE</t>
  </si>
  <si>
    <t>NEVA</t>
  </si>
  <si>
    <t>VILLALBA, FELIPE o BRIAN NICOLAS GORRITI o ALVARO JOSE POR EL DELITO DE ROBO SIMPLE EN GRADO DE TENTATIVA EN PERJUICIO DE CORONEL YOLANDA</t>
  </si>
  <si>
    <t>185012/23</t>
  </si>
  <si>
    <t>MOYA SERGIO FAUSTINO; FRANCISCO ARTURO BISCEGLIA; RUBEN ANTONIO GUAYMAS; JOSE LUIS ALARCON; MARCOS MATIAS BUCOTICH GARCIA; NICOLE JUDITH ANA LUNA; MARIA INES MENDEZ; YANIN ALEJANDRA CHAJUm PATRICIA DAIANA DEL ROSARIO FLORES; SILVANA VALERIA AVANDAÑO; JOSUE JOEL VALENCIA; MENDEZ MANUEL; RAUL ANTONIO ARJONA; LUIS ROBERTO CASTAÑO. POR EL DELITO DE EXACCIONES ILEGALES AGRAVADAS - CONCUSION - NUMERO INDETERMINADO DE HECHOS Y POR COMERCIALIZACION DE ESTUPEFACIENTES AGRAVADA POR LA PARTICIPACION DE MAS DE TRES PERSONAS EN FORMA ORGANIZADA POR SER EREALIZADA EN UN LUGAR DE DETENCION Y POR SER COMETIDA POR FUNCIONARIOS ENCARGADOS DE LA GUARDA DE PRESOS</t>
  </si>
  <si>
    <r>
      <rPr>
        <sz val="10"/>
        <color rgb="FFFF0000"/>
        <rFont val="Arial"/>
        <family val="2"/>
      </rPr>
      <t>virtual fiscalía Güemes</t>
    </r>
    <r>
      <rPr>
        <sz val="10"/>
        <rFont val="Arial"/>
        <family val="2"/>
      </rPr>
      <t xml:space="preserve"> RASJIDO, LUIS MIGUEL POR EL DELITO DE ROBO EN GRADO DE TENTATIVA EN PERJUICIO DE </t>
    </r>
  </si>
  <si>
    <t>187674/23</t>
  </si>
  <si>
    <t>CRUZ, JUAN CARLOS POR EL DELITO DE HOMICIDIO DOBLEMENTE CALIFICADO POR LA RELACION DE PAREJA PREEXISTENTE Y POR MEDIAR VIOLENCIA DE GENERO EN GRADO DE TENTATIVA EN PERJUICIO DE FATIMA ROSALIA FLORES</t>
  </si>
  <si>
    <t>Dr. Patricio Araoz Fleming MP Nº 2881</t>
  </si>
  <si>
    <t>187914/23</t>
  </si>
  <si>
    <t>TEJERINA, LUIS FERNANDO POR EL DELITO HURTO EN PERJUICIO DE RENFIJES, AGAPITO</t>
  </si>
  <si>
    <t>187915/23</t>
  </si>
  <si>
    <t>CARDENAS, PABLO ARIEL POR EL DELITO ROBO SIMPLE EN GRADO DE TENTATIVA EN PERUJICIO DE AGUAS DEL NORTE</t>
  </si>
  <si>
    <t>187912/23</t>
  </si>
  <si>
    <t>SOLORZANO, PABLO ANTONIO POR EL DELITO DE LESIONES LEVES EN PERJUICIO DE DOMINGUEZ DIAZ, ANDREA ROCIO</t>
  </si>
  <si>
    <t>187935/23</t>
  </si>
  <si>
    <t>MERCADO DANIEL AGUSTÍN POR AMENAZAS Y DESOBEDIENCIA JUDICIAL EN PERJUICIO DE JUZMAN, FLORENCIA AYELEN</t>
  </si>
  <si>
    <t>187930/23</t>
  </si>
  <si>
    <t>AVENDAÑO, NAHUEL ALEJANDRO POR VIOLACIONES DE DOMICILIO Y HURTO CALIFICADO EN PERJUICIO DE CURCUY EZEQUIEL</t>
  </si>
  <si>
    <r>
      <t>CONTRERAS, PAMELA GUADALUPE</t>
    </r>
    <r>
      <rPr>
        <b/>
        <sz val="10"/>
        <rFont val="Arial"/>
        <family val="2"/>
      </rPr>
      <t xml:space="preserve">; VIZCARRA, CARLOS GABRIEL </t>
    </r>
    <r>
      <rPr>
        <sz val="10"/>
        <rFont val="Arial"/>
        <family val="2"/>
      </rPr>
      <t>POR EL DELITO DE ROBO DOBLEMENTE AGRAVADO POR EL USO DE ARMA Y POR SER COMETIDO EN POBLADO Y BANDA EN GRADO DE TENTATIVA</t>
    </r>
  </si>
  <si>
    <t>Sala 2 Jui 5</t>
  </si>
  <si>
    <t>Dr. Federico Ruiz Matei por Guaymás Ruben Antonio; Dr. Ricardo Poclava por José Luis Alarcón;  Dra. Sandra Liliana Monje de Nsser por María Indes Méndez; Dr. Estrada Arnaldo por Patricia Flores; Dr. Riardo Poclava por Raul Arjona; Dr. Maria Florencia Maggio por Chaju, Yanina; Dr. Adriana Soria por Francisco Bisceglia; Dr. Martín Gimenez MP 6490 por Marcos Bucotich García; Dra. Adriana Soria por Luis Roberto Castaño; Dr. Gimenez Martín MP 6490 por JOsue Joel Valencia; DOP Nº 10 por Silavana Avendaño; Dra. Marina Bouhid por Nicole Luna; Dr. Poclava por Sergio Moya</t>
  </si>
  <si>
    <t>187819/23</t>
  </si>
  <si>
    <t>GALLO, FACUNDO NICOLAS POR HURTO SIMPLE 9 NUEVE HECHOS EN PERJUICIO DE GUTIERREZ, GRACIELA</t>
  </si>
  <si>
    <t>187560/23</t>
  </si>
  <si>
    <t>VELARDE, ALAN; CORVALAN, ESTAFANIA NAZELI por tentativa de robo simple en perjuicio de dorado rosa</t>
  </si>
  <si>
    <t>187535/23</t>
  </si>
  <si>
    <r>
      <rPr>
        <b/>
        <sz val="10"/>
        <rFont val="Arial"/>
        <family val="2"/>
      </rPr>
      <t xml:space="preserve">BILLALBA Juan Carlos </t>
    </r>
    <r>
      <rPr>
        <sz val="10"/>
        <rFont val="Arial"/>
        <family val="2"/>
      </rPr>
      <t>- CHUMBITA Ricardo Abel - CIRAITE Javier - LOPEZ Cristian Martin - ORTIZ Mario Sebastian - MEDINA Luis Simon - ABDALA Jose Gustavo por ROBO CALIFICADO POR SE COMETIDO CON EL USO DE ARMA DE FUGO Y EN POBLADO Y EN BANDA - ABIGEATO - ASOCIACION ILICITA en Perj. de Biberos Diego</t>
    </r>
  </si>
  <si>
    <t>187967/23</t>
  </si>
  <si>
    <t>187968/23</t>
  </si>
  <si>
    <t>187947/23</t>
  </si>
  <si>
    <t xml:space="preserve">GUAYMAS. FERNANDO GABRIEL POR EL DELITO ROBO EN GRADO DE TENTATIVA Y DAÑOS EN PERJUICIO DE </t>
  </si>
  <si>
    <t>187637/23</t>
  </si>
  <si>
    <t>CARMONA, GUILLERMO ARIEL POR EL DELITO DE ABUSO SEXUAL CON ACCESO CARNAL EN PERJUICIO DE HECTOR RICARDO SILVA</t>
  </si>
  <si>
    <t>BELLIDO, ALEXIS FERNANDO RAFAEL POR EL DELITO DE ROBO SIMPLE EN GRADO DE TENTATIVA EN PERJUICIO DE VIVEROS, ROCIO NATALIA</t>
  </si>
  <si>
    <t>VILLAVICENCIO, JOSE IGNACIO POR EL DELITO DE HURTO CALIFICADO POR ESCALAMIENTO EN GRADO DE TENTATIVA EN PERJUICIO DE CANCINO, MARIELA LUJAN</t>
  </si>
  <si>
    <t>Dra. Marcela Fernanda Jimenez MP Nº 7267</t>
  </si>
  <si>
    <t>Dr. Lopez Brizzio Alvar MP 6458</t>
  </si>
  <si>
    <t>187459/23</t>
  </si>
  <si>
    <t>ANDREA MARISOL ARIAS, ELIANA EUGENIA ARIAS Y ALDO RODOLFO JURADO POR TENENCIAN DE ESTUPEFACIENTES CON FINES DE COMERCIALIZACION AGRAVADA POR LA PARTICIPACION DE TRES O MAS PERSONAS EN PERJUICIO DE LA SALUD PUBLICA</t>
  </si>
  <si>
    <t>187531/23</t>
  </si>
  <si>
    <t>LIENDRO WALTER MARCELO POR EL DELITO DE LESIONES, AMENAZAS, COACCION EN PERJUICIO DE GARCIA GLADYS</t>
  </si>
  <si>
    <t>187917/23</t>
  </si>
  <si>
    <r>
      <rPr>
        <sz val="10"/>
        <color rgb="FFFF0000"/>
        <rFont val="Arial"/>
        <family val="2"/>
      </rPr>
      <t>virtual victima en fiscalía -</t>
    </r>
    <r>
      <rPr>
        <sz val="10"/>
        <color theme="1"/>
        <rFont val="Arial"/>
        <family val="2"/>
      </rPr>
      <t>ARANDA, RAUL ERNESTO POR EL DELITO DE ABUSO SEXUAL GRAVEMENTE ULTRAJANTE POR CIRCUNSTANCIA DE REALIZACION Y DURACION EN EL TIEMPO ARGAVADO POR EL VINCULO, LA GUARDA Y LA CONVIVENCIA EN PERJUICIO DE L.D.A.</t>
    </r>
  </si>
  <si>
    <t>187972/23</t>
  </si>
  <si>
    <t>187832/23</t>
  </si>
  <si>
    <t>JAIME, HECTOR DARIO POR ROBO SIMPLE EN PERJUICIO DE PUENTE, HUGO NICOLAS</t>
  </si>
  <si>
    <r>
      <rPr>
        <sz val="10"/>
        <color rgb="FFFF0000"/>
        <rFont val="Arial"/>
        <family val="2"/>
      </rPr>
      <t>Posible virtual con vicitima en Gûemes</t>
    </r>
    <r>
      <rPr>
        <sz val="10"/>
        <rFont val="Arial"/>
        <family val="2"/>
      </rPr>
      <t xml:space="preserve"> - VALLEJOS, GASTON MAXIMILIANO Y EDUARDO ALBERTO ARAMAYO PEREZ POR EL DELITO DE ABUSOS DE ARMAS, PORTACIÓN DE ARMAS Y DAÑOS EN CONCURSO REAL</t>
    </r>
  </si>
  <si>
    <t>se fijo fecha juicio abreviado para el dia 14/12/2023 - se realizo el abreviado a la espera del informa del juzgado</t>
  </si>
  <si>
    <t>LINO, NESTOR ADAN POR EL DELITO DE VIOLACION DE DOMICILIO EN PEJUICIO DE RAINERI, TERESITA JESUS</t>
  </si>
  <si>
    <t>GONZALEZ, RAUL ALBERTO POR EL DELITO DE HURTO SIMPLE EN GRADO DE TENTIVA Y VIOLACION DE DOMICILIO EN PERJUICIO DE BARBOZA, JOSE</t>
  </si>
  <si>
    <t>Jucio abreviado 2 años efectiva para ambos imputados</t>
  </si>
  <si>
    <t>PRISION PREVENTIVA POR 14 DIAS - Cuarto intermedio y se reprogramada en fecha 12/12/2023 por el Sr. Juez. Para el día 14/12/2023</t>
  </si>
  <si>
    <t>Motivo atraso: atraso del juez</t>
  </si>
  <si>
    <t>Prisiòn preventiva</t>
  </si>
  <si>
    <t>Motivo atraso: tratativa</t>
  </si>
  <si>
    <t>Abreviado 6 meses efectiva</t>
  </si>
  <si>
    <r>
      <t>ABREVIADO  3 años condicional  - ASESORIA Nº 1 - PRISION PREVENTIVA -</t>
    </r>
    <r>
      <rPr>
        <b/>
        <sz val="10"/>
        <rFont val="Arial"/>
        <family val="2"/>
      </rPr>
      <t xml:space="preserve"> SIN PP POR MESA</t>
    </r>
  </si>
  <si>
    <t>Cuarto intermedio de 9:12 a 9:22 -  Motivo atraso: cambio de juez por licencia del juez sorteado</t>
  </si>
  <si>
    <t>Juicio abreviado 3 años condicional</t>
  </si>
  <si>
    <t>Atraso: tratativas</t>
  </si>
  <si>
    <t>Preventiva para Vicevic y Libertad para Lòpez</t>
  </si>
  <si>
    <t>Atraso: Llego tarde el juez reemplazante del sorteado originalmente</t>
  </si>
  <si>
    <t>Abreviado 5 meses efectiva</t>
  </si>
  <si>
    <t>S/PP POR MESA - abreviado 6 meses efectiva</t>
  </si>
  <si>
    <t>Atraso: tratativas entre las partes</t>
  </si>
  <si>
    <t>187712/23</t>
  </si>
  <si>
    <t xml:space="preserve">CARDOZO, ANTONIO FRANCISCO POR EL DELITO DE ROBO SIMPLE - TRES HECHOS - Y TENTATIVA DE ROBO EN CONCURSO REAL EN PERJUICIO DE </t>
  </si>
  <si>
    <t>187987/23</t>
  </si>
  <si>
    <t xml:space="preserve">MEDINA , VICTOR HUGO POR EL DELITO DE HURTO SIMPLE EN GRADO DE TENTATIVA EN PERJUICIO DE </t>
  </si>
  <si>
    <t>187841/23</t>
  </si>
  <si>
    <t xml:space="preserve">QUIROGA, FACUNDO CARLOS Y CABRERA, WALTER JOSE MARÍA POR EL DELITO DE ROBO CALIFICADO POR EFRACCION EN PERJUICIO DE </t>
  </si>
  <si>
    <t>187641/23</t>
  </si>
  <si>
    <t>187837/23</t>
  </si>
  <si>
    <t xml:space="preserve">GALVAN, LOURDES MIRANDA POR EL DELITO DE LESIONES AGRAVADAS POR EL VINCULO EN PERJUICIO DE </t>
  </si>
  <si>
    <t>187834/23</t>
  </si>
  <si>
    <t>CHAUQUE, PATRICIO EXEQUIEL POR EL DELITO DE DAÑOS, VIOLACION DE DOMICILIO, DESOBEDIENCIA JUDICIAL EN CONCURSO REAL EN PERJUIICIO DE CHAUQUE, LILIANA ELISABETH</t>
  </si>
  <si>
    <t>Juicio abreviado 3 meses efectiva</t>
  </si>
  <si>
    <t>se suspende audiencia por otorgarsele la libertad del imputado en el juzgado de origen, solicitado el expediente por el juzgado de garantias 6</t>
  </si>
  <si>
    <t>187865/23</t>
  </si>
  <si>
    <t>187969/23</t>
  </si>
  <si>
    <t>187848/23</t>
  </si>
  <si>
    <t>HERRERA, BENJAMIN LUCAS POR EL DELITO DE LESIONES Y AMENAZAS EN PERJUICIO DE VILLAGOMEZ, CRISTINA MARIANELA</t>
  </si>
  <si>
    <t>184481/23</t>
  </si>
  <si>
    <r>
      <rPr>
        <b/>
        <sz val="10"/>
        <rFont val="Arial"/>
        <family val="2"/>
      </rPr>
      <t xml:space="preserve">HERRERA LEAÑEZ, JAVIER </t>
    </r>
    <r>
      <rPr>
        <sz val="10"/>
        <rFont val="Arial"/>
        <family val="2"/>
      </rPr>
      <t>POR EL DELITO DE AMENAZAS CON ARMA Y PORTACIÓN DE ARMA DE FUEGO  DE USO CIVIL EN CONCURSO REAL</t>
    </r>
  </si>
  <si>
    <t>187986/23</t>
  </si>
  <si>
    <t>Motivo atraso: cambio de sdala por porblemas tecnicos</t>
  </si>
  <si>
    <t>Motivo atraso: llego tarde el juez</t>
  </si>
  <si>
    <t>Preventiva por 20 dias</t>
  </si>
  <si>
    <t>atraso: audiencia previa</t>
  </si>
  <si>
    <t>DOP 6 - Aux. Dra. Analía Pucheta</t>
  </si>
  <si>
    <t>S/PP POR MESA Abreviado 10 meses efectiva</t>
  </si>
  <si>
    <t>Dr. Ramos, Gonzalo Emanuel (por Chocobar) - DOP 8 (para los otros) Reprogramada del 13/12 al 15/12  RESULTADO: Abreviado chocobar rodolfo 4 años y 6 meses efectiva, chocobar Rocio 2 años y 8 meses condicional, Ferreira 1 año condicional, Ocampo 1 año efectiva</t>
  </si>
  <si>
    <t>Motivo atraso: fiscal tardo en contectarse a la remota</t>
  </si>
  <si>
    <t>Libertad con medidas</t>
  </si>
  <si>
    <t>Preventiva para los 3 imputados</t>
  </si>
  <si>
    <t xml:space="preserve"> 11:59</t>
  </si>
  <si>
    <t>Dr. Gustavo Guanca MP 3351 por Yapura, Jesus  - Abreviado 2 meses efectiva para Condori y Sobreseimiento para Yapura</t>
  </si>
  <si>
    <t xml:space="preserve">JUICIO ABREVIADO CONDICIONAL A LA PENAL DE 2 AÑOS Y 1 UN MES Y COSTAS. </t>
  </si>
  <si>
    <t>Atraso: Llego tarde el fiscal</t>
  </si>
  <si>
    <t>Juicio Abreviado por 3 tres meses prisión de ejecución efectiva</t>
  </si>
  <si>
    <t>Abreviado 2 años y 4 meses condicional</t>
  </si>
  <si>
    <t>Asesoría Nº 1 - ABREVIADO - 7 MESES CONDIIONAL</t>
  </si>
  <si>
    <t>Atraso: llego tarde el abo particular</t>
  </si>
  <si>
    <t>Abreviado 2 meses efectiva</t>
  </si>
  <si>
    <t>atraso: fiscal se demoro en conectar a la remota</t>
  </si>
  <si>
    <t>Domiciliaria para Coronel Hector y libertad con sustitutivas para Coronel Diego</t>
  </si>
  <si>
    <t>atraso: tratativas</t>
  </si>
  <si>
    <t>PP para UGARTE - Abreviado 7 meses efectiva.</t>
  </si>
  <si>
    <t>Atraso: juez llego tarde</t>
  </si>
  <si>
    <t>Domiciliaria</t>
  </si>
  <si>
    <t>Libertad con sustituttivas</t>
  </si>
  <si>
    <t>Asesoria 2 - Dr. Cuellar para ambos imputados - SUSPENDIDA por incomparecencia de la Defensa Particular Dr. Cuellar Victor Mario</t>
  </si>
  <si>
    <t>QURELLANTE: ANACHURI RODRIGO FRANCO Suspendida por licencia del juez</t>
  </si>
  <si>
    <t>Asesoría Nº 9 por el investigado Pichotti y Asesoría Nº 1 por la víctima I.m.g - JUICIO ABREVIADO CONDENADO A UN MES DE PRISION EFECTIVA REVOCANDO LA CONDICIONALIDAD DE CUATRO MESES DE CONDENA ANTERIOR</t>
  </si>
  <si>
    <r>
      <rPr>
        <sz val="10"/>
        <color rgb="FFFF0000"/>
        <rFont val="Arial"/>
        <family val="2"/>
      </rPr>
      <t>VIRTUAL CON VICTIMA</t>
    </r>
    <r>
      <rPr>
        <sz val="10"/>
        <rFont val="Arial"/>
        <family val="2"/>
      </rPr>
      <t xml:space="preserve"> - BURGOS, FRANCISCO TENTATIVA DE HOMICIDIO AGRAVADO POR ALEVOSIA EN PERJUICIO DE JAIRO IVAN CABANA </t>
    </r>
  </si>
  <si>
    <t>187847/23</t>
  </si>
  <si>
    <t>GUTIERREZ, LEONARDO NICOLAS POR LESIONES LEVES, AMENAZAS EN PERJUICIO DE PASTRANA FLORENCIA DE LOS ANGELES</t>
  </si>
  <si>
    <t>187672/23</t>
  </si>
  <si>
    <t>187846/23</t>
  </si>
  <si>
    <t>GONZALEZ, GERMAN EDUARDO POR DESOBEDIENCIA JUDICIAL EN PERJUICIO DE QUISPE ELIZABETH GRACIELA</t>
  </si>
  <si>
    <t>SUBELZA, CARLOS ALFREDO POR VIOLACION DE DOMICILIO, DESOBEDIENCIA JUDICIAL EN PERJUICIO DE PASCUALI, NOEMI LORENA</t>
  </si>
  <si>
    <t>187471/23</t>
  </si>
  <si>
    <t>MAMANI, MAURO ARNALDO FELIPE POR EL DELITO DE AMENAZAS CON ARMAS DOS HECHOS Y DAÑOS</t>
  </si>
  <si>
    <t>187973/23</t>
  </si>
  <si>
    <t>ALBA, ANDREA ABIGAIL Y ALBA YAMILA SOLEDAD POR EL DELITO DE TENENCIA DE ESTUPEFACIENTES CON FINES DE COMERCIALIZACION EN PERJUICIO DE LA SALUD PUBLICA</t>
  </si>
  <si>
    <t>Dr. Torres, Diego MP Nº 7733</t>
  </si>
  <si>
    <t>187945/23</t>
  </si>
  <si>
    <t>186037/23</t>
  </si>
  <si>
    <r>
      <rPr>
        <b/>
        <sz val="10"/>
        <rFont val="Arial"/>
        <family val="2"/>
      </rPr>
      <t>MAMANI, JONATHAN ALEJANDRO</t>
    </r>
    <r>
      <rPr>
        <sz val="10"/>
        <rFont val="Arial"/>
        <family val="2"/>
      </rPr>
      <t xml:space="preserve"> Y AYBAR, ANDREA MACARENA POR EL DELITO DE HURTO SIMPLE EN PERJUICIO DE UACHI, GRACIELA EDITH</t>
    </r>
  </si>
  <si>
    <t>187747/23</t>
  </si>
  <si>
    <t xml:space="preserve"> 12:24</t>
  </si>
  <si>
    <r>
      <rPr>
        <b/>
        <sz val="10"/>
        <rFont val="Arial"/>
        <family val="2"/>
      </rPr>
      <t>ABREVIADO:</t>
    </r>
    <r>
      <rPr>
        <sz val="10"/>
        <rFont val="Arial"/>
        <family val="2"/>
      </rPr>
      <t xml:space="preserve"> DOS MESES EFECTIVA - Dop 9 - Dra. De la Cuesta</t>
    </r>
  </si>
  <si>
    <t>Se adelante la audiencia por arreglo entre las partes</t>
  </si>
  <si>
    <t>SUSPENSIÓN DE JUICIO A PRUEBA</t>
  </si>
  <si>
    <t>Demora por llegada tarde de la Fiscal</t>
  </si>
  <si>
    <t xml:space="preserve"> 08:26 </t>
  </si>
  <si>
    <r>
      <rPr>
        <b/>
        <sz val="10"/>
        <rFont val="Arial"/>
        <family val="2"/>
      </rPr>
      <t>PRISION PREVENTVA</t>
    </r>
    <r>
      <rPr>
        <sz val="10"/>
        <rFont val="Arial"/>
        <family val="2"/>
      </rPr>
      <t xml:space="preserve"> Abo: Martin Torres - Asesoria de Incapaces Nº 3 - Asesoría Nº 8 y Nª 1</t>
    </r>
  </si>
  <si>
    <t xml:space="preserve">7:30 sala sin luz - funcionan compus - audio y video - microfono del imputado un poco bajo. 7:50 encienden luces. Hs. 08:08 co defensor part. Dr. Martin Torres- 08:12 victima, Defensor Dr. Pedroza 08:21 08:30 llega. Dra. Cardon cuarto intermedio. </t>
  </si>
  <si>
    <t>Retraso de la Juez</t>
  </si>
  <si>
    <t xml:space="preserve"> 09:30 </t>
  </si>
  <si>
    <r>
      <rPr>
        <b/>
        <sz val="10"/>
        <rFont val="Arial"/>
        <family val="2"/>
      </rPr>
      <t>PRISION PREVENTIVA</t>
    </r>
    <r>
      <rPr>
        <sz val="10"/>
        <rFont val="Arial"/>
        <family val="2"/>
      </rPr>
      <t xml:space="preserve"> La defensa pide acumulacion con gar 187200</t>
    </r>
  </si>
  <si>
    <t>Demora de la Fiscalia</t>
  </si>
  <si>
    <t>DOP 3 - Sec. Waldo Albornoz</t>
  </si>
  <si>
    <t>Cuarto Intermedio desde 08:28 a 08:31</t>
  </si>
  <si>
    <r>
      <rPr>
        <b/>
        <sz val="10"/>
        <rFont val="Arial"/>
        <family val="2"/>
      </rPr>
      <t xml:space="preserve">PRISION PREVENTIVA X 3 MESES - Se requiere Junta Medica y nueva audiencia para el 15/03/2024 -- </t>
    </r>
    <r>
      <rPr>
        <sz val="10"/>
        <rFont val="Arial"/>
        <family val="2"/>
      </rPr>
      <t>Asesoria Nº 7 por al imputado- y asesoria de incapaces 10 Dra. Guadalupe Salatin por las víctimas</t>
    </r>
  </si>
  <si>
    <t>ABREVIADO: 8 MESES PRISION EFECTIVA ---- S/PP POR MESA</t>
  </si>
  <si>
    <t xml:space="preserve">DEMORA POR ARREGLO ENTRE LAS PARTES, DEMORA POR PROBLEMA DE COECCION CON LA DRA DAVALOS </t>
  </si>
  <si>
    <t>ABREVIADO: 3 MESES Y 15 DIAS DE PRISION EFECTIVA</t>
  </si>
  <si>
    <t>SALA GRANDES JUICIOS</t>
  </si>
  <si>
    <t>ABREVIADO: CONDENA 2 MESES EFECTIVA</t>
  </si>
  <si>
    <r>
      <rPr>
        <b/>
        <sz val="10"/>
        <rFont val="Arial"/>
        <family val="2"/>
      </rPr>
      <t>MEDIDA DE SEGURIDAD PROVOSOARIA CON INTERNACION EN EL HOSPITAL RAGONE -  SOLICITA JUNTA MEDICA</t>
    </r>
    <r>
      <rPr>
        <sz val="10"/>
        <rFont val="Arial"/>
        <family val="2"/>
      </rPr>
      <t xml:space="preserve">  --  Asesoria de incapaces 9 Dra. Marta Bustos (p/víctima) - asesoria 4 Dra. Perez (p/imputado)</t>
    </r>
  </si>
  <si>
    <t xml:space="preserve">NO SE RESOLVIO DE ORDENO LA DEVOLUCION DEL EXPTE PARA SU ACUMULACION ---- Reprogramada - Suspendida audiencia del dia 06/12 por incomparencia de la Fiscal interina  - En la presente causa se encuentra en LIBERTAD --PERO se encuentra detendido en el expediente GAR 184550/23 del Juzgadp de Garantías Nº 1. </t>
  </si>
  <si>
    <t>SUSPENDIDA HAY QUE REPROGRAMAR YA QUE EL JUEZ PIPINO SE ENCONTRABA EN LA AUDIENCIA EN LA SALA DE GRANDES JUICIO</t>
  </si>
  <si>
    <t>AREVALO / SANTIAGO</t>
  </si>
  <si>
    <r>
      <rPr>
        <b/>
        <sz val="10"/>
        <color rgb="FFFF0000"/>
        <rFont val="Arial"/>
        <family val="2"/>
      </rPr>
      <t>ALANIZ, HECTOR JOSE Y SALVATIERRA, IVANA LORENA</t>
    </r>
    <r>
      <rPr>
        <b/>
        <sz val="10"/>
        <rFont val="Arial"/>
        <family val="2"/>
      </rPr>
      <t xml:space="preserve"> </t>
    </r>
    <r>
      <rPr>
        <sz val="10"/>
        <rFont val="Arial"/>
        <family val="2"/>
      </rPr>
      <t xml:space="preserve">POR EL DELITO DE TENENCIA DE ESTUPEFACIENTES CON FINES DE COMERCIALIZACIÓN EN PERJUICIO DE </t>
    </r>
  </si>
  <si>
    <r>
      <rPr>
        <sz val="10"/>
        <color rgb="FFFF0000"/>
        <rFont val="Arial"/>
        <family val="2"/>
      </rPr>
      <t xml:space="preserve">Vic. por videollamda </t>
    </r>
    <r>
      <rPr>
        <sz val="10"/>
        <rFont val="Arial"/>
        <family val="2"/>
      </rPr>
      <t xml:space="preserve">PALACIOS, HECTOR MAXIMILIANO POR ELDELITO DE ROBO CALIFICADO POR COMETERSE CON ARMA IMPROPIA EN PERJUIOCIO DE LOPEZ JUAN CARLOS </t>
    </r>
  </si>
  <si>
    <t>187659/23</t>
  </si>
  <si>
    <t xml:space="preserve">AGUIRRE, GUSTAVO ENRIQUE POR EL DELITO DE HURTO CALIFICADO DEJADO EN LA VÍA PÚBLICA EN PERJUICIO DE  </t>
  </si>
  <si>
    <t>187673/23</t>
  </si>
  <si>
    <t xml:space="preserve">DUARTE, FERNANDO DAMIAN POR ROBO SIMPLE EN GRADO DE TENTATIVA EN PERJUICIO DE MAMANI SINGURI, RAIMUNDO </t>
  </si>
  <si>
    <t>Medida de seguridad provisoria</t>
  </si>
  <si>
    <t>Dr. Martìn Perez</t>
  </si>
  <si>
    <t>Sala 1 Vocalia 2</t>
  </si>
  <si>
    <t>IMP Sala 4 Voc 2</t>
  </si>
  <si>
    <t>Dr. Federico Flores</t>
  </si>
  <si>
    <t>MARTINEZ, RICARDO TOMAS Y JAIME, FEDERICO NAHUEL POR EL DELITO DE ROBO SIMPLE EN PERJUICIO DE MARIA DEL CARMEN GUAYMAS</t>
  </si>
  <si>
    <t>187889/23</t>
  </si>
  <si>
    <t>RALA, PABLO EMANUEL POR ROBO SIMPLE EN PERJUICIO DE FRIAS MIGUEL ANGEL Y EXPEDIENTE ACUMULADO GAR 184261/23</t>
  </si>
  <si>
    <t>187878/23</t>
  </si>
  <si>
    <t>PASTORE DANIEL SEBASTIAN POR TENENCIA DE ESTUPEFACIENTES CON FINES DE COMERCIALIZACION EN PERJUICIO DE LA SALUD PUBLICA</t>
  </si>
  <si>
    <t>187894/23</t>
  </si>
  <si>
    <t>CISNERO, CARLOS DOMINGO POR EL DELITO DE ROBO SIMPLE, PERELLO, FACUNDO JESUS POR ROBO SIMPLE EN PERJUICIO DE EDESA</t>
  </si>
  <si>
    <t>LOPEZ, ADOLFO JEREMIAS POR EL DELITO DE ROBO SIMPLE EN PERJUICIO DE ROSSEL, MIRIAM MAGDALENA</t>
  </si>
  <si>
    <t>187931/23</t>
  </si>
  <si>
    <t xml:space="preserve">TORRES, WALTER GUSTAVO POR EL DELITO DE DESOBEDIENCIA JUDICIAL EN PERJUICIO DE MONTES, AMALIA ANALIA </t>
  </si>
  <si>
    <t>187913/23</t>
  </si>
  <si>
    <t xml:space="preserve">CASTILLO, SERGIO DAVID POR EL DELITO DE ROBO SIMPLE EN PERJUIZIO DE MARAZ, MAURICIO EMANUEL </t>
  </si>
  <si>
    <t>188045/23</t>
  </si>
  <si>
    <t>LANCAY, SERGIO JOSE POR ROBO EN POBLADO Y EN BANDA EN PERJUICIO COITINIO, IGNACIO SEBASTIAN</t>
  </si>
  <si>
    <t>187736/23</t>
  </si>
  <si>
    <t xml:space="preserve">CASTILLO, CIRSITAN JESUS Y CASTILLO, ZOE AGUSTINA POR EL DELITO DE AMENAZAS CON ARMA Y AMENAZAS EN PERJUICIO ANGEL DANIEL MARTINEZ </t>
  </si>
  <si>
    <t>FP UDIS 1 - Federico Obeid</t>
  </si>
  <si>
    <t>FP UDIS 4 - Dr. Pablo Rivero</t>
  </si>
  <si>
    <t>DOP 14 - Aux. Dra. Carolina Anuch</t>
  </si>
  <si>
    <t>DOP 13 - Aux. Lucrecia Moreno Fleming</t>
  </si>
  <si>
    <t>DOP 13 - Aux. Dra. Raquel Zerdan</t>
  </si>
  <si>
    <t>DOP 3 - Aux. Waldo Albornoz</t>
  </si>
  <si>
    <t>DOP 4 - Aux. Dr. Delia Gutierrez</t>
  </si>
  <si>
    <t>DOP 7 - Aux. Dra. Gamboni</t>
  </si>
  <si>
    <t>DOP 16 - Aux. Dra. Celeste Barboza</t>
  </si>
  <si>
    <t>DOP 17 - Aux. Dra. Carolina Marinaro</t>
  </si>
  <si>
    <t>FP 2 D.S.Lorenzo - Ramos Ossorio</t>
  </si>
  <si>
    <t>FP VIFG 1 - Dra. Siemsen de Bielke</t>
  </si>
  <si>
    <t>FP VIFG 2 - Dra. Sodero Calvet</t>
  </si>
  <si>
    <t>FP VIFG 5. Dra. Liliana Jorge</t>
  </si>
  <si>
    <t>FP VIFG 3 - Dra. Gabriela Davalos</t>
  </si>
  <si>
    <t>FP VIFG 4 - Dra. Elisa Perez</t>
  </si>
  <si>
    <t>UGAP 1 - Dr. Leandro Flores</t>
  </si>
  <si>
    <t>UGAP 2 - Dr. Gabriel Gonzalez</t>
  </si>
  <si>
    <t>UFEM - Dra. Monica Poma</t>
  </si>
  <si>
    <t>FP UDEC - Dra. Salinas</t>
  </si>
  <si>
    <t>FP UNICROH - Dra. Guzman</t>
  </si>
  <si>
    <t>FP DDHH - Dra. Geria</t>
  </si>
  <si>
    <t>FP 1 - Dr. Pablo Paz</t>
  </si>
  <si>
    <t>FP 4 -  Dr. Facundo Ruiz de los Llanos</t>
  </si>
  <si>
    <t>FP 5 - Dr. Federico Jovanovics</t>
  </si>
  <si>
    <t>FP 6 - Dr. Analía Adet Figueroa</t>
  </si>
  <si>
    <t>FP Rosario de Lerma - Dr. Escalante</t>
  </si>
  <si>
    <t>FP 1 - Aux. Dr. Luján Carrizo</t>
  </si>
  <si>
    <t>FP 3 Limache - Aux. Dr. Campoccia</t>
  </si>
  <si>
    <t>FP de Cerrillos - Aux. Dr. Norma Martínez</t>
  </si>
  <si>
    <t>FP CERRILLLOS - Aux. DRA. BUSANOVICH</t>
  </si>
  <si>
    <t xml:space="preserve">Fiscal de Cerrrilos - Dra. Analia Adet </t>
  </si>
  <si>
    <t>Motivo atraso: Tardanza en organización - Falto la notificación a un defensor particular</t>
  </si>
  <si>
    <t>Atraso: Llego tarde el fiscval</t>
  </si>
  <si>
    <t>Motivo atraso: Llegaron todas las partes</t>
  </si>
  <si>
    <t>Asesoria Nº 9 - Dra. Bustos - vista asesor 04/12/23 - Querella Dra. Aquino - Prision preventiva</t>
  </si>
  <si>
    <t>188073/23</t>
  </si>
  <si>
    <t xml:space="preserve">YAÑEZ AGUIRRE, HÉCTOR ANDRÉS POR EL DELITO DE DESOBEDIENCIA JUDICIAL EN PERJUICIO DE AGUIRRE, LORENA BEATRIZ </t>
  </si>
  <si>
    <t>187888/23</t>
  </si>
  <si>
    <t>GOMEZ. YAMILA ELIZABETH POR AMENAZAS CON ARMA, VIOLACION DE DOMICILIO EN PERJUICIO DE GUERRERO MARTA RAFAEL</t>
  </si>
  <si>
    <t>188021/23</t>
  </si>
  <si>
    <t xml:space="preserve">FERNANDEZ, CRISTIAN FEDERICO POR ROBO SIMPLE EN PERJUICIO DE MARTINEZ CORNEJO AGUSTINA </t>
  </si>
  <si>
    <t>188069/23</t>
  </si>
  <si>
    <t>MENDIETA, JORGE ALEJANDRO POR EL DELITO DE HURTO EN GRADO DE TENTATIVA EN PERJUICIO DE MANSILLA HECTOR</t>
  </si>
  <si>
    <t>187920/23</t>
  </si>
  <si>
    <t xml:space="preserve">FRONTALINI COSTILLA, EMANUEL POR LESIONES LEVES, AMEANAZAS, DESOBEDIENCIA JUDICIAL EN PERJUICIO DE AGUIRRE, DAMARIS TAMARA </t>
  </si>
  <si>
    <t>187916/23</t>
  </si>
  <si>
    <t xml:space="preserve">DIAZ, GONZALO MIGUEL POR LESIONES AGRAVADAS EN PERJUICIO DE BARBARA BLASCO </t>
  </si>
  <si>
    <t>187940/23</t>
  </si>
  <si>
    <t>RIVADERA, SEBASTIAN ALBERTO POR ROBO CALIFICADO POR SER COMETIDO EN POBLADO Y EN BANDA EN PERJUICIO DE CALISAYA, MARTA TEODORA</t>
  </si>
  <si>
    <t>188022/23</t>
  </si>
  <si>
    <t>Dr. Cesar Zelarayan MP 5046</t>
  </si>
  <si>
    <t>188039/23</t>
  </si>
  <si>
    <t>RUEDAS, LOURDES MICAELA; GONZALEZ MAZA ARTURO Y PELOC, HECTOR EZEQUIEL POR ROBO CALIFICADO POR HABERSE COMETIDO EN POBLADO Y EN BANDA EN PERJUICIO DE TAPIA RICARDO</t>
  </si>
  <si>
    <t>188032/23</t>
  </si>
  <si>
    <t>RODRIGUEZ, JOAQUIN ABEL POR ABUSO SEXUAL CON ACCESO CARNAL EN PERJUICIO DE CONDORI, ROMINA CELESTE</t>
  </si>
  <si>
    <t>187679/23</t>
  </si>
  <si>
    <t>187814/23</t>
  </si>
  <si>
    <t>NERIS, MARTIN ALEJANDRO POR AMENAZAS (DOS HECHOS), PRIVACION ILEGITIMA DE LA LIBERTAD AGRAVADA POR COMETER EL HECHO CON VIOLENCIA O AMENAZAS Y CONTRA PERSONA QUE SE DEBE RESPETO PARTICULAR Y LESIONES GRAVES AGRAVADAS POR LA RELACION DE PAREJA PREVIA Y EL GENERO EN PERJUICIO DE SERRANO, GABRIELA ELIZABETH</t>
  </si>
  <si>
    <t>143453/17</t>
  </si>
  <si>
    <t>AGUIRRE, VICTOR ALBERTO POR HOMICIDIO CULPOSO CALIFICADO EN PREJUICIO DE NINAJA, KANASA MOISES</t>
  </si>
  <si>
    <t>VALEZ, YOLANDA SUSANA POR EL DELITO DE ENCUBRIMIENTO Y HURTO CALIFICADO POR VEHICULO DEJAO EN LA VÍA PUBLICA EN PERJUICIO DE AGUSTINA CASTILLA</t>
  </si>
  <si>
    <t>187746/23</t>
  </si>
  <si>
    <t>ALDERETE, LUCAS PATRICIO - HURTO CALIFICADO POR ESCALAMIENTO EN GRADO DE TENTATIVA EN PERJUICIO DE ANDREA CAROLINA BARBOZA</t>
  </si>
  <si>
    <t>187784/23</t>
  </si>
  <si>
    <t>CECCHETTI, RODOLFO ERNESTO; CORIA, CRISTIAN GABRIEL POR ROBO SIMPLE (DOS HECHOS) HURTO (DOS HECHOS)</t>
  </si>
  <si>
    <t>Dr. Daniel Arnedo MP Nº 5427</t>
  </si>
  <si>
    <t>185422/23</t>
  </si>
  <si>
    <t>COLQUI, MIRIAN DEL CARMEN; ROMANO, FRANCISCO JUAN POR HURTO SIMPLE VALDEZ, CAROLINA DEL VALLE</t>
  </si>
  <si>
    <t>187610/23</t>
  </si>
  <si>
    <t>SCHANZ, GABRIEL SEBASTIAN POR ROBO AGRAVADO POR LA PARTICIPACION DE UN MENOR DE EDAD -TRES HECHOS</t>
  </si>
  <si>
    <t>187791/23</t>
  </si>
  <si>
    <t xml:space="preserve">CRUZ AGUIRRE, LEONEL ANGEL POR ABUSO SEXUAL GRAVEMENTE ULTRAJANTE POR LAS CIRCUNSTANCIAS DE SU REALIZACION Y DURACION EN EL TIEMPO AGRAVADO POR LA CONVIVENCIA Y ABUSO SEXUAL CON ACCESO CARNAL AGRAVADO POR LA CONVIVENCIA, TODO EN CONCURSO REAL </t>
  </si>
  <si>
    <t>187816/23</t>
  </si>
  <si>
    <t>CASTILLO, ZOE POR TENENCIA DE ESTUPEFACIENTES CON FINES DE COMERCIALIZACIÓN EN PERJUICIO DE LA SALUD PUBLICA º</t>
  </si>
  <si>
    <t>187817/23</t>
  </si>
  <si>
    <t>VIÑABAL, NESTOR CARLOS POR LESIONES CON ARMA  EN PERJUICIO DE TAPIA, SILVIA LEONOR</t>
  </si>
  <si>
    <t>GUTIERREZ, RAMON ORLANDO POR HURTO SIMPLE</t>
  </si>
  <si>
    <t>188064/23</t>
  </si>
  <si>
    <t>161039/19</t>
  </si>
  <si>
    <t>188009/23</t>
  </si>
  <si>
    <t xml:space="preserve"> CARLOS EMANUEL VITIAN POR EL DELITO DE ABUSO SEXUAL GRAVEMENTE ULTRAJANTE AGRAVADO POR LA SITUACIÓN DE CONVIVENCIA PREEXISTENTE CON MENOR DE DIECIOCHO AÑOS en perjuicio de la menor Mariel Elizabeth Apaza</t>
  </si>
  <si>
    <t xml:space="preserve">RIOS, JUAN ANTONIO POR TENENCIA SIMPLE DE ESTUPEFACIENTES EN PERJUICIO DE SALUD PUBLICA </t>
  </si>
  <si>
    <t>187989/23</t>
  </si>
  <si>
    <t>187980/23</t>
  </si>
  <si>
    <t xml:space="preserve">GAR 3 </t>
  </si>
  <si>
    <t>VICEVIC, JOSE LEANDRO POR HURTO AGRAVADO POR LA PARTICIPACIÓN DE UN MENOR EN PERJUICIO DE SUPERMERCADO VITAL</t>
  </si>
  <si>
    <t>187926/23</t>
  </si>
  <si>
    <t>SANDOVAL , CRISTIAN MICHEL POR ROBO SIMPLE EN PERJUICIO DE CARRAL, MATÍAS RAFAEL; BATRUNI MIGUEL ANGEL; ROBERT, MARÍA ROSA; NUÑEZ, MONICA SUSANA Y MOYANO, PABLO</t>
  </si>
  <si>
    <t>188099/23</t>
  </si>
  <si>
    <t xml:space="preserve">CARRIZO, CARLOS JAVIER POR EL DELITO DE ABUSO SEXUAL GRAVEMENTE ULTRAJANTE POR LA REITERACION Y DURACION AGRAVADO POR LA GUARDA, VINCULO Y CONVIVENCIA; AMENAZAS Y COACCION EN PERJUICIO DE </t>
  </si>
  <si>
    <t>187668/23</t>
  </si>
  <si>
    <t>OCAMPO, ALEXIS NAHIE POR TENENCIA DE ESTUPEFACIENTES CON FINES DE COMERCIALIZACIÓN EN PERJUICIO DE LA SALUD PUBLICA</t>
  </si>
  <si>
    <t>Dra. Diaz Solohaga, Claudia MP 7220</t>
  </si>
  <si>
    <t>187786/23</t>
  </si>
  <si>
    <t>DIAZ, JOSE EDUARDO POR EL DELITO DE HURTO SIMPLE EN PERJUICIO DE GALVAN OFELIA</t>
  </si>
  <si>
    <t>SE DEVOLVIO AL JUZGADO DE ORIGEN PORQUE EL IMPUTADO SE ENCUENTRA INTERNADO</t>
  </si>
  <si>
    <t>El imputado esta internado</t>
  </si>
  <si>
    <t>188114/23</t>
  </si>
  <si>
    <t>LAZARTE ATILIO VALENTIN POR EL DELITO DE ATENTADO A LA AUTORIDAD AGRAVADO EN CONCURSO REAL CON RESISTENCIA A LA AUTORIDAD</t>
  </si>
  <si>
    <t>188044/23</t>
  </si>
  <si>
    <t>ZENTENO CARLOS SEBASTÍAN POR AMENAZAS Y DESOBEDIENCIA JUDICIAL EN PERJUICIO DE VACAFLOR, FABIANA CARINA</t>
  </si>
  <si>
    <r>
      <t xml:space="preserve">ILLESCA, Critian Ignacio y ALVAREZ Emanuel Norberto </t>
    </r>
    <r>
      <rPr>
        <b/>
        <sz val="10"/>
        <rFont val="Arial"/>
        <family val="2"/>
      </rPr>
      <t>JIMENEZ Hector Ruben</t>
    </r>
    <r>
      <rPr>
        <sz val="10"/>
        <rFont val="Arial"/>
        <family val="2"/>
      </rPr>
      <t xml:space="preserve"> SACARIAS Juan Carlos - FABRICIO Isaias Sacarias Galindo  --- VILTE Bruno Exequiel Carabjal por ESTAFA Y ASOCIACION ILICITA en Concurso Real en perj. De </t>
    </r>
  </si>
  <si>
    <t>187713/23</t>
  </si>
  <si>
    <t>LENCINA, FRANCO JAMIL Y RODRIGUEZ, CESAR RUBEN POR EL DELITO ROBO CALIFICADO POR COMETERSE EN PROBLE Y EN BANDA EN PERJUICIO DE MENDEZ, CANDELA</t>
  </si>
  <si>
    <t>Dr. Sola Garrido  MP 3136</t>
  </si>
  <si>
    <t>Atraso: llego tarde el juez</t>
  </si>
  <si>
    <t>Abreviado 9 meses efectiva</t>
  </si>
  <si>
    <t>Abreaviado - 4 meses efectiva</t>
  </si>
  <si>
    <t>Atraso: llego tarde el fiscal</t>
  </si>
  <si>
    <t>Abreviado - 28 dias efectiva</t>
  </si>
  <si>
    <t>Atraso: subieron tarde al imputado</t>
  </si>
  <si>
    <t>Qurellante, Dra. Jimenez, Marcela Fernanda MP 7267 - ASESORIA Nº 10 - Prision preventiva</t>
  </si>
  <si>
    <t>Asesoria 2 - Dr. Cuellar para ambos imputados - 4 (CUATRO) AÑOS DE PRISIÓN DE EJECUCIÓN EFECTIVA PARA CHOQUE - 2 (DOS) AÑOS Y 8 (OCHO) MESES DE PRISIÓN DE EJECUCIÓN CONDICIONAL PARA QUIROGA.</t>
  </si>
  <si>
    <t>ACUMULARON AL EXP 168.883 - Libertad con medidas sustitutivas</t>
  </si>
  <si>
    <t>Se tardo en cambiar de juez por licencia por enfermedad del sorteado</t>
  </si>
  <si>
    <t>abreviado 2 años y 8 meses condicional - Inc. G01 - Se fijo en oga para 21/12/2023 a hs 8 confirmar modificacion</t>
  </si>
  <si>
    <t>QURELLANTE: ANACHURI RODRIGO FRANCO - Prision domiciliaria</t>
  </si>
  <si>
    <t>Atraso: llego tarde el querellante</t>
  </si>
  <si>
    <t>Asesoría de Menores 8 - Suspendida por incomparencia del abogado particular</t>
  </si>
  <si>
    <t>DOP 9 por Vallejos y Dr. Adet por Aramayo - Libertad con medidas sustitutivas para Vallejos y Arresto domiciliario para Aramayo</t>
  </si>
  <si>
    <t>Atraso: subieron tarde a los imputados</t>
  </si>
  <si>
    <t>Preventiva y elevaciòn a juicio</t>
  </si>
  <si>
    <t>Atraso: Tratatvas</t>
  </si>
  <si>
    <t>Asesoría Nº 9 - Abreviado 8 años efectiva</t>
  </si>
  <si>
    <t>Atraso: audiencia previa</t>
  </si>
  <si>
    <t>ABREVIADO: 4 años efectiva para PEREZ Mariana Natalia --- 3 años Condicional + REGLAS DE CONDUCTAS para GONZALEZ Jose Manuel</t>
  </si>
  <si>
    <t>Abreviado - 4 meses efectiva</t>
  </si>
  <si>
    <t>Qte. Dra. Albornoz, Laura de los Ángeles MP 6494 ---Suspendida x el Dr. Pastrana Reprogramada del 22/12 al 27/12</t>
  </si>
  <si>
    <t>Atraso: Llego tarde la defensa publica</t>
  </si>
  <si>
    <t>Abreviado - 2 meses efectiva</t>
  </si>
  <si>
    <t>Sobreseimiento - Procedimiento de conciliación - ordena inmediata libertad .-</t>
  </si>
  <si>
    <t>Atraso: llego tarde el defensor particular</t>
  </si>
  <si>
    <t>Asesoría Nº 2 - Prisiòn preventiva</t>
  </si>
  <si>
    <t>Atraso: se demoro el juez</t>
  </si>
  <si>
    <t>Abreviado - 1 año y 3 meses condicional</t>
  </si>
  <si>
    <t>Abreviado - 1año condicional</t>
  </si>
  <si>
    <t>Atraso: se demoro la juez</t>
  </si>
  <si>
    <t>Dr. Orfeo Maggio - Prisiòn preventiva</t>
  </si>
  <si>
    <t>abreviado 1 año y 5 meses condicional</t>
  </si>
  <si>
    <t>187948/23</t>
  </si>
  <si>
    <t>BAEZ VILLAGRA, NICOLAS EDUARDO POR LESIONES AGRAVAS EN PERJUICIO DE GUTIERREZ, ANA LAURA ISABEL</t>
  </si>
  <si>
    <t>187949/23</t>
  </si>
  <si>
    <t>FLORES, SERGIO DAVID POR EL DELITO DE DESOBEDIENCIA JUDICIAL, AMENAZAS Y AGRESIÓN CON ARMA IMPROPIA AGRAVADA EN CONCURSO REAL EN PERJUICIO DE ARANZA GARZONM VIRGINIA ALEJANDRA</t>
  </si>
  <si>
    <t>188017/23</t>
  </si>
  <si>
    <t xml:space="preserve">LOPEZ, PABLO ERNESTO POR AMENAZAS EN PERJUICIO DE LOPEZ, NATALIA SOLEDAD </t>
  </si>
  <si>
    <t>LOPEZ, MAIRA ANA LUZ Y OTALORA JORGE JAVIER POR ROBO CALIFICADO EN PERJUICIO DE BARNICHEA, SABRINA TRINIDAD-</t>
  </si>
  <si>
    <t>188034/23</t>
  </si>
  <si>
    <t>188061/23</t>
  </si>
  <si>
    <t>FARFAN, CRISTIAN ESTEBAN ALFREDO POR ROBO CALIFICADO EN PERJUICIO DE DOTTORI, JOSE ANTONIO</t>
  </si>
  <si>
    <t>188100/23</t>
  </si>
  <si>
    <t xml:space="preserve">EGUEZ, AGUSTIN FACUNDO POR ROBO CALIFICADO POR EL USO DE ARMA EN PERJUICIO DE RIOS, LEONEL DAMIAN </t>
  </si>
  <si>
    <t>PAZ BURGOS, FRANCISCO JAVIER EN PERJUICIO DE CEBALLOS, MARIA FERNANDA POR EL DELITO DE ROBO SIMPLE.-</t>
  </si>
  <si>
    <t>188033/23</t>
  </si>
  <si>
    <t>ALVAREZ, WALTER ALEJANDRO POR HURTO EN PERJUICIO DE LOCAL MEGA SHOP</t>
  </si>
  <si>
    <t>188063/23</t>
  </si>
  <si>
    <t>188038/23</t>
  </si>
  <si>
    <t xml:space="preserve">FARFAN GALLARDO, RODRIGO JOSE MARIA POR ROBO EN GRADO DE TENTATIVA Y ABUSO SEXUAL SIMPLE </t>
  </si>
  <si>
    <t>ROMERO, JONATHAN ALEJANDRO POR LESIONES LEVES AGRAVADAS Y DESOBEDIENCIA JUDICIAL EN PERJUICIO DE GUAYMAS, CARLA DANIELA-</t>
  </si>
  <si>
    <t>188098/23</t>
  </si>
  <si>
    <t>188130/23</t>
  </si>
  <si>
    <t>188062/23</t>
  </si>
  <si>
    <t>AGUAYO FLORES, JAVIER NICOLAS POR EL DLEITO DE LESIONES LEVES AGRAVADAS POR LA RELACION DE PAREJA PREVIA Y GENERO, VIOLACION DE DOMICILIO Y RESISTENCIA A LA AUTORIDAD EN PERJUICIO DE CONDORI, GUADALUPE MARÍA FERNANDA</t>
  </si>
  <si>
    <t>Dr. Alvaro, Arias Camacho MP 3835</t>
  </si>
  <si>
    <t xml:space="preserve"> 12:15</t>
  </si>
  <si>
    <t>Dra. Marocco</t>
  </si>
  <si>
    <t>Dr. Diez</t>
  </si>
  <si>
    <r>
      <rPr>
        <b/>
        <sz val="10"/>
        <rFont val="Arial"/>
        <family val="2"/>
      </rPr>
      <t>SE SUSPENDE ATENTO A LA LIBERTAD OTORGADA EN EL JUZGADO DE ORIGEN</t>
    </r>
    <r>
      <rPr>
        <sz val="10"/>
        <rFont val="Arial"/>
        <family val="2"/>
      </rPr>
      <t xml:space="preserve"> - Se remite en fecha 19/12/2023 el expediente para proveer una solicitud medica, -- posible libertad- ---</t>
    </r>
  </si>
  <si>
    <t>Dra. Marquèz</t>
  </si>
  <si>
    <t>en fecha 27/12 se remite al juzgado de origen para otorgarse medidas suttutivas</t>
  </si>
  <si>
    <t>184732/23</t>
  </si>
  <si>
    <t>ROJAS, ROLADO RUFINO POR EL DELITO DE ABUSO SEXUAL CON ACCESO CARNAL CONTINUADO EN PERJUICIO DE FLORES, JUANA PATRICIA</t>
  </si>
  <si>
    <t>el expediente lo resuelve el juzgado de origen</t>
  </si>
  <si>
    <t xml:space="preserve">se remite en devolución al juzgado de origne en fecha 14/12/2023. Suspendida por el Juez Feans y en fecha 15/12/2023 el Juzgado de Garantías Cuarta Nominación le otorga la libertad </t>
  </si>
  <si>
    <t>188007/23</t>
  </si>
  <si>
    <t>MORAS, CARLOS LEANDO POR EL DELITO DE ABUSO SEXUAL GRAVEMENTE ULTRAJANTE POR SU DURACIÓN Y CIRCUNSTANCIAS DE REALIZACIÓN AGRAVADO POR LA GUARDA Y LA CONVIVENCIA EN PERJUICIO DE Z.D.P.C.</t>
  </si>
  <si>
    <t>188189/23</t>
  </si>
  <si>
    <t>188094/23</t>
  </si>
  <si>
    <t>LUNA, SERGIO OSCAR POR LESIONES GRAVES EN PERJUICIO DE TORREJOM, EMANUEL</t>
  </si>
  <si>
    <t>187990/23</t>
  </si>
  <si>
    <t xml:space="preserve">RIVERO, OSCAR DANIEL POR TENENCIA DE ESTUPEFACIENTES CON FINES COMERCIALIZ. ART.5 INC EN PERJUICIO DE SALUD PUBLICA </t>
  </si>
  <si>
    <t>Dr. Gimenez, Reinaldo MP 6490</t>
  </si>
  <si>
    <t>188175/23</t>
  </si>
  <si>
    <t>188046/23</t>
  </si>
  <si>
    <t xml:space="preserve">ALFARO CHAUQUE, MARIO ALFREDO POR LESIONES LEVES, AMENAZAS EN PERJUICIO DE DECARI, TAMARA </t>
  </si>
  <si>
    <t>188051/23</t>
  </si>
  <si>
    <t>188185/23</t>
  </si>
  <si>
    <t xml:space="preserve">ROJAS, FRANCO FERNANDO POR VIOLACION Y DOMIDICILIO Y HURTO </t>
  </si>
  <si>
    <t>188066/23</t>
  </si>
  <si>
    <t>FRIAS, MARIA JOSEFINA POR ESTAFAS (4 HECHOS) Y FALSIFICACION DE DOCUMENTO EN PERJUICIO DE URQUIZA,, ANALIA SOLEDAD,</t>
  </si>
  <si>
    <t>188095/23</t>
  </si>
  <si>
    <t>OCAMPO CRISTIAN, POR AMENAZAS Y DESOBEDIENCIA JUIDICIAL EN PERJUICIO DE JOSE, MARINA VIVIANA-</t>
  </si>
  <si>
    <t>Dra. Carmen Rosa Cespedes Cartagena MP 4409</t>
  </si>
  <si>
    <t>188151/23</t>
  </si>
  <si>
    <t>188183/23</t>
  </si>
  <si>
    <t>188037/23</t>
  </si>
  <si>
    <t>187979/23</t>
  </si>
  <si>
    <t>188173/23</t>
  </si>
  <si>
    <t>ABREVIADO: TRES MESES EFECTIVA</t>
  </si>
  <si>
    <t>La Audiencia inicio a la hora que ingreso SS</t>
  </si>
  <si>
    <t>Dr. Martin Gimenez</t>
  </si>
  <si>
    <t>PRISION PREVENTIVA X 30 DIAS ----- Vic. Menor  - En vista a le mesa pupilar en fecha 06/12/23- ASESORIA 3</t>
  </si>
  <si>
    <t xml:space="preserve">Demora por llegada tarde del Fiscal </t>
  </si>
  <si>
    <t>ABREVIADO: DOS AÑOS CONDICIONAL MAS REGLAS DE CONDUCTAS</t>
  </si>
  <si>
    <t xml:space="preserve">PRISION PREVENTIVA ---  Vic. Menor -Asesoría Nº 2 vista asesor 04/12/23 - </t>
  </si>
  <si>
    <t>Demora Defensa y Demora Fiscal</t>
  </si>
  <si>
    <t>DOP 9 - Dra. Rosalia de la Cuesta</t>
  </si>
  <si>
    <t>PRISION PREVENTIVA -- ASESORIA 9 - vista a asesoria  para sorteo 07/12/2023</t>
  </si>
  <si>
    <t>Demora por audiencia anteriro</t>
  </si>
  <si>
    <r>
      <rPr>
        <b/>
        <sz val="10"/>
        <rFont val="Arial"/>
        <family val="2"/>
      </rPr>
      <t>PRISION PREVENTIVA</t>
    </r>
    <r>
      <rPr>
        <sz val="10"/>
        <rFont val="Arial"/>
        <family val="2"/>
      </rPr>
      <t xml:space="preserve"> c/exp acumulados 187140/23; 121084/15; 152338/18 y solicitar el exp JUI 151081/18</t>
    </r>
  </si>
  <si>
    <t>MOTIVO DE LA DEMORA: LA AUXILIAR FISCAL SE ENCONTRABA EN OTRA AUDIENCIA - LA AUDIENCIA INCIÓ A LA HORA QUE INGRESÓ S.S.</t>
  </si>
  <si>
    <t>LIBERTAD CON MEDIDAS SUSTITUTIVAS</t>
  </si>
  <si>
    <t>LIBERTAD CON MEDIDAS SUSTITUTIVAS SISTEMA SUMA</t>
  </si>
  <si>
    <t>Demora por llegada tarde de la aux. Fiscal quien se encontraba en otra audiencia de Ofiju GAR</t>
  </si>
  <si>
    <t xml:space="preserve">Abreviado: 1 años Condicional </t>
  </si>
  <si>
    <r>
      <rPr>
        <b/>
        <sz val="10"/>
        <rFont val="Arial"/>
        <family val="2"/>
      </rPr>
      <t>PRISION PREVENTIVA</t>
    </r>
    <r>
      <rPr>
        <sz val="10"/>
        <rFont val="Arial"/>
        <family val="2"/>
      </rPr>
      <t xml:space="preserve"> Cuarto intermedio y se reprogramada en fecha 12/12/2023 por el Sr. Juez. Para el día 14/12/2023</t>
    </r>
  </si>
  <si>
    <r>
      <rPr>
        <b/>
        <sz val="10"/>
        <rFont val="Arial"/>
        <family val="2"/>
      </rPr>
      <t xml:space="preserve">ARRESTO DOMICILIARIO </t>
    </r>
    <r>
      <rPr>
        <sz val="10"/>
        <rFont val="Arial"/>
        <family val="2"/>
      </rPr>
      <t xml:space="preserve">Defensa: Dr. ORTIN FERNANDEZ - revision pp </t>
    </r>
  </si>
  <si>
    <t>Cuarto Intermedio desde 09:19 a 09:27</t>
  </si>
  <si>
    <t>Demora de la Defensa por encontrarse en audiencia anteriror</t>
  </si>
  <si>
    <t>ABREVIADO: 3 AÑOS EFECTIVA</t>
  </si>
  <si>
    <t>ABREVIADO: 6 MESES PRISION EFECTIVA</t>
  </si>
  <si>
    <t>Demora por llegada tarde del Imputado</t>
  </si>
  <si>
    <t xml:space="preserve"> 12:06</t>
  </si>
  <si>
    <t>SE REPROGRAMO LA AUDIENCIA PARA HS. 12:00 POR ENCONTRARSE LA SRA. FISCAL EN AUDIENCIA DE DEBATE</t>
  </si>
  <si>
    <t xml:space="preserve">ARRESTO DOMICILIARIO </t>
  </si>
  <si>
    <t>Cuarto Intermedio desde 08:26 a 08:40</t>
  </si>
  <si>
    <r>
      <rPr>
        <b/>
        <sz val="10"/>
        <rFont val="Arial"/>
        <family val="2"/>
      </rPr>
      <t>Se suspende la audiencia por falta de Defensa del imputado COLQUE</t>
    </r>
    <r>
      <rPr>
        <sz val="10"/>
        <rFont val="Arial"/>
        <family val="2"/>
      </rPr>
      <t xml:space="preserve"> ---   Fernandez Ocampo por Castillo</t>
    </r>
  </si>
  <si>
    <t>Se suspende la audiencia por falta de defensa</t>
  </si>
  <si>
    <t>ARRESTO DOMICILIARIO PREVIA FACTIBILIDAD UADME</t>
  </si>
  <si>
    <t>ABREVIADO: 10 MESES DE PRISION EFECTIVA</t>
  </si>
  <si>
    <t>MOTIVO DE LA DEMORA: ACUERDO ENTRE LAS PARTES POR ACUMULACIÓN DE VARIAS CAUSAS - LA AUDIENCIA INICIÓ A LA HORA QUE INGRESÓ S.S.</t>
  </si>
  <si>
    <t>OCAMPOS SEDAN, CALUDIO FERNANDO POR EL DLEITO DE ROBO SIMPLE EN GRADO DE TENTATIVA EN PERJUICIO DE GUZMAN Jose Hernando</t>
  </si>
  <si>
    <r>
      <rPr>
        <b/>
        <sz val="10"/>
        <rFont val="Arial"/>
        <family val="2"/>
      </rPr>
      <t>REVISION PP</t>
    </r>
    <r>
      <rPr>
        <sz val="10"/>
        <rFont val="Arial"/>
        <family val="2"/>
      </rPr>
      <t xml:space="preserve"> CARDOZO Lidia Raquel por HOMICIDIO CALIFICADO por el Vinculo en perj. Menor LGC</t>
    </r>
  </si>
  <si>
    <t>SUAREZ Karen Maira por Amenazas y Violacion de Domicilio en perj. De CHILO Cintia Mabel</t>
  </si>
  <si>
    <t>RUIZ Hugo Armando por DESOBEDIENCIA JUDICIAL y AMENAZAS CON ARMA en perj. De ABRACAITE Gabriela Gisel</t>
  </si>
  <si>
    <t>MOYA, SERGIO GASTON POR DESOBEDIENCIA JUDICIAL en perj. De ESPARAGA Candelaria Alejandra</t>
  </si>
  <si>
    <t>JUAREZ Exequiel Marcelo por HURTO SIMPLE en perj. De PEDROZA Haydee Gladys</t>
  </si>
  <si>
    <t xml:space="preserve"> 13:13</t>
  </si>
  <si>
    <r>
      <rPr>
        <b/>
        <sz val="10"/>
        <rFont val="Arial"/>
        <family val="2"/>
      </rPr>
      <t>ABREVIADO: 6 MESES CONDICIONAL</t>
    </r>
    <r>
      <rPr>
        <sz val="10"/>
        <rFont val="Arial"/>
        <family val="2"/>
      </rPr>
      <t xml:space="preserve"> C/ inc. de abreviado inicial</t>
    </r>
  </si>
  <si>
    <r>
      <rPr>
        <b/>
        <sz val="10"/>
        <rFont val="Arial"/>
        <family val="2"/>
      </rPr>
      <t>SE SUSPENDE ATENTO QUE LA DEFENSA (DR. MAGGIO) SE ENCUENTRA INTERNADO</t>
    </r>
    <r>
      <rPr>
        <sz val="10"/>
        <rFont val="Arial"/>
        <family val="2"/>
      </rPr>
      <t xml:space="preserve"> -- hay que fijar nueva audiencia  La revision es por VIZCARRA, CARLOS GABRIEL </t>
    </r>
  </si>
  <si>
    <t>188200/23</t>
  </si>
  <si>
    <t>188194/23</t>
  </si>
  <si>
    <t>188149/23</t>
  </si>
  <si>
    <t>Dra. Daniela Cornejo</t>
  </si>
  <si>
    <r>
      <rPr>
        <sz val="10"/>
        <color rgb="FFFF0000"/>
        <rFont val="Arial"/>
        <family val="2"/>
      </rPr>
      <t>VIRTUAL FISCALIA</t>
    </r>
    <r>
      <rPr>
        <sz val="10"/>
        <rFont val="Arial"/>
        <family val="2"/>
      </rPr>
      <t xml:space="preserve"> - CENARDO, MAICOL ALFREDO POR ROBO SIMPLE EN PERJUICIO DE TORO, MONICA ADRIANA</t>
    </r>
  </si>
  <si>
    <t xml:space="preserve"> 12/:43</t>
  </si>
  <si>
    <t>HAY HACER FIRMAR LA PP ANTERIOR POR FISCAL Y DEFENSA -- asesoria de menores 4 SUSPENDIDA POR DESIGNACION DE NUEVO ABOGADOD EFENSOR QUE NO ESTABA NOTIFICADO</t>
  </si>
  <si>
    <t>Juciio abreaviado - 9 meses efectiva</t>
  </si>
  <si>
    <r>
      <t>arresto domiciliario - La PP solo x QUISPE.- El expediente pincipal se encuentra con acusación y</t>
    </r>
    <r>
      <rPr>
        <b/>
        <sz val="10"/>
        <rFont val="Arial"/>
        <family val="2"/>
      </rPr>
      <t xml:space="preserve"> </t>
    </r>
    <r>
      <rPr>
        <b/>
        <sz val="10"/>
        <color theme="1"/>
        <rFont val="Arial"/>
        <family val="2"/>
      </rPr>
      <t>PRESOS.-</t>
    </r>
  </si>
  <si>
    <t>Abreviado - 1 año condicional</t>
  </si>
  <si>
    <t>Atraso: el juez empezo tarde la audiencia</t>
  </si>
  <si>
    <t>Libertad con sustitutivas - Asesoria Nº 9 - Prorroga de la Detencion 390  - salio a mesa pupilar para sorteo el día 21/12/2023</t>
  </si>
  <si>
    <t>PRISION DOMICILIARIA - ASESORIA DE INCAPACES Nº 8 - Dra- Laconi - la victima con retraso madurativo - el dia 19/12/2023 se remite a mesa pupilar a pedido de la Asesoría para ver quien interviene.</t>
  </si>
  <si>
    <t>Atraso:Suubieron tarde al imputado</t>
  </si>
  <si>
    <t>Asesoría 5 y Asesoria 7 - PARA OLIVERA 3 (TRES) AÑOS DE PRISIÓN DE EJECUCIÓN CONDICIONAL CON REGLAS DE CONDUCTA DURANTE 3 (TRES) AÑOS - COMAN, FRANCISCO LEONEL (MENOR) DECLARACIÓN DE RESPONSABILIDAD POR ENCUBRIMIENTO POR DEJAR EL VEHÍCULO EN VÍA PÚBLICA</t>
  </si>
  <si>
    <t>Se adelanta - fecha anterior 05/01/2024 - Juicio abreviado 3 años condicional</t>
  </si>
  <si>
    <t xml:space="preserve">GAR 5 </t>
  </si>
  <si>
    <r>
      <rPr>
        <sz val="10"/>
        <color rgb="FFFF0000"/>
        <rFont val="Arial"/>
        <family val="2"/>
      </rPr>
      <t xml:space="preserve">Virtual victima y fiscal </t>
    </r>
    <r>
      <rPr>
        <sz val="10"/>
        <rFont val="Arial"/>
        <family val="2"/>
      </rPr>
      <t>CALDERON, JUAN CARLOS POR EL DELITO DE DESOBEDIENCIA JUDICIAL Y DAÑOS EN CONCURSO REAL EN PERJUICIO DE PEREZ, EDITH CAROLINA</t>
    </r>
  </si>
  <si>
    <t>188048/23</t>
  </si>
  <si>
    <t>188230/23</t>
  </si>
  <si>
    <t xml:space="preserve">CASTRO, MARCO JESUS POR HURTO, VIOLACION DE DOMICILIO, DESOBEDIENCIA JUDICIAL Y RESISTENCIA A LA AUTORIDAD EN CONCURSO REAL EN PERJUICIO DE </t>
  </si>
  <si>
    <t>188027/23</t>
  </si>
  <si>
    <t xml:space="preserve">PASTRANA, FACUNDO GUSTAVO POR EL DELITO DE LESIONES LEVES EN PERJUICIO DE VILLA, ESTELA ABIGAIL </t>
  </si>
  <si>
    <r>
      <rPr>
        <sz val="10"/>
        <color rgb="FFFF0000"/>
        <rFont val="Arial"/>
        <family val="2"/>
      </rPr>
      <t>vIrtual fiscal</t>
    </r>
    <r>
      <rPr>
        <sz val="10"/>
        <rFont val="Arial"/>
        <family val="2"/>
      </rPr>
      <t xml:space="preserve"> </t>
    </r>
    <r>
      <rPr>
        <b/>
        <sz val="10"/>
        <rFont val="Arial"/>
        <family val="2"/>
      </rPr>
      <t xml:space="preserve">CARRIZO, PABLO NAHUEL </t>
    </r>
    <r>
      <rPr>
        <sz val="10"/>
        <rFont val="Arial"/>
        <family val="2"/>
      </rPr>
      <t>Y SING FACUNDO EZEQUIEL POR EL DELITO DE AMENAZAS, RESISTENCIA A LA AUTORIDAD, HURTO EN GRADO DE TENTATIVA EN PERJUICIO DE LA OF. ALVARES, FEDERICO RUBÉN</t>
    </r>
  </si>
  <si>
    <t>188071/23</t>
  </si>
  <si>
    <t>TREJO, LAUTARO TOBIAS POR EL DELITO DE ROBO AGRAVADO POR EL USO DE ARMA; KAHUACIRI, JUAN FERNANDO POR ROBO AGRAVADO POR EL USO DE ARMA EN PERJUICIO DE ARROYO, FRANCO EMANUEL</t>
  </si>
  <si>
    <t>188186/23</t>
  </si>
  <si>
    <t xml:space="preserve">LOPEZ, FEDERICO JAVIER Y LOPEZ RAMIRO NICOLAS POR EL DELITO DE HOMICIDIO EN PERJUICIO DE MARIA JOSE CABRERA Y EXPEDIENTE ACUMULADO GAR 188024/23 LOPEZ, FEDERICO JAVIER POR EL DELITO DE ABUSO SEXUAL CON ACCESO CARNAL </t>
  </si>
  <si>
    <t>Dra. Domene, Sandra Isabel Mp 5308</t>
  </si>
  <si>
    <t>188235/23</t>
  </si>
  <si>
    <t xml:space="preserve">FLORES, CARMEN ALICIA POR EL DELITO ENCUBRIMIENTO </t>
  </si>
  <si>
    <t>188049/23</t>
  </si>
  <si>
    <t>SALVA, CARLOS ALFREDO LESIONES CULPOSAS AGRAVADAS EN ACCIDENTE DE TRANSITO EN PERJUICIO DE LILIANA DEL MILAGRO</t>
  </si>
  <si>
    <t>188231/23</t>
  </si>
  <si>
    <t xml:space="preserve">TESEYRA, IVAN EDUARDO POR ROBO EN TENTATIVA EN PERJUICIO IBARRA, ARIEL ENRIQUE </t>
  </si>
  <si>
    <t>188176/23</t>
  </si>
  <si>
    <t xml:space="preserve">GUTIERREZ, MIGUEL EDGARDO POR HURTO CON ESCALAMIENTO EN GRADO DE TENTATIVA EN PERJUICIO DE ALONSO, JOSE ANTONIO SEBASTIAN </t>
  </si>
  <si>
    <t>188131/23</t>
  </si>
  <si>
    <t>YAPURA, FERNANDO EZEQUIEL Y WALTER HUGO GOMEZ POR ROBO DE VEHICULO DEJADO EN LA VIA PUBLICA EN PERJUICIO DE ANDULCE RIVERA, GUSTAVO</t>
  </si>
  <si>
    <t xml:space="preserve">DI STEFANO FRIAS, NAHUEL JORGE POR ROBO EN PERJUICIO DE QUIROGA TEJERINA, MARISEL MACARENA </t>
  </si>
  <si>
    <t>188201/23</t>
  </si>
  <si>
    <t>188234/23</t>
  </si>
  <si>
    <t>REALES, CARLA MABEL Y LUNA MARTINEZ, KAREN GISELLE POR HURTO AGRAVADO POR LA PARTICIPACION DE UN MENOR EN PERJUICIO DE VELEZ, LUZ; QUINTEROS, MARIANA Y BAZAN, LAURA</t>
  </si>
  <si>
    <t>188172/23</t>
  </si>
  <si>
    <t>188118/23</t>
  </si>
  <si>
    <t>Dr. Cordoba, Alberto Bernardo MP 6603</t>
  </si>
  <si>
    <r>
      <rPr>
        <sz val="10"/>
        <color rgb="FFFF0000"/>
        <rFont val="Arial"/>
        <family val="2"/>
      </rPr>
      <t xml:space="preserve">virtual con el fiscal de cerrillos </t>
    </r>
    <r>
      <rPr>
        <sz val="10"/>
        <rFont val="Arial"/>
        <family val="2"/>
      </rPr>
      <t xml:space="preserve">RIOS Daniel Maximiliano por ROBO AGRAVADO (CON ARMA) en perj. De GUANTAY Hector Rodolfo </t>
    </r>
  </si>
  <si>
    <t>OLIVERA, BUSTOS DEMETRIO Y OLIVERA, HECTOR RAMON POR EL DELITO DE HOMICIDIO SIMPLE EN GRADO DE TENTATIVA EN PERJUICIO DE NUÑEZ, JOSE ANTONIO</t>
  </si>
  <si>
    <t>188191/23</t>
  </si>
  <si>
    <t>RIVERO, CLAUDIO RODRIGO- ROBO-  EN PERJUICIO DE FLORES, JOSE MANUEL</t>
  </si>
  <si>
    <t>188113/23</t>
  </si>
  <si>
    <t>183963/23</t>
  </si>
  <si>
    <t>CRUZ, EDUARDO ROBERTO POR DESOBEDIENCIA JUDICIAL (2 HECHOS) Y AMENAZAS EN PERJUICIO DE ROMERO, CLARISA-</t>
  </si>
  <si>
    <t>Dr. Abalos, Guillermo MP 5797</t>
  </si>
  <si>
    <t>188273/23</t>
  </si>
  <si>
    <t>LOPEZ, WALTER DARIO POR LESIONES AGRAVADAS, LESIONES Y DESOBEDIENCIA JUDICIAL</t>
  </si>
  <si>
    <r>
      <rPr>
        <sz val="10"/>
        <color rgb="FFFF0000"/>
        <rFont val="Arial"/>
        <family val="2"/>
      </rPr>
      <t>VIRTUAL CON FISCAL</t>
    </r>
    <r>
      <rPr>
        <sz val="10"/>
        <rFont val="Arial"/>
        <family val="2"/>
      </rPr>
      <t xml:space="preserve"> FRETTEZ, ANGEL SEBASTIAN POR EL DELITO DE DESOBEDIENCIA JUDICIAL Y COACCION EN CONCURSO IDEAL EN PERJUICIO DE GEREZ, MARIA FERNANDA</t>
    </r>
  </si>
  <si>
    <t>TOMAS U OTRO TECNICO</t>
  </si>
  <si>
    <t xml:space="preserve"> 12:43</t>
  </si>
  <si>
    <t xml:space="preserve"> 13:02</t>
  </si>
  <si>
    <t>MOTIVOS DE LA DEMORA: LA AUDIENCIA TENIA HORARIO PARA LAS 09:00 HS PERO SE SUSPENDIÓ PARA ÚLTIMA HORA PORQUE NECESITABAN HABLAR CON LA VÍCTIMA QUE NO HABIA LLEGADO TODAVÍA.</t>
  </si>
  <si>
    <t xml:space="preserve"> 12:12</t>
  </si>
  <si>
    <t>SIN DEMORA</t>
  </si>
  <si>
    <t xml:space="preserve"> 12:09</t>
  </si>
  <si>
    <t>SOBRESEIMIENTO PARA SING Y CARRIZO</t>
  </si>
  <si>
    <t>DEMORA porque la defensa se encontaba en otra audiencia</t>
  </si>
  <si>
    <r>
      <rPr>
        <b/>
        <sz val="10"/>
        <rFont val="Arial"/>
        <family val="2"/>
      </rPr>
      <t>PRISION PREVENTIVA</t>
    </r>
    <r>
      <rPr>
        <sz val="10"/>
        <rFont val="Arial"/>
        <family val="2"/>
      </rPr>
      <t xml:space="preserve"> DEFENSORIA EN FERIA DRA. MARINA BOUHID</t>
    </r>
  </si>
  <si>
    <r>
      <rPr>
        <b/>
        <sz val="10"/>
        <rFont val="Arial"/>
        <family val="2"/>
      </rPr>
      <t>LIBERTAD CON SUSTITUTIVAS</t>
    </r>
    <r>
      <rPr>
        <sz val="10"/>
        <rFont val="Arial"/>
        <family val="2"/>
      </rPr>
      <t xml:space="preserve"> Asesoria de incapaces N10 - Dra. Salatin - c/ Suspensión de Juicio a pruebas</t>
    </r>
  </si>
  <si>
    <t>Demora por llegada tarde de la Asesora de incapaces Dra. Calderdon</t>
  </si>
  <si>
    <t>188197/23</t>
  </si>
  <si>
    <t>188232/23</t>
  </si>
  <si>
    <t>CORTEZ, JORGE CARLOS POR EL DELITO DE AMENAZAS Y DESOBEDIENCIA JUDICAIL EN CONCURSO REAL CON DESOBEDIENCIA JUDICAIL Y VIOLACION DE DOMICILIO EN PERJUICIO DE GALAZAR USTARIZ, NANCY</t>
  </si>
  <si>
    <r>
      <t xml:space="preserve">Devuelto al juzgado de Origen por problema de salud de uno de los imputados en fecha 22/12 . Solicitarlo con antelaciòn --- </t>
    </r>
    <r>
      <rPr>
        <b/>
        <sz val="10"/>
        <rFont val="Arial"/>
        <family val="2"/>
      </rPr>
      <t>libertad por el juzgado de origen el día 28/12/2024</t>
    </r>
  </si>
  <si>
    <r>
      <rPr>
        <b/>
        <sz val="10"/>
        <rFont val="Arial"/>
        <family val="2"/>
      </rPr>
      <t xml:space="preserve">VILLAVICENCIO OSCAR DAVID </t>
    </r>
    <r>
      <rPr>
        <sz val="10"/>
        <rFont val="Arial"/>
        <family val="2"/>
      </rPr>
      <t>Y LOBO PABLO NICOLAS POR ROBO DOBLEMENTE CALIFICADO POR SER REALIZADO EN POBLADO Y EN BANDA Y POR EL ESCALAMIENTO EN GRADO DE TTVA. EN PERJ. DE TAPIA PEDRO LAZARO</t>
    </r>
  </si>
  <si>
    <t>188272/23</t>
  </si>
  <si>
    <t>VISGARRA, RAFEL ALBERTO POR EL DELITO DE ROBO SIMPLE DOS HECHOS EN CONCIRSO REAL EN PERJUICIO DE CARLA DANIELA FERREIRA</t>
  </si>
  <si>
    <t>187711/23</t>
  </si>
  <si>
    <t>RUIZ, EZEQUIEL HUGO OSCAR POR EL DELITO DE HOMICIDIO SIMPLE EN GRADO DE TENTATIVA EN PERJUICIO DE OLMEDO, IVAN ENRIQUE</t>
  </si>
  <si>
    <t>187992/23</t>
  </si>
  <si>
    <r>
      <t xml:space="preserve">CAÑIZARES REYNAGA FAUSTO RODOLFO  y </t>
    </r>
    <r>
      <rPr>
        <b/>
        <sz val="10"/>
        <rFont val="Arial"/>
        <family val="2"/>
      </rPr>
      <t xml:space="preserve">GABRIEL FELIX ALEJANDRO GUERRA </t>
    </r>
    <r>
      <rPr>
        <sz val="10"/>
        <rFont val="Arial"/>
        <family val="2"/>
      </rPr>
      <t>POR ABUSO SEXUAL CON ACCESO CARNAL EN PERJ. DE GASTON GABRIEL CAÑIZARES</t>
    </r>
  </si>
  <si>
    <t>CAMACHO FAMOSO, DIEGO RAMIRO POR DESOBEDIENCIA JUDICIAL (DOS HECHOS), HURTO AGRAVADO CON ESCALAMIENTO, Y VIOLACION DE DOMICILIO (DOS HECHOS) EN CONCURSO REAL EN PERJUICIO DE MARIA DEL VALLE FAMOSO C/ LEG DE INVESTIGACIÓN ORIGINA L 139/23</t>
  </si>
  <si>
    <t>188359/24</t>
  </si>
  <si>
    <t xml:space="preserve">REARTE, LUCAS DAMIÁN POR HURTO SIMPLE, VIOLACION DE DOMICILIO Y AMENAZAS EN PERJUICIO DE </t>
  </si>
  <si>
    <t>171454/21</t>
  </si>
  <si>
    <t>Dr. Fernandez, Nicolas MP 6396</t>
  </si>
  <si>
    <r>
      <rPr>
        <sz val="10"/>
        <color rgb="FFFF0000"/>
        <rFont val="Arial"/>
        <family val="2"/>
      </rPr>
      <t xml:space="preserve">VIRTUA CON AUX. FISCAL COSTELLO </t>
    </r>
    <r>
      <rPr>
        <sz val="10"/>
        <rFont val="Arial"/>
        <family val="2"/>
      </rPr>
      <t>NAHUEL HERNAN CABRERA, LUIS ALEJANDRO CABRERA Y MARIA ALEJANDRA CUSE POR TENENCIA DE ESTUPEFACIENTES CON FINES DE COMERCIALIZACION EN PERJUICIO DE LA SALUD PUBLICA C/ EXPEDIENTE ACUMULADO GAR 18620/23</t>
    </r>
  </si>
  <si>
    <t>FERIA 2DA</t>
  </si>
  <si>
    <t>Lorenzetti</t>
  </si>
  <si>
    <t>Franco Daniela</t>
  </si>
  <si>
    <t>Gonzalez Flor</t>
  </si>
  <si>
    <t>Nallim</t>
  </si>
  <si>
    <t>Marquez</t>
  </si>
  <si>
    <r>
      <rPr>
        <b/>
        <sz val="10"/>
        <rFont val="Arial"/>
        <family val="2"/>
      </rPr>
      <t xml:space="preserve">PRISION PREVENTIVA </t>
    </r>
    <r>
      <rPr>
        <sz val="10"/>
        <rFont val="Arial"/>
        <family val="2"/>
      </rPr>
      <t>Fiscal en Feria Pablo Rivero - abogado Defensor Burgos</t>
    </r>
  </si>
  <si>
    <t xml:space="preserve"> 12:24 </t>
  </si>
  <si>
    <t xml:space="preserve">MOTIVO DE LA DEMORA: LA DEFENSORA SE ENCONTRABA EN OTRA AUDIENCIA EN GARANTÍAS Nº 8 - ACUERDO ENTRE LAS PARTES - LA AUDIENCIA INICIÓ A LA HORA QUE INGRESÓ EL SR. JUEZ </t>
  </si>
  <si>
    <r>
      <rPr>
        <b/>
        <sz val="10"/>
        <rFont val="Arial"/>
        <family val="2"/>
      </rPr>
      <t xml:space="preserve">PRISION PREVENTIVA </t>
    </r>
    <r>
      <rPr>
        <sz val="10"/>
        <rFont val="Arial"/>
        <family val="2"/>
      </rPr>
      <t>pedir al juzgado de origen el exp. ---- Preventiva por 20 dias</t>
    </r>
  </si>
  <si>
    <t xml:space="preserve">MOTIVO DE LA DEMORA: LA SECRETARIA DE LA DEFENSORIA SE ENCONTRABA EN OTRA AUDIENCIA - LA DRA. BOHUID LLAMÓ A LA AUDIENCISTA PARA DECIR QUE LA ESPEREN - </t>
  </si>
  <si>
    <t xml:space="preserve"> 10:57</t>
  </si>
  <si>
    <t>Demora de la Defensa</t>
  </si>
  <si>
    <t>Demora por llegada tarde del Fiscal</t>
  </si>
  <si>
    <t>La Audiencia Incio a la hora que ingreso S.S.</t>
  </si>
  <si>
    <t>Demora del Juez</t>
  </si>
  <si>
    <t>188366/24</t>
  </si>
  <si>
    <t>188363/23</t>
  </si>
  <si>
    <t>188361/23</t>
  </si>
  <si>
    <t>ZARATE, WALTER DANIEL POR EL DELITO DE DESOBEDIENCIA JUDICIAL - DOS HECHOS - DAÑOS, VIOLACION DE DOMICILIO, LESIONES LEVES AGRAVADAS POR LA RELACIÓN DE PAREJA PREEXISTENTE Y POR CONSTITUIR VIOLENCIA DE GENERO, AMENAZAS EN CONCURSO REAL EN PERJUIOCIO DE FATIMA DEL MILAGRO PUNTANO</t>
  </si>
  <si>
    <t>MARIQUE, ROBERTO JOSE POR EL DELITO DE ROBO SIMPLE EN PERJUICIO DE -- Y ROBERTO JOSE MANRIQUE POR EL DELITO DE ABUSO SEXUAL AGRAVADA POR LA CONVIVENCIA PRE-EXISTENTE EN PERJUICIO DE JA. LAGAR</t>
  </si>
  <si>
    <t>188369/24</t>
  </si>
  <si>
    <t>BRUNO, IVAN JESUS POR EL DELITO DE ROBO EN GRADO DE TENTATIVA EN PERJUICIO DE</t>
  </si>
  <si>
    <r>
      <rPr>
        <sz val="10"/>
        <color rgb="FFFF0000"/>
        <rFont val="Arial"/>
        <family val="2"/>
      </rPr>
      <t>AUD VIRTUAL CON DEFENSA (DR. ZELARAYAN)</t>
    </r>
    <r>
      <rPr>
        <sz val="10"/>
        <rFont val="Arial"/>
        <family val="2"/>
      </rPr>
      <t xml:space="preserve"> VACA NAHUEL ANGEL - CATA RAMOS HERNAN LEONARDO POR VIOLACION DE DOMICILIO; DAÑOS;AMENAZAS EN PERJUICIO DE MENDOZA CARINA GABRIELA </t>
    </r>
  </si>
  <si>
    <t>SAIQUITA FAUSTINO POR ABUSO SEXUAL GRAVEMENTE ULTRAJANTE POR LAS CIRCUNSTANCIAS DE REALIZACION EN PERJ. DE VILTE SANTINO MARIN -- DENUNCIA VILTE MARIELA AGUSTINA</t>
  </si>
  <si>
    <t xml:space="preserve"> 12:22</t>
  </si>
  <si>
    <t>Demora por la Defensa</t>
  </si>
  <si>
    <t>EL SEÑOR DEFENSOR SE ENCONTRABA EN OTRA AUDIENCIA - LA AUDIENCIA INICIÓ A LA HORA QUE INGRESÓ S.S.</t>
  </si>
  <si>
    <t>PRISION PREVENTIVA PARA AMBAS IMPUTADAS</t>
  </si>
  <si>
    <t>MOTIVO DE LA DEMORA: ACUERDO ENTRE LAS PARTES - LA AUDIENCIA INICIÓ A LA HORA QUE INGRESÓ S.S.</t>
  </si>
  <si>
    <r>
      <rPr>
        <b/>
        <sz val="10"/>
        <rFont val="Arial"/>
        <family val="2"/>
      </rPr>
      <t xml:space="preserve">PRISION PREVENTIVA </t>
    </r>
    <r>
      <rPr>
        <sz val="10"/>
        <rFont val="Arial"/>
        <family val="2"/>
      </rPr>
      <t>Fiscal en Feria Dra. Elisa V. Perez</t>
    </r>
  </si>
  <si>
    <t>SUSPENSIÓN DE JUICIO A PRUEBA POR 1 AÑO</t>
  </si>
  <si>
    <r>
      <rPr>
        <b/>
        <sz val="10"/>
        <rFont val="Arial"/>
        <family val="2"/>
      </rPr>
      <t xml:space="preserve">DIFERER EL PEDIDO DE PREVENTIVA HASTA LA REALIZACION DE JUNTA MEDICA PSIQUIATRICA AL IMPUTADO A REALIZARSE X TRES PROFESIONALES  Y PEDIDO DE INTERVENCIÓN A LA ASESORA DE INCAPACES </t>
    </r>
    <r>
      <rPr>
        <sz val="10"/>
        <rFont val="Arial"/>
        <family val="2"/>
      </rPr>
      <t>EN FERIA Defensor en Feria Dr. Nicolas Anuch</t>
    </r>
  </si>
  <si>
    <t>PRISION PREVENTIVA PARA AMBOS IMPUTADOS</t>
  </si>
  <si>
    <t>ABREVIADO: 6 MESES EFECTIVA + REICIDENTE POR 2DA VEZ</t>
  </si>
  <si>
    <r>
      <rPr>
        <sz val="10"/>
        <color rgb="FFFF0000"/>
        <rFont val="Arial"/>
        <family val="2"/>
      </rPr>
      <t>VIRTUAL CON VICTIMA</t>
    </r>
    <r>
      <rPr>
        <sz val="10"/>
        <rFont val="Arial"/>
        <family val="2"/>
      </rPr>
      <t xml:space="preserve"> RIOS, GONZALO ALBERTO POR EL DELITO DE VIOLACIO NDE DOMICILIO - DOS HECHOS, DESOBEDIENCIA JUDICIAL - CUATRO HECHOS Y AMENAZAS - DOS HECHOS EN CONCURSO REAL</t>
    </r>
  </si>
  <si>
    <t>CERVANTES, FRANCO ISAIAS POR EL DELITO DE ROBO SIMPLE DOS HECHOS EN PERJUICIO DE NUÑEZ, EXEL RODRIGO MARTIN</t>
  </si>
  <si>
    <r>
      <rPr>
        <b/>
        <sz val="10"/>
        <rFont val="Arial"/>
        <family val="2"/>
      </rPr>
      <t>TORRES, DIEGO RAMON</t>
    </r>
    <r>
      <rPr>
        <sz val="10"/>
        <rFont val="Arial"/>
        <family val="2"/>
      </rPr>
      <t xml:space="preserve"> POR EL DELITO DE HOMICIDIO EN GRADO DE TENTATIVA EN PERJUICIO DE </t>
    </r>
  </si>
  <si>
    <t>188236/23</t>
  </si>
  <si>
    <t xml:space="preserve">ANAQUIN, SAÚL OSCAR POR EL DELITO DE ROBO CALIFICADO POR EL USO DE ARMA EN PERJUICIO DE </t>
  </si>
  <si>
    <t>187527/23</t>
  </si>
  <si>
    <t xml:space="preserve">PIMENTEL, ROBERTO JAVIER - POR DESOBEDIENCIA JUDICIAL Y AMENAZAS EN PERJUICIO DE GALLARDO, ROSA LIDIA </t>
  </si>
  <si>
    <t>188343/23</t>
  </si>
  <si>
    <t>CORBALAN, IVAN LUIS FERNANDO POR EL DELITO DE ATENTATDO A LA AUTORIDAD EN CONCURSO IDEAL CON LESIONES LEVES CALIFICADAS POR EL TRATARSE PENAL POLICIAL</t>
  </si>
  <si>
    <t>188348/24</t>
  </si>
  <si>
    <t>188351/24</t>
  </si>
  <si>
    <t xml:space="preserve">GIL, ARIEL RUBEN POR EL DELITO DE HOMICIDIO SIMPLE EN PERJUICIO DE </t>
  </si>
  <si>
    <t>187941/23</t>
  </si>
  <si>
    <t>TOLABA, ADRIAN WALTER POR EL DELITO DE LESIONES AGRAVADAS POR LA PAREJA PREEXISTENTE Y PPOR MEDIAR VIOLENCIA DE GENERO</t>
  </si>
  <si>
    <r>
      <rPr>
        <sz val="10"/>
        <color rgb="FFFF0000"/>
        <rFont val="Arial"/>
        <family val="2"/>
      </rPr>
      <t xml:space="preserve">VICTIMA VIRTUAL EN GüEMES </t>
    </r>
    <r>
      <rPr>
        <sz val="10"/>
        <rFont val="Arial"/>
        <family val="2"/>
      </rPr>
      <t>DIAZ Miguel Angel por DESOBEDIENCIA JUDICIAL en perj. De KARINA YANETH DIAZ</t>
    </r>
  </si>
  <si>
    <r>
      <t xml:space="preserve">Nueva audiencia para el 18/01/2024 --- </t>
    </r>
    <r>
      <rPr>
        <b/>
        <sz val="10"/>
        <rFont val="Arial"/>
        <family val="2"/>
      </rPr>
      <t xml:space="preserve">Se suspende </t>
    </r>
    <r>
      <rPr>
        <sz val="10"/>
        <rFont val="Arial"/>
        <family val="2"/>
      </rPr>
      <t>por intervencion de nueva defensa y ante la posibilidad de efectuar un Abreviado con el mismo</t>
    </r>
  </si>
  <si>
    <t xml:space="preserve"> 13:17</t>
  </si>
  <si>
    <t>MOTIVO DE LA DEMORA: LA FISCAL ESTABA DEMORADA - ACUERDO ENTRE LAS PARTES - LA AUDIENCIA INICIÓ A LA HORA QUE INGRESÓ S.S.</t>
  </si>
  <si>
    <t>DOP 11 - Sec. Rafael Lovaglio</t>
  </si>
  <si>
    <t>MOTIVO DE LA DEMORA: HABÍA OTRA AUDIENCIA ANTERIORMENTE EN LA SALA - ACUERDO ENTRE LAS PARTES - LA AUDIENCIA INICIÓ A LA HORA QUE INGRESÓ S.S.</t>
  </si>
  <si>
    <t>ARRESTO DOMICILIARIO</t>
  </si>
  <si>
    <t>Demora en razon de que la Defensa se encontraba en otra audiencia</t>
  </si>
  <si>
    <t>MOTIVO DE LA DEMORA: EL IMPUTADO SE ENCONTRABA DEMORADO - LA AUDIENCIA INICIÓ A LA HORA QUE INGRESÓ S.S.</t>
  </si>
  <si>
    <t>SE RECHAZA REVISION DE PRISION PREVENTIVA</t>
  </si>
  <si>
    <t>Demora del Fiscal y del Imputado</t>
  </si>
  <si>
    <t>188368/24</t>
  </si>
  <si>
    <t>SALDAÑO, LORENZO DANIEL POR EL DELITO DE AMENAZAS, LESIONES LEVEAS AGRAVADAS POR MEDIAR RELACION DE PAREJA Y GENERO EN OERJUICIO DE SUICA, ANGÉLICA NOEMÍ</t>
  </si>
  <si>
    <t>188199/24</t>
  </si>
  <si>
    <t xml:space="preserve">FARFAN, ALFREDO ELIAS POR EL DELITO DE ROBO SIMPLE EN PERJUICIO DE </t>
  </si>
  <si>
    <t>188374/24</t>
  </si>
  <si>
    <t xml:space="preserve">CENARDO, CRISTIAN ALEJANDRO POR ROBO POR ESCALAMIENTO Y VIOLACION DE DOMICILIO EN CONCURSO REAL EN PERJUICIO DE </t>
  </si>
  <si>
    <r>
      <rPr>
        <sz val="10"/>
        <color rgb="FFFF0000"/>
        <rFont val="Arial"/>
        <family val="2"/>
      </rPr>
      <t xml:space="preserve">Virtual el Dr. Marcos Vega </t>
    </r>
    <r>
      <rPr>
        <sz val="10"/>
        <rFont val="Arial"/>
        <family val="2"/>
      </rPr>
      <t>BURGOS DIEGO FERNANDO POR EL DELITO DE LESIONES LEVES AGRAVADAS POR LA RELACION DE PAREJA PREVIA Y POR EL GENERO EN PERJUICIO DE ALDANA AGUSTINA CENTENO</t>
    </r>
  </si>
  <si>
    <t>188244/24</t>
  </si>
  <si>
    <t>MEDINA, VICTOR HUGO Y FERNANDEZ, JORGE MIGUEL ANGEL POR EL DELITO DE ROBO SIMPLE EN PERJUICIO DE FLORES, MARÍA ALEJANDRA</t>
  </si>
  <si>
    <t>188179/23</t>
  </si>
  <si>
    <t>188181/23</t>
  </si>
  <si>
    <t>MIGUEL ANGEL CABELLO MARQUEZ POR EL DELITO DE HURTO CALIFICADO POR ESCALAMIENTO EN GRADO DE TENTATIVA EN PERJUICIO DE MARÍA MACARENA NERI</t>
  </si>
  <si>
    <t>188177/23</t>
  </si>
  <si>
    <t xml:space="preserve">ROMERO, FIDEL ANTONIO POR EL DELITO DE LESIONES LEVES AGRAVADAS POR LA RELACIÓN DE PAREJA PREVIA Y GÉNERO Y VIOLACION DE DOMICILIO EN CONCURSO REAL EN PERJUICIO DE LA SRA MALDONADO, SONIA DEL VALLE </t>
  </si>
  <si>
    <t>ABALOS SUICA, OSCAR EDUARDO LA FP 6 SOLICITA PREVENTINA POR EL DELITO DE COACCION CON ARMA EN PERJUICIO DE CAÑIREZ, FERNANDO MARLENE ---- Y LA FISC PENAL VIFG 4 SOLICITA PP PARA ABALOS SUICA, OSCAR EDUARDO POR EL DELITO DE AMENAZAS CON ARMA Y LESIONES EN PERJUICIO DE GUZMAN, SANDRA ELIZABETH</t>
  </si>
  <si>
    <t>188379/24</t>
  </si>
  <si>
    <t xml:space="preserve"> 12:51</t>
  </si>
  <si>
    <t xml:space="preserve"> 187666/23</t>
  </si>
  <si>
    <t>CUARTO INTERMEDIO DESDE EL DIA 05/01/2024 A HS 11:37 HASTA EL 08/01/2024 A HS. 11:53</t>
  </si>
  <si>
    <t xml:space="preserve"> 13:09</t>
  </si>
  <si>
    <r>
      <rPr>
        <b/>
        <sz val="10"/>
        <rFont val="Arial"/>
        <family val="2"/>
      </rPr>
      <t xml:space="preserve">LIBERTAD CON MEDIDAS SUSTITUTIVAS </t>
    </r>
    <r>
      <rPr>
        <sz val="10"/>
        <rFont val="Arial"/>
        <family val="2"/>
      </rPr>
      <t>FISCAL DR. HORACIO CORDOBA MAZURANIC</t>
    </r>
  </si>
  <si>
    <t xml:space="preserve">MOTIVO DE LA DEMORA: HUBO CAMBIO DE SALA DE AUDIENCIA POR ESTAR OCUPADA LA SALA DE GARANTIAS N° 8 - </t>
  </si>
  <si>
    <t xml:space="preserve"> 12:05</t>
  </si>
  <si>
    <r>
      <rPr>
        <b/>
        <sz val="10"/>
        <rFont val="Arial"/>
        <family val="2"/>
      </rPr>
      <t xml:space="preserve">PRISION PREVENTIVA </t>
    </r>
    <r>
      <rPr>
        <sz val="10"/>
        <rFont val="Arial"/>
        <family val="2"/>
      </rPr>
      <t>Defensoria en Feria Dr. Anuch</t>
    </r>
  </si>
  <si>
    <t xml:space="preserve">La presente audiencia fue trasladada al Juzgado de Garantias 1 toda vez que la Dr. Puertas continuaba en audiencia desde horas 9. Esta audiencia estaba prevista para hs 10:00 pero a raiz de buscar sala se postergo hasta horas 12:00. </t>
  </si>
  <si>
    <t xml:space="preserve"> 12:03</t>
  </si>
  <si>
    <r>
      <rPr>
        <b/>
        <sz val="10"/>
        <rFont val="Arial"/>
        <family val="2"/>
      </rPr>
      <t>PRISION PREVENTIVA</t>
    </r>
    <r>
      <rPr>
        <sz val="10"/>
        <rFont val="Arial"/>
        <family val="2"/>
      </rPr>
      <t xml:space="preserve">  ---co defensor del Sr. Lopez Federico Dr. Sola Alsina MP 3821 y Co defensor del Sr. Lopez, Ramiro Nicolas Dr. Jose Teseyra MP 2594 --- Y Qurellante Dr. Pedroza, Santiago 2318 --- Fiscal UDIS 3  por expediente GAR 188024/23</t>
    </r>
  </si>
  <si>
    <t>Demoras de Todas las partes</t>
  </si>
  <si>
    <r>
      <rPr>
        <b/>
        <sz val="10"/>
        <rFont val="Arial"/>
        <family val="2"/>
      </rPr>
      <t xml:space="preserve">LIBERTAD CON SUSTITUTTIVAS PARA LOS DOS IMPUTADOS Dr. Dodds, Sebastían- </t>
    </r>
    <r>
      <rPr>
        <sz val="10"/>
        <rFont val="Arial"/>
        <family val="2"/>
      </rPr>
      <t>Querellante particular en representación de EDESA</t>
    </r>
  </si>
  <si>
    <t xml:space="preserve"> 11:22</t>
  </si>
  <si>
    <t>LIBERTAD CON MEDIDAS SUTITTUTIVAS</t>
  </si>
  <si>
    <t xml:space="preserve">MOTIVO DE LA DEMORA: LA SRA. DEFENSORA SE ENCONTRABA EN OTRA AUDIENCIA ANTERIORMENTE - EL SR. OPERADOR ESTABA EN OTRA AUDIENCIA ANTERIORMENTE - LA AUDIENCIA INICIÓ A LA HORA QUE INGRESÓ S.S. </t>
  </si>
  <si>
    <t>MOTIVO DE LA DEMORA: EL DETENIDO LLEGÓ FUERA DE HORA - ACUERDO ENTRE LAS PARTES</t>
  </si>
  <si>
    <t xml:space="preserve">TOMAS </t>
  </si>
  <si>
    <t>187552/23</t>
  </si>
  <si>
    <t>REINOSO, JOAQUIN HERNAN POR EL DELITO DE HURTO CALIFICADO EN CALIDAD DE AUTOR</t>
  </si>
  <si>
    <t>CRUZ, MARIO JUAN POR HOMICIDIO DOBLEMENTE CALIFICADO POR LA RELACION DE PAREJA Y POR VIOLENCIA DE GENERO EN PERJUICIO DE JNB</t>
  </si>
  <si>
    <t>ARDAYA, SATOS JAVIER DAVID POR EL DELITO ROBO AGRAVADO POR SER REALIZADO EN POBLADO Y EN BANDA Y AGRAVADO POR ESO DE USO DE ARMA</t>
  </si>
  <si>
    <t>188282/23</t>
  </si>
  <si>
    <t>GARCIA, ALDO DANIEL POR EL DELITO DEROBO SIMPLE EN TENTATIVA Y COACCION (DOS HECHOS) EN CONCURSO REAL</t>
  </si>
  <si>
    <t>CORREGIDOR, WASHINGTON NOLASCO POR EL DELITO DE DESOBEDIENCIA JUDICIAL EN PERJUICIO DE GUZMAN, ADRIANA ESTHER</t>
  </si>
  <si>
    <t xml:space="preserve">OSCARI, LUCAS ALBERTO POR EL DELITO DE ROBO CALIFICADO POR TRATARSE DE UN VEHÍCULO DEJADO EN LA VÍA PÚBLICA EN PERJUICIO DE COLQUE Pablo Elias </t>
  </si>
  <si>
    <t>TOMAS</t>
  </si>
  <si>
    <t>se devuelve al juzado de origen (garantias 2) le van a dar la libertad al imputado SALDAÑO</t>
  </si>
  <si>
    <t>188268/23</t>
  </si>
  <si>
    <t>SAN JUAN, LUCAS MAXIMILIANO POR EL DELITO DE ROBO CALIFICADO POR ESCALAMIENTO en perjuicio de Joaquín José Loutayf Figueroa</t>
  </si>
  <si>
    <t>188413/24</t>
  </si>
  <si>
    <t>ARAMAYO, VICTOR EMANUEL POR ROBO DOBLEMENTE CALIFICADO POR SER REALIZADO EN POBLADO Y EN BANDA Y POR EL USO DE ARMA PARA SU COMETIDO EN PERJUICIO DE ABADIA, SEBASTIAN ALEJANDRO - (A.P. 81/24 COMISARIA</t>
  </si>
  <si>
    <t>188416/24</t>
  </si>
  <si>
    <t>PIÑOL RIOS, MATIAS SALVADOR O LEDESMA, JOSE AUGUSTO POR EL DELITO DE ROBO SIMPLE EN GRADO DE TENTATIVA</t>
  </si>
  <si>
    <t xml:space="preserve"> MEDINA, EDUARDO NAHUEL; SANCHEZ, RICARDO ALBERTO POR LOS DELITOS DE ABUSO SEXUAL SIMPLE AGRAVADO POR LA PARTICIPACION DE DOS O MAS PERSONAS Y ABUSO SEXUAL CON ACCESO CARNAL AGRAVADO POR LA PARTICIPACIUON DE DOS O MAS PERSONAS EN GRADO DE TENTATIVA</t>
  </si>
  <si>
    <t>188407/23</t>
  </si>
  <si>
    <t>GARECA, BRIAN DANIEL POR EL DELITO DE ROBO SIMPLE</t>
  </si>
  <si>
    <t>188233/23</t>
  </si>
  <si>
    <t>188246/23</t>
  </si>
  <si>
    <t>188283/23</t>
  </si>
  <si>
    <t>TORRES, NESTOR ORLANDO POR EL DELITO DE HURTO CALIFICADO POR ESCALAMIENTO EN GRADO DE TENTATIVA EN PERJUICIO DEL SR. VICTOR GABRIEÑ GUNTAY</t>
  </si>
  <si>
    <t>188437/23</t>
  </si>
  <si>
    <t>SIVUEIRO, LUCAS JOEL POR EL DELITO DE ROBO CON ARMA BLANCA</t>
  </si>
  <si>
    <t>188418/23</t>
  </si>
  <si>
    <t>ROMERO, ELIAS ORLANDO POR EL DELITO DE HURTO CALIFICADO POR ESCALAMIENTO EN PERJUICIO DE FRANCISCO JAVIER BURGOS</t>
  </si>
  <si>
    <t>188394/23</t>
  </si>
  <si>
    <t>GUAYMAS, MAURICIO EZEQUIEL POR LOS DELITOS DE COACCION, AMENAZAS CON ARMA, AMENAZAS, LESIONES LEVES, ABUSO DE ARMAS Y AMENAZAS</t>
  </si>
  <si>
    <t>188315/23</t>
  </si>
  <si>
    <t>188365/24</t>
  </si>
  <si>
    <t>FLORES, SERGIO ISMAEL POR LOS DELITOS DE ABUSO SEXUAL GRAVEMENTE ULTRAJANTE POR SU DURACION Y CIRCUNSTANCIAS DE REALIZACION AGRAVADO POR LA GUARDA; ABUSO SEXAUL CON ACCESO CARNAL CONTINUADO AGRAVADO POR LA GUARDA TODO EN CONCURSO REAL</t>
  </si>
  <si>
    <t>188382/24</t>
  </si>
  <si>
    <t>CARIÑO, HECTOR GUILLERMO POR EL DELITO DE AMENAZAS AGRAVADAS POR EL USO DE ARMA EN PERJUICIO DE CONCEPCION DEL HUERTO GARCIA</t>
  </si>
  <si>
    <t>188342/24</t>
  </si>
  <si>
    <t>NAVARRO, VIRGILIO POR LOS DELITOS DE AMENAZAS, DAÑOS Y ROBO EN GRADO DE TENTATIVA</t>
  </si>
  <si>
    <r>
      <rPr>
        <sz val="10"/>
        <color rgb="FFFF0000"/>
        <rFont val="Arial"/>
        <family val="2"/>
      </rPr>
      <t>VIRTUAL CON FISCAL</t>
    </r>
    <r>
      <rPr>
        <sz val="10"/>
        <rFont val="Arial"/>
        <family val="2"/>
      </rPr>
      <t xml:space="preserve"> RODRIGUEZ, ULISES BENJAMIN EN PERJUICIO DE BERMUDEZ, PABLO VICENTE</t>
    </r>
  </si>
  <si>
    <t>188443/24</t>
  </si>
  <si>
    <t>PEREZ, HERNAN EMILIANO POR EL DELITO DE HURTO CALIFICADO EN CALIDAD DE AUTOR</t>
  </si>
  <si>
    <t>188041/23</t>
  </si>
  <si>
    <t>LAMAS, ALEX JULIAN Y LAMAS, CRISTIAN ANDRES POR HOMICIDIO SIMPLE</t>
  </si>
  <si>
    <t>188419/24</t>
  </si>
  <si>
    <t xml:space="preserve">ORTIZ, ALEX MARCELO  POR EL DELITO DE LESIONES LEVES </t>
  </si>
  <si>
    <t xml:space="preserve">PRISIÓN PREVENTIVA </t>
  </si>
  <si>
    <t xml:space="preserve">Se resolvio por escrito, PRISIÓN PREVENTIVA </t>
  </si>
  <si>
    <t>Se suspendió por pedido de Maggio (superposición de audiencia) se fijó para el 17/01/24. se acumula al expte. 187816 de Gar. 5</t>
  </si>
  <si>
    <t>187816/23 y su acumulado,  187736</t>
  </si>
  <si>
    <t>CASTILLO, ZOE POR TENENCIA DE ESTUPEFACIENTES CON FINES DE COMERCIALIZACIÓN EN PERJUICIO DE LA SALUD PUBLICA  Y CASTILLO CRISTIAN; CASTILLO ZOE POR AMENAZAS CON ARMAS Y AMENAZAS</t>
  </si>
  <si>
    <r>
      <rPr>
        <b/>
        <sz val="10"/>
        <rFont val="Arial"/>
        <family val="2"/>
      </rPr>
      <t>SUSPENDIDA</t>
    </r>
    <r>
      <rPr>
        <sz val="10"/>
        <rFont val="Arial"/>
        <family val="2"/>
      </rPr>
      <t xml:space="preserve"> por pedido de Maggio (superposición de audiencia) se fijó para el 17/01/24 a hs. 12:30. Se acumula el expte. Gar 187736 de Gar. 5</t>
    </r>
  </si>
  <si>
    <t xml:space="preserve">LIBERTAD CON MEDIDAS SUSTITUTIVAS </t>
  </si>
  <si>
    <r>
      <t xml:space="preserve"> </t>
    </r>
    <r>
      <rPr>
        <b/>
        <sz val="10"/>
        <rFont val="Arial"/>
        <family val="2"/>
      </rPr>
      <t xml:space="preserve">PRISION PREVENTIVA. </t>
    </r>
    <r>
      <rPr>
        <sz val="10"/>
        <rFont val="Arial"/>
        <family val="2"/>
      </rPr>
      <t>Dra. Godoy por Alvarez y Dr. Mario Lopez Escotorin por Illesca - Dr. Romano Luciano por Jimenez - Dr. Rodrigo Palazzo por Sacarias -- Dra. Maria Celeste Castillo por Vilte - Prisión preventiva por treinta días para ambos imputados</t>
    </r>
  </si>
  <si>
    <t>JUICIO ABREVIADO. CONDICIONAL 3 AÑOS</t>
  </si>
  <si>
    <t>JUICIO ABREVIADO. EFECTIVA 2 MESES</t>
  </si>
  <si>
    <t>JUICIO ABREVIADO. EFECTIVA 30 DIAS (SALE EL 10/01/24</t>
  </si>
  <si>
    <t>JUICIO ABREVIADO. EFECTIVA PARA CECCETTI Y CONDICIONAL PARA CORIA</t>
  </si>
  <si>
    <r>
      <rPr>
        <b/>
        <sz val="10"/>
        <rFont val="Arial"/>
        <family val="2"/>
      </rPr>
      <t xml:space="preserve">JUICIO ABREVIADO. EFECTIVA 10 AÑOS </t>
    </r>
    <r>
      <rPr>
        <sz val="10"/>
        <rFont val="Arial"/>
        <family val="2"/>
      </rPr>
      <t>Audiencia fijiada oportunamente para el dia 02/01/2024 se reprograma para el dia 10/01/2024 Querellante Def. Of. De Viol. Flia. Gén. Nº 1; Asesoría Nº 2 para la víctima</t>
    </r>
  </si>
  <si>
    <r>
      <t xml:space="preserve">PRISIÓN PREVENTIVA. Asesoría 8 por la menor-- </t>
    </r>
    <r>
      <rPr>
        <sz val="10"/>
        <rFont val="Arial"/>
        <family val="2"/>
      </rPr>
      <t xml:space="preserve">En vista a la Mesa Pupilar - victima menor - 21/12/2023  </t>
    </r>
  </si>
  <si>
    <r>
      <rPr>
        <b/>
        <sz val="10"/>
        <rFont val="Arial"/>
        <family val="2"/>
      </rPr>
      <t>PRISIÓN PREVENTIVA</t>
    </r>
    <r>
      <rPr>
        <sz val="10"/>
        <rFont val="Arial"/>
        <family val="2"/>
      </rPr>
      <t>. Dr. Sosa MP 21 y Dr. Danilo Siliotto MP 6851 querellantes en representacipon de segunda vuelta SRL</t>
    </r>
  </si>
  <si>
    <t>JUICIO ABREVIADO. EFECTIVA 1 AÑO Y 6 MESES</t>
  </si>
  <si>
    <t>JUICIO ABREVIADO. EFECTIVA 5 MESES</t>
  </si>
  <si>
    <t>JUICIO ABREVIADO. EFECTIVA 6 MESES</t>
  </si>
  <si>
    <t>JUICIO ABREVIADO. EFECTIVA 10 MESES</t>
  </si>
  <si>
    <r>
      <rPr>
        <b/>
        <sz val="10"/>
        <rFont val="Arial"/>
        <family val="2"/>
      </rPr>
      <t>JUICIO ABREVIADO. EFECTIVA 3 MESES</t>
    </r>
    <r>
      <rPr>
        <sz val="10"/>
        <rFont val="Arial"/>
        <family val="2"/>
      </rPr>
      <t xml:space="preserve"> </t>
    </r>
  </si>
  <si>
    <r>
      <rPr>
        <b/>
        <sz val="10"/>
        <color theme="1"/>
        <rFont val="Arial"/>
        <family val="2"/>
      </rPr>
      <t xml:space="preserve">JUICIO ABREVIADO: 3 (TRES) AÑOS DE PRISION CONDICIONAL </t>
    </r>
    <r>
      <rPr>
        <sz val="10"/>
        <color theme="1"/>
        <rFont val="Arial"/>
        <family val="2"/>
      </rPr>
      <t>--- Asesor Nº 4</t>
    </r>
  </si>
  <si>
    <t>JUICIO ABREVIADO: 2 MESES CONDICIONAL</t>
  </si>
  <si>
    <r>
      <rPr>
        <b/>
        <sz val="10"/>
        <rFont val="Arial"/>
        <family val="2"/>
      </rPr>
      <t xml:space="preserve">JUICIO ABREVIADO: 10 MESES EFECTIVA --- </t>
    </r>
    <r>
      <rPr>
        <sz val="10"/>
        <rFont val="Arial"/>
        <family val="2"/>
      </rPr>
      <t xml:space="preserve">FP EN FERIA ELISA PEREZ </t>
    </r>
  </si>
  <si>
    <t>JUICIO ABREVIADO: 6 MESES EFECTIVA</t>
  </si>
  <si>
    <r>
      <rPr>
        <b/>
        <sz val="10"/>
        <rFont val="Arial"/>
        <family val="2"/>
      </rPr>
      <t>JUICIO ABREVIADO : 23 DIAS EFECTIVA + Y SE TIENE POR CUMPLIDA Y AGOTADA LA PENA (LIBERTAD)</t>
    </r>
    <r>
      <rPr>
        <sz val="10"/>
        <rFont val="Arial"/>
        <family val="2"/>
      </rPr>
      <t xml:space="preserve"> + REICIDENTE POR 10MA VEZ</t>
    </r>
  </si>
  <si>
    <r>
      <rPr>
        <b/>
        <sz val="10"/>
        <rFont val="Arial"/>
        <family val="2"/>
      </rPr>
      <t>JUICIO ABREVIADO: 5 AÑOS EFECTIVA ---  2 AÑOS Y 6 MESES CONDICIONAL</t>
    </r>
    <r>
      <rPr>
        <sz val="10"/>
        <rFont val="Arial"/>
        <family val="2"/>
      </rPr>
      <t xml:space="preserve"> - -SOBRESEIMEINTO  Dr. Santiago Pedroza por Cabrera Nahuel y Cabrera Luis</t>
    </r>
  </si>
  <si>
    <t>JUICIO ABREVIADO: 45 DIAS EFECTIVA</t>
  </si>
  <si>
    <t>JUICIO ABREVIADO: DOS AÑOS Y DOS MESES EFECTIVA</t>
  </si>
  <si>
    <t>JUICIO ABREVIADO: 3 años Condicional + reglas de conductas por tres años</t>
  </si>
  <si>
    <t>JUICIO ABREVIADO: 1 AÑO Y 4 MESES EFECTIVA + REICIDENTE POR 6TA VEZ</t>
  </si>
  <si>
    <t>JUICIO ABREVIADO: 2 AÑOS EFECTIVO Y UN AÑO CONDICIONAL</t>
  </si>
  <si>
    <r>
      <rPr>
        <b/>
        <sz val="10"/>
        <rFont val="Arial"/>
        <family val="2"/>
      </rPr>
      <t xml:space="preserve">JUICIO ABREVIADO: 2 AÑOS EFECTIVA </t>
    </r>
    <r>
      <rPr>
        <sz val="10"/>
        <rFont val="Arial"/>
        <family val="2"/>
      </rPr>
      <t>-- Defensoria en Feria Dra. Raquel Zerdan</t>
    </r>
  </si>
  <si>
    <r>
      <rPr>
        <b/>
        <sz val="10"/>
        <rFont val="Arial"/>
        <family val="2"/>
      </rPr>
      <t>JUICIO ABREVIADO: 9 MESES EFECTIVA</t>
    </r>
    <r>
      <rPr>
        <sz val="10"/>
        <rFont val="Arial"/>
        <family val="2"/>
      </rPr>
      <t xml:space="preserve"> c/ abreviado inicial y sobreseimiento de la fiscalía Fiscal en Feria Dr. Marcos Vega --  Defensor en Feria Dr. Nicolas Anuch</t>
    </r>
  </si>
  <si>
    <t>JUICIO ABREVIADO: 2 AÑOS Y 6 MESES CONDICIONAL</t>
  </si>
  <si>
    <r>
      <rPr>
        <b/>
        <sz val="10"/>
        <rFont val="Arial"/>
        <family val="2"/>
      </rPr>
      <t>JUICIO ABREVIADO: 3 AÑOS CONDICIONAL PARA LOS DOS IMPUTADOS + REGLAS DE CONDUCTAS</t>
    </r>
    <r>
      <rPr>
        <sz val="10"/>
        <rFont val="Arial"/>
        <family val="2"/>
      </rPr>
      <t>-- Dr. Fernandez, Nicolás MP 6396 defensa del investigado Trejo, Lautaro</t>
    </r>
  </si>
  <si>
    <r>
      <rPr>
        <b/>
        <sz val="10"/>
        <rFont val="Arial"/>
        <family val="2"/>
      </rPr>
      <t xml:space="preserve">JUICIO ABREVIADO: 1 MES Y 10 DIAS EFECTIVA </t>
    </r>
    <r>
      <rPr>
        <sz val="10"/>
        <rFont val="Arial"/>
        <family val="2"/>
      </rPr>
      <t>- SE REVOCA LA CONDICIONALIDAD DE LA PENA ANTERIOR 177388/22 SE UNIFICA A 4 MESES Y 10 DIAS EFECTIVA Fiscal en Feria Dra. Elisa V. Perez - Defensa en Feria Dra. Marina Bouhid</t>
    </r>
  </si>
  <si>
    <r>
      <rPr>
        <b/>
        <sz val="10"/>
        <rFont val="Arial"/>
        <family val="2"/>
      </rPr>
      <t>JUICIO ABREVIADO: DOS AÑOS CONDICIONAL</t>
    </r>
    <r>
      <rPr>
        <sz val="10"/>
        <rFont val="Arial"/>
        <family val="2"/>
      </rPr>
      <t xml:space="preserve"> ---------PASA A CUARTO INTERMEDIO PARA EL LUNES 08/01/2024 A HS 10:30</t>
    </r>
  </si>
  <si>
    <r>
      <rPr>
        <b/>
        <sz val="10"/>
        <rFont val="Arial"/>
        <family val="2"/>
      </rPr>
      <t>PRISION PREVENTIVA PARA COLQUE Y LIBERTAD para Castillo</t>
    </r>
    <r>
      <rPr>
        <sz val="10"/>
        <rFont val="Arial"/>
        <family val="2"/>
      </rPr>
      <t xml:space="preserve"> Se suspende la audiencia  anterior por falta de Defensa del imputado COLQUE ---   Fernandez Ocampo por Castillo</t>
    </r>
  </si>
  <si>
    <t>JUICIO ABREVIDADO: 8 (OCHO) MESES DE PRISIÓN DE EJECUCIÓN EFECTIVA PARA VACA Y 8 (OCHO) MESES DE PRISIÓN DE EJECUCIÓN CONDICIONAL PARA CATA RAMOS</t>
  </si>
  <si>
    <t>JUICIO ABREVIADO: 2 MESES EFECTIVA</t>
  </si>
  <si>
    <t xml:space="preserve"> 13:20</t>
  </si>
  <si>
    <t xml:space="preserve"> 13:32</t>
  </si>
  <si>
    <t>ABREVIADO: 1 AÑO Y 5 MESES EFECTIVA</t>
  </si>
  <si>
    <t>LIZONDO</t>
  </si>
  <si>
    <t>HUMANO, PEDRO ENZO MAXIMILIANO POR LOS DELITOS DE AMENAZAS CON ARMA, PRIVACION ILEGITIMA DE LA LIBERTAD AGRAVADA POR EL USO DE VIOLENCIA Y COACCION</t>
  </si>
  <si>
    <t>188271/23</t>
  </si>
  <si>
    <t>188424/24</t>
  </si>
  <si>
    <t>VILLAGRA ALFARO, LUCAS JOSE POR LOS DELITOS DE AMENAZAS, DESOBEDIENCIA JUDICIAL (DOS HECHOS), HURTO SIMPLE, VIOLACION DE DOMICILIO (2 HECHOS), DESOBEDIENCIA JUDICIAL, VIOLACION DE DOMICILIO</t>
  </si>
  <si>
    <t>188401/24</t>
  </si>
  <si>
    <t>COSTILLA CESAR IVAN POR LOS DELITOS DE DESOBEDIENCIA JUDICIAL Y VIOLACION DE DOMICILIO, DESOBEDEINCIA JUDICAIL (2 HECHOS), HURTO SIMPLE AGRAVADO, DESOBEDEINCIA JUDICIAL Y VIOLACION DE DOMICILIO</t>
  </si>
  <si>
    <t>188421/24</t>
  </si>
  <si>
    <t>LIENDRO, ALVARO VICENTE POR EL DELITO ROBO</t>
  </si>
  <si>
    <t>184106/23</t>
  </si>
  <si>
    <t>AGUIERREZ, CRISTIAN EMANUEL POR LOS DELITOS DE AMENAZAS CON ARMAS, DESOBEDIENCIA JUDICIAL Y AMENAZAS TODO EN CONCURSO REAL EN PERJUICIO DE CLAUDIA CARINA SARAPURA</t>
  </si>
  <si>
    <t>Dr. Jorge L. Corimayo MP 3830</t>
  </si>
  <si>
    <t>AVILA, RODRIGO NICOLAS por ROBO Y DAÑOS en perj. De Davalos, Maria Alejandra</t>
  </si>
  <si>
    <t>Dr. Lopez Hector Leandro MP 7730</t>
  </si>
  <si>
    <t>REGINA, BRIAN ERIK MICHAEL POR EXHIBICIONES OBSENAS en perj. De MELONI, Karen Luz Estrella</t>
  </si>
  <si>
    <t>en fecha 12/01/2024 se devuelve al Juzgado Garantas 2 en Feria porque el Fiscal Pidio la Libertad del Imputado Navarro</t>
  </si>
  <si>
    <t>Dr. Lopez Hector Leonardo MP 7730</t>
  </si>
  <si>
    <t>187981/23</t>
  </si>
  <si>
    <t>CAYO, DANIEL GABRIEL GUILLERMO POR LESIONES LEVES AGRAVADAS POR LA RELACION DE PAREJA PREEXISTENTE Y POR MEDIAR VIOLENCIA DE GENERA, AMENAZAS CON ARMA, DAÑOS Y DESOBEDIENCIA JUDICIAL EN PERJUICIO DE JESICA NOELIA RODRIGUEZ</t>
  </si>
  <si>
    <t>188498/24</t>
  </si>
  <si>
    <t>ALBORNOZ, ROBERTO EXEQUIEL POR EL DELITO DE ROBO EN GRADO DE TENTATIVA</t>
  </si>
  <si>
    <r>
      <rPr>
        <sz val="10"/>
        <color rgb="FFFF0000"/>
        <rFont val="Arial"/>
        <family val="2"/>
      </rPr>
      <t>VIRTUAL FISCALIA</t>
    </r>
    <r>
      <rPr>
        <sz val="10"/>
        <rFont val="Arial"/>
        <family val="2"/>
      </rPr>
      <t xml:space="preserve"> NAVARRO, JOSE DAVID POR EL DELITO DE AMENAZAS CON ARMA EN PERJUICIO DE </t>
    </r>
  </si>
  <si>
    <t>188280/23</t>
  </si>
  <si>
    <t xml:space="preserve">CHOCOBAR, FELIX LUIS POR VIOLACION DE DOMICILIO, AMENAZAS Y AMENAZA CON ARMA (DOS HECHOS), TODOS EN CONCURSO REAL </t>
  </si>
  <si>
    <t>188471/24</t>
  </si>
  <si>
    <t>TINTILAY, ANGEL RICARDO POR LESIONES LEVES AGRAVADAS POR MEDIAR VIOLENCIA DE GENERO Y LA RELACION DE PAREJA Y PRIVACION ILEGITIMA DE LA LIBERTAD, TODO EN CONCURSO REAL en perjuicio de Luciana de los Angeles Chilo</t>
  </si>
  <si>
    <t>188497/24</t>
  </si>
  <si>
    <t>PENTUCCI, NICOLAS MAXIMILIANO POR EL DELITO DE ROBO SIMPLE EN GRADO DE TENTATIVA en perjuicio de Ribén Darío Fabián</t>
  </si>
  <si>
    <t>188352/24</t>
  </si>
  <si>
    <t>MICHEL, FERNANDO JOSE POR EL DELITO DE ROBO CALIFICADO en perjuicio de Néstor Alejandro Baldovino</t>
  </si>
  <si>
    <t>188447/24</t>
  </si>
  <si>
    <t>VILLAROEL, FACUNDO GASTON POR ROBO, DESOBEDIENCIA JUDICIAL, VIOLACION DE DOMICILIO Y AMENAZAS, TODO EN CONCURSO REAL en perjuicio de Camila Muriel Gonzalez Lopez</t>
  </si>
  <si>
    <t>188367/24</t>
  </si>
  <si>
    <t>GUZMAN, GERARDO MOISES POR HURTO SIMPLE EN GRADO DE TENTATIVA</t>
  </si>
  <si>
    <t>BENICIO ARON LAUTARO POR EL DELITO DE EVASION</t>
  </si>
  <si>
    <t>188358/24</t>
  </si>
  <si>
    <t>GALARZA, ESTEBAN NICOLAS POR EL DELITO DE LESIONES LEVES AGRAVADAS POR EL VINCULO</t>
  </si>
  <si>
    <r>
      <rPr>
        <sz val="10"/>
        <color rgb="FFFF0000"/>
        <rFont val="Arial"/>
        <family val="2"/>
      </rPr>
      <t>VIRTUAL CON FISCAL</t>
    </r>
    <r>
      <rPr>
        <sz val="10"/>
        <rFont val="Arial"/>
        <family val="2"/>
      </rPr>
      <t xml:space="preserve"> SANDOVAL, RAU ALFREDO POR EL DELITO DE LESIONES AGRAVADS POR EL VINCULO DE PAREJA Y POR EL GENERO EN PERJUICIO DE </t>
    </r>
  </si>
  <si>
    <r>
      <rPr>
        <sz val="10"/>
        <color rgb="FFFF0000"/>
        <rFont val="Arial"/>
        <family val="2"/>
      </rPr>
      <t>VIRTUAL CON FISCAL</t>
    </r>
    <r>
      <rPr>
        <sz val="10"/>
        <rFont val="Arial"/>
        <family val="2"/>
      </rPr>
      <t xml:space="preserve"> CHAYA Ariel Baltazar por Desobediencia Judicial en perj. De VALVIDIEZO Andrea Carolina</t>
    </r>
  </si>
  <si>
    <t>188410/24</t>
  </si>
  <si>
    <t>ROJAS, GUSTAVO NOLBERTO POR EL DELITO DE ROBO SIMPLE (9HECHOS) EN CONCURSO REAL</t>
  </si>
  <si>
    <t xml:space="preserve"> 12:07</t>
  </si>
  <si>
    <t xml:space="preserve"> 13:24</t>
  </si>
  <si>
    <t>MOTIVO DE LA DEMORA: HABIA OTRA AUDIENCIA ANTERIORMENTE EN LA SALA DE AUDIENCIA - LA AUXILIAR FISCAL LLEGÓ FUERA DE HORARIO - HUBO 4TO INTERMEDIO, 12:32 HS REINICIÓ -</t>
  </si>
  <si>
    <t xml:space="preserve"> 13:25</t>
  </si>
  <si>
    <t>Demoras entre las partes</t>
  </si>
  <si>
    <r>
      <rPr>
        <b/>
        <sz val="10"/>
        <rFont val="Arial"/>
        <family val="2"/>
      </rPr>
      <t>ABREVIADO: 1  MES EFECTIVA</t>
    </r>
    <r>
      <rPr>
        <sz val="10"/>
        <rFont val="Arial"/>
        <family val="2"/>
      </rPr>
      <t xml:space="preserve"> se spuende 05/01/2024 y reprogramar para el día 12/01/2024 ---- por pedido de la fiscalia a la espera de la pericia psquiatrica</t>
    </r>
  </si>
  <si>
    <t>Reemplazo Fiscalia Dr. Pablo Paz y Defensa Dra. Raquel Zerdan</t>
  </si>
  <si>
    <t>ABREVIADO: 3 AÑOS Y 4 MESES EFECTIVA</t>
  </si>
  <si>
    <t>ABREVIADO: 3 AÑOS Y 4 MESES EFECTIVA PARA AMBOS IMPUTADOS</t>
  </si>
  <si>
    <t>Demora por acuerdo entre las partes.</t>
  </si>
  <si>
    <t>Demora de la Defensa y del Fiscal</t>
  </si>
  <si>
    <t>Demora por Arreglo entre las partes.</t>
  </si>
  <si>
    <t>ABREVIADO: 4 AÑOS EFECTIVA Y ARRESTO DOMICILIARIO</t>
  </si>
  <si>
    <t>MOTIVO DE AUDIENCIA SUSPENDIDA: SE PRESENTÓ EL DR. EDMUNDO FARFÁN (ABOGADO PARTICULAR) EN FISCALIA, Y NO NOTIFICARON A LA OFIJU GAR -</t>
  </si>
  <si>
    <r>
      <rPr>
        <b/>
        <sz val="10"/>
        <rFont val="Arial"/>
        <family val="2"/>
      </rPr>
      <t>RACHAZO REVISION PP Y CONTINUA CON ARRESTO DOMICILIARIO (PP)</t>
    </r>
    <r>
      <rPr>
        <sz val="10"/>
        <rFont val="Arial"/>
        <family val="2"/>
      </rPr>
      <t xml:space="preserve"> -- AUDIENCIA FIJADA ATENTO AL VENCIMIENTO DEL PLAZO DISPUESTO PORLA DRA. ESPECHE EN AUDIENCIA DEL 27/12/2023</t>
    </r>
  </si>
  <si>
    <t>Reemplazo de la Defensa: Dr. Barrionuevo Roberto y Fiscal Dr. Marcos Vega</t>
  </si>
  <si>
    <t xml:space="preserve"> 11:53</t>
  </si>
  <si>
    <r>
      <rPr>
        <b/>
        <sz val="10"/>
        <rFont val="Arial"/>
        <family val="2"/>
      </rPr>
      <t>LIBERTAD CON SUSTITUTIVAS</t>
    </r>
    <r>
      <rPr>
        <sz val="10"/>
        <rFont val="Arial"/>
        <family val="2"/>
      </rPr>
      <t xml:space="preserve"> Se cambio la Fiscalia VFyG 2 por la VFyG 4</t>
    </r>
  </si>
  <si>
    <t>Demora de las Partes.</t>
  </si>
  <si>
    <t>Comenzo retrasada por terminar con posterioridad la audiencia anterior</t>
  </si>
  <si>
    <t>Retraso por arreglo entre las partes.</t>
  </si>
  <si>
    <t>Demora de todas las partes.</t>
  </si>
  <si>
    <t xml:space="preserve">PRISION PREVENTIVA </t>
  </si>
  <si>
    <t xml:space="preserve"> 11:34</t>
  </si>
  <si>
    <t xml:space="preserve"> 12:18</t>
  </si>
  <si>
    <t>Demora ya que el Defensor se encontraba en otra audiencia - El fiscal se encontraba demorado en conectarse</t>
  </si>
  <si>
    <t>Fiscal Demorado</t>
  </si>
  <si>
    <t>Reemplaza por al Defens la Dra. Marina Bouhid</t>
  </si>
  <si>
    <t>PABLO POL</t>
  </si>
  <si>
    <t>REEMPLAZO DE INFORMATICA</t>
  </si>
  <si>
    <r>
      <t>S</t>
    </r>
    <r>
      <rPr>
        <b/>
        <sz val="10"/>
        <rFont val="Arial"/>
        <family val="2"/>
      </rPr>
      <t>e suspende por planteo de incompetencia Materia</t>
    </r>
    <r>
      <rPr>
        <sz val="10"/>
        <rFont val="Arial"/>
        <family val="2"/>
      </rPr>
      <t>l. Se remitio el 11/01/24 la causa se remite a Gar. 1 por planteo de Incompetencia Material (fuero federal). LA AUDIENCIA SE SUSPENDE</t>
    </r>
  </si>
  <si>
    <t>Demora del Fiscal y de  la Defensa</t>
  </si>
  <si>
    <t>Demora por el Fiscal y Juez</t>
  </si>
  <si>
    <r>
      <t xml:space="preserve">SUSPENDIDA                        --Asesoria 10- se reprograma para el dia 26/01/2024- </t>
    </r>
    <r>
      <rPr>
        <sz val="10"/>
        <rFont val="Arial"/>
        <family val="2"/>
      </rPr>
      <t>En vista a la Mesa Pupilar  21/12/2023</t>
    </r>
  </si>
  <si>
    <t>Dr. Farfan Edmundo Demetrio MP 1577</t>
  </si>
  <si>
    <t>188237/23</t>
  </si>
  <si>
    <t>REYNOSO, JOAQUIN HERNAN por hurto en perjuicio de Quispe, Hipolita Eusebia</t>
  </si>
  <si>
    <t>188321/23</t>
  </si>
  <si>
    <t>MEALLA, VICTOR ANGEL por desobediencia judicial</t>
  </si>
  <si>
    <t>188353/23</t>
  </si>
  <si>
    <t>CUELLAR, ORLANDO LUIS por el delito de Robo</t>
  </si>
  <si>
    <t>188342/23</t>
  </si>
  <si>
    <t>NAVARRO, VIRGILIO por amenazas, daños y robo en grado de tentativa en perjuicio de Navarro, Diego Alberto</t>
  </si>
  <si>
    <r>
      <rPr>
        <sz val="10"/>
        <color rgb="FFFF0000"/>
        <rFont val="Arial"/>
        <family val="2"/>
      </rPr>
      <t>VIRTUAL CON DRA. ADET</t>
    </r>
    <r>
      <rPr>
        <sz val="10"/>
        <rFont val="Arial"/>
        <family val="2"/>
      </rPr>
      <t xml:space="preserve"> - RODRIGUEZ, IGNACIO MANUEL ALEJANDRO POR EL DELITO DE ROBO CALIFICADO EN GRADO DE TENTATIVA EN PERJUICIO DEL OF. AYTE. VELEIZAN, GONZALO FERNANDO </t>
    </r>
  </si>
  <si>
    <r>
      <rPr>
        <sz val="10"/>
        <color rgb="FFFF0000"/>
        <rFont val="Arial"/>
        <family val="2"/>
      </rPr>
      <t>VIRTUAL CON DRA ADET</t>
    </r>
    <r>
      <rPr>
        <sz val="10"/>
        <rFont val="Arial"/>
        <family val="2"/>
      </rPr>
      <t xml:space="preserve"> - SUGRA EBBER Alexis por Robo en perj. De SALVA Gervacio Arcenio</t>
    </r>
  </si>
  <si>
    <t>188247/23</t>
  </si>
  <si>
    <t>GIMENEZ BENAVIDEZ, MACARENA BELEN por hurto simple y violaciòn de domicilio en perjuicio de  Gutierrez, Olga Silvia</t>
  </si>
  <si>
    <t>PABLO</t>
  </si>
  <si>
    <t>GOMEZ</t>
  </si>
  <si>
    <t>ARGOITIA</t>
  </si>
  <si>
    <t>188355/24</t>
  </si>
  <si>
    <t xml:space="preserve"> 09:0</t>
  </si>
  <si>
    <t>188124/23</t>
  </si>
  <si>
    <t>APAZA, CESAR GREGORIO por lesiones leves, amenazas, desobediencia judicial en perjuicio de Perez, Pala Jimena</t>
  </si>
  <si>
    <t>Prisiòn domiciliaria</t>
  </si>
  <si>
    <t xml:space="preserve"> 14:05</t>
  </si>
  <si>
    <t>Atraso: problemas tecnicos con audio pc orion</t>
  </si>
  <si>
    <t>vic menor --- se remite a mesa pupilar 28/12/2023 - Prisiòn preventiva</t>
  </si>
  <si>
    <t>Abreviado - 6 meses efectiva</t>
  </si>
  <si>
    <t xml:space="preserve"> 12:31</t>
  </si>
  <si>
    <t>188328/23</t>
  </si>
  <si>
    <t>CALIGARI VIA, MIGUEL ALEJANDRO por hurto simple</t>
  </si>
  <si>
    <t xml:space="preserve">CENARDO, CAICOL ALFREDO CEFEFERINO Y MAMANI, EMANUEL EXEQUIEL POR EL DELITO DE ROBO SIMPLE </t>
  </si>
  <si>
    <r>
      <t>posible JUICIO ABREVIADO--- Vic. Menor ---</t>
    </r>
    <r>
      <rPr>
        <b/>
        <sz val="10"/>
        <rFont val="Arial"/>
        <family val="2"/>
      </rPr>
      <t xml:space="preserve"> en vista a la mesa pupilar 27/12/2023--- Asesoría 3 --- JUICIO ABREVIADO - 3años condicional</t>
    </r>
  </si>
  <si>
    <t>Atraso: demora de la jueza</t>
  </si>
  <si>
    <t xml:space="preserve">Libertad con sustitutivas - audiencia previamente suspendida ATENTO QUE LA DEFENSA (DR. MAGGIO) SE ENCUENTRA INTERNADO -- hay que fijar nueva audiencia  La revision es por VIZCARRA, CARLOS GABRIEL </t>
  </si>
  <si>
    <t>Atraso: Llego tarde el defensor particular</t>
  </si>
  <si>
    <t xml:space="preserve">Prisiòn preventiva - asesoría 7 ---EL HORARIO, PUEDE SER EL HORARIO EL DÍA 16/01/2024 Y TAMIBEN PUEDE SER EL 18/01  INT 7777 FEDERICO VALE </t>
  </si>
  <si>
    <t>Audiencia adelanta</t>
  </si>
  <si>
    <t xml:space="preserve"> 13:04</t>
  </si>
  <si>
    <t>Abreviado - 1 año y 6 meses condicional para Gòmez y 1 año y 6 meses condicional para Yapura - Dr. Ru, Norberto Gabriel MP 4268 como defensor de Yapura, Fernando Ezequiel</t>
  </si>
  <si>
    <t>188436/24</t>
  </si>
  <si>
    <t>TORRES, NESTOR ORLANDO por el evasiòn y lesiones leves agravadas en concurso idea en perjuicio de la adminstraciòn pùblica y de Sergio Arnaldo Mamanì</t>
  </si>
  <si>
    <t>188117/23</t>
  </si>
  <si>
    <t>GARNICA, CRISTIAN HERNAN GONZALO por abuso sexual cona cceso carnal</t>
  </si>
  <si>
    <t>Dr. Burgos, Tomas Lucas Rodolfo</t>
  </si>
  <si>
    <t>188528/23</t>
  </si>
  <si>
    <t>RUIZ DAHMER, ANGEL EXEQUIEL Y MERCADO LUIS ROLANDO por tentativa de Robo en perjuicio de Rodriguez, leonardo Ramira</t>
  </si>
  <si>
    <t>Abreviado - 24 dias efectiva</t>
  </si>
  <si>
    <t xml:space="preserve"> 13:30</t>
  </si>
  <si>
    <t>Pisiòn preventiva</t>
  </si>
  <si>
    <t>Atraso: busqueda de antecedentes del imputado</t>
  </si>
  <si>
    <t>Prisiòn preventva</t>
  </si>
  <si>
    <t>Atraso: trativas</t>
  </si>
  <si>
    <t>Juicio abreviado - 2 años y 8 meses conidcional y 4 alos efectiva para el otro</t>
  </si>
  <si>
    <t xml:space="preserve"> 12:21</t>
  </si>
  <si>
    <t xml:space="preserve">JUICIO ABREVIADO CONDENADO A LA PENA DE SIETE MESES DE PRISIÓN EFECTIVA </t>
  </si>
  <si>
    <t xml:space="preserve">2 CON PRISIÓN CONDICIONAL DE 2 AÑO Y 8 MESES Y UNA CON PRISION EFECTIVA DE 4 AÑOS </t>
  </si>
  <si>
    <t>Feria primer quincena</t>
  </si>
  <si>
    <t>188400/24</t>
  </si>
  <si>
    <t>MOREL, CAMILA DANIELA EMILSE por desobediencia judicial (2 hechos), coaccion con arma y amenazas con arma en concurso real</t>
  </si>
  <si>
    <t>176749/22</t>
  </si>
  <si>
    <t>BRUNO, IVAN JESUS por robo simple en grado de tentativa en perjuicio de Rivero, Martìn</t>
  </si>
  <si>
    <t>188381/24</t>
  </si>
  <si>
    <t>GÒMEZ, FRANCO ISRAEL por amenazas y desobediencia judicial</t>
  </si>
  <si>
    <t>188439/24</t>
  </si>
  <si>
    <t>VASQUEZ, ALFREDO VASQUEZ por amenazas (2 hechos) y violaciòn de domicilio todo en concurso real</t>
  </si>
  <si>
    <t>188538/24</t>
  </si>
  <si>
    <t>QUINTANA, CINTIA MARISOL por Robo simple</t>
  </si>
  <si>
    <t xml:space="preserve"> 14:07</t>
  </si>
  <si>
    <r>
      <rPr>
        <sz val="10"/>
        <color rgb="FFFF0000"/>
        <rFont val="Arial"/>
        <family val="2"/>
      </rPr>
      <t>VIRTUAL VICTIMAS EN FISCALIA</t>
    </r>
    <r>
      <rPr>
        <sz val="10"/>
        <rFont val="Arial"/>
        <family val="2"/>
      </rPr>
      <t xml:space="preserve"> - OLIMA, DIEGO POR EL DELITO DE HURTO SIMPLE, VIOLACION DE DOMICILIO Y DAÑOS EN PERJUICIO DE VILLACORTA, ARIEL EDUARDO Y ZAMORA, ALBERTO JESUS</t>
    </r>
  </si>
  <si>
    <t>Juicio abreviado - 2 meses efectiva para ambos imputados</t>
  </si>
  <si>
    <t>Atraso: llego tarde la juez</t>
  </si>
  <si>
    <t>en fecha 10/01/2024 se remite al Juzgado de Garantias 1 (en Feria) atento al PRONTO DESPACHO presentado por al defensa. Juicio abreviado 1 años y 6 meses domiciliaria</t>
  </si>
  <si>
    <t>Atraso: Tratativas</t>
  </si>
  <si>
    <t>Suspendida del dia 17/01 - Libertad con sustitutivas</t>
  </si>
  <si>
    <t xml:space="preserve"> 13:18</t>
  </si>
  <si>
    <t xml:space="preserve"> 12:59</t>
  </si>
  <si>
    <t>Juicio abreviado 6 meses efectiva</t>
  </si>
  <si>
    <t>Atraso: llego tarde la defensoria publica</t>
  </si>
  <si>
    <t xml:space="preserve"> 13:42</t>
  </si>
  <si>
    <t>188426/24</t>
  </si>
  <si>
    <t>GARCIA, PABLO DANIEL, YAÑEZ FRANCO NAHUEL por robo triplemente calificado por el uso de arma, por ser en poblado y en banda y por la participaciòn de un menor; VASQUEZ M. A. por robo doblemebte calificado por el uso de arma y por ser en poblado y en banda</t>
  </si>
  <si>
    <t>188340/24</t>
  </si>
  <si>
    <t xml:space="preserve">SANGUINO, AXEL LUIS MAXIMILIANO por amenazas - violaciòn de comicilio - Lesiones leves agravadas por la relaciòn de pareja pre existente y por media violencia (2 hechos) todo e concurso real, en perjuicio de Caba Cruz, Clara Evangelina </t>
  </si>
  <si>
    <t>188146/23</t>
  </si>
  <si>
    <t xml:space="preserve">ROMERO, CARLOS SEBASTIAN por lesiones culposas en perjuicio de Sanchez Perezm Matias Atilio </t>
  </si>
  <si>
    <t>188405/23</t>
  </si>
  <si>
    <t>GUTIERREZ, MARIANO AGUSTIN por robo</t>
  </si>
  <si>
    <r>
      <rPr>
        <sz val="10"/>
        <color rgb="FFFF0000"/>
        <rFont val="Arial"/>
        <family val="2"/>
      </rPr>
      <t>VIRTUAL CON FISCALIA</t>
    </r>
    <r>
      <rPr>
        <sz val="10"/>
        <rFont val="Arial"/>
        <family val="2"/>
      </rPr>
      <t xml:space="preserve"> - CRUZ, ANA GABRIELA Y AVELLANEDA GUSTAVO GABRIEL POR ROBO CALIFICADO POR HABERSE COMETIDO EN POBLADO Y  EN BANDA</t>
    </r>
  </si>
  <si>
    <t>188346/23</t>
  </si>
  <si>
    <t>MALDONADO, FACUNDO EZEQUIEL por amenazas, desobediencia judicial, daños, violación de comicilio y coacción todo ello en concurso real en perjuicio de Godoy, Carla Daiana</t>
  </si>
  <si>
    <t>188406/23</t>
  </si>
  <si>
    <t>YARAD, YASSER AMIR por hurto calificado por escalamiento en grado de tentativa en perjuicio de Miller, Sebastian</t>
  </si>
  <si>
    <t>184427/23</t>
  </si>
  <si>
    <t>CRUZ, SEBASTIAN Y DANIELA ALEJANDRA ESPINOSA por estafas reiteradas y falsificaciòn de documento público</t>
  </si>
  <si>
    <t>188284/23</t>
  </si>
  <si>
    <t>AGUILAR, JOSÉ ANTONIO por abuso sexual c/acceso carnal agravado</t>
  </si>
  <si>
    <t>188542/24</t>
  </si>
  <si>
    <t>GARCIA, LUCAS VICTOR por robo simple en perjuicio de Aroyo, Facundo david</t>
  </si>
  <si>
    <t>188562/24</t>
  </si>
  <si>
    <t>RAPOSO, DAVID MIGUEL FEDERICO Y ARGÛELLO, FACUNDO ALEJANDRO por robo calificado de vehiculos dejados en la via pública en perjuicio de Naranjo, Isaias Eduardo</t>
  </si>
  <si>
    <t>188537/24</t>
  </si>
  <si>
    <t>CRUZ, LUCAS EXEQUIEL hurto simple en perjuicio de Bevacqua, Marta Isabel</t>
  </si>
  <si>
    <t>188462/24</t>
  </si>
  <si>
    <t>GIGENA, FACUNDO ADRIAN Y MORALES, ROCIO DEL CIELO por hurto</t>
  </si>
  <si>
    <t>188512/24</t>
  </si>
  <si>
    <t>ESTOPIÑAN, RODRIGO LEONEL por desobediencia judicial en perjuicio de Maiza, Soledad del Valle</t>
  </si>
  <si>
    <t>2 (8 en feria)</t>
  </si>
  <si>
    <t>188495/24</t>
  </si>
  <si>
    <t>188378/24</t>
  </si>
  <si>
    <t>AIZAMA, NICOLAS DARIO por lesiones agravadas en perjuicio de Pino, Florencia</t>
  </si>
  <si>
    <t>188533/24</t>
  </si>
  <si>
    <t>CONDORI, SERGIO MIGUEL por homicidio simple en perjuicio de Palacios, Ismael Maximiliano; Tolaba Flores, Eric Jonathan</t>
  </si>
  <si>
    <t>188470/24</t>
  </si>
  <si>
    <t>CINTAS GUZMAN, NICOLAS FERNANDO por Abuso sexual con acceso carnal, desobediencia judicial todo en cuncurso real</t>
  </si>
  <si>
    <t>188409/24</t>
  </si>
  <si>
    <t>ARCE ANIBAL ALEJANDRO por robo simple en grado de tentativa en perjuicio de Corona, Cayetano Angel</t>
  </si>
  <si>
    <t>188408/24</t>
  </si>
  <si>
    <t>SANGUINO, ALEX ALEXANDER PAUL por robo calificado por el uso de arma</t>
  </si>
  <si>
    <t>188417/24</t>
  </si>
  <si>
    <t>188514/24</t>
  </si>
  <si>
    <t>DO SATOS, ADRIAN ELISEO por abuso sexual simple (continuado) agravado por la guarda y por la convivencia preexistente y por el uso de arma</t>
  </si>
  <si>
    <t>188511/24</t>
  </si>
  <si>
    <t xml:space="preserve"> 12:49</t>
  </si>
  <si>
    <t>188316/24</t>
  </si>
  <si>
    <t>MATIAS IBARRA Y AGUSTIN GERARDO IBARRA por hurto simple</t>
  </si>
  <si>
    <t>188411/24</t>
  </si>
  <si>
    <t>188450/24</t>
  </si>
  <si>
    <t>LIENDRO, MIGUEL ANGEL por hurto calificado por escalamiento</t>
  </si>
  <si>
    <t>188286/23</t>
  </si>
  <si>
    <t>188320/23</t>
  </si>
  <si>
    <t>GUEDILLA, JULIO CESAR por hurto simple</t>
  </si>
  <si>
    <t>188501/24</t>
  </si>
  <si>
    <t>CANSINO, FRANCO ISMAEL Y RISSO IRENE NICOL por robo con arma en poblado y en banda</t>
  </si>
  <si>
    <t>188465/24</t>
  </si>
  <si>
    <t>MORALES, DARIO SEBASTIAN  por Grooming</t>
  </si>
  <si>
    <t>188486/24</t>
  </si>
  <si>
    <t xml:space="preserve"> 14:41</t>
  </si>
  <si>
    <t>188506/24</t>
  </si>
  <si>
    <t>CAZÓN EDUARDO, por desobediencia judicial - 3 hechos- y amenazas en concurso real</t>
  </si>
  <si>
    <t>188558/24</t>
  </si>
  <si>
    <t>PALACIOS, HECTOR MAXIMILIANO por hurto simple en grado de tentativa agravado por la participaciòn de un menor</t>
  </si>
  <si>
    <t>REINGA</t>
  </si>
  <si>
    <t>Atraso: llego tarde la Juez</t>
  </si>
  <si>
    <t>Prisión preventiva para los 3 imputados</t>
  </si>
  <si>
    <t>Sobreseimiento para Rodriguez, suspension de juicio a prueba para los otros imputados - Qte. Dr. Arandía Jose Nicolás y Dr. Cayetano Oliver --- Dr. Solá Garrido por Lautaro Guardo y Dr. Rodriguez, Cesar por Dr. Marcelo Arancibia --- reprogramar para el día 19/01/2024</t>
  </si>
  <si>
    <t xml:space="preserve"> 13:35</t>
  </si>
  <si>
    <t xml:space="preserve"> 14:01</t>
  </si>
  <si>
    <r>
      <rPr>
        <sz val="10"/>
        <color rgb="FFFF0000"/>
        <rFont val="Arial"/>
        <family val="2"/>
      </rPr>
      <t>VIRTUAL CON DRA DAVALOS</t>
    </r>
    <r>
      <rPr>
        <sz val="10"/>
        <rFont val="Arial"/>
        <family val="2"/>
      </rPr>
      <t xml:space="preserve"> - ALDERETE, CARLOS RENE POR LOS DELITOS DE COACCION, AMENAZAS Y DESOBEDIENCIA JUDICAIL EN PERJUICIO DE MARIA SARA BARRIONUEVO</t>
    </r>
  </si>
  <si>
    <r>
      <rPr>
        <sz val="10"/>
        <color rgb="FFFF0000"/>
        <rFont val="Arial"/>
        <family val="2"/>
      </rPr>
      <t>VIRTUAL CON DRA DAVALOS</t>
    </r>
    <r>
      <rPr>
        <sz val="10"/>
        <rFont val="Arial"/>
        <family val="2"/>
      </rPr>
      <t xml:space="preserve"> - BARRIONUEVO, JULIO CESAR POR PRIVACION ILEGITOMA DE LA LIBERTAD AGRAVADA Y AMENAZAS EN CONCURSO REAL en perjuico de María Elizabeth Siles</t>
    </r>
  </si>
  <si>
    <r>
      <rPr>
        <sz val="10"/>
        <color rgb="FFFF0000"/>
        <rFont val="Arial"/>
        <family val="2"/>
      </rPr>
      <t>VIRTUAL CON DRA DAVALOS</t>
    </r>
    <r>
      <rPr>
        <sz val="10"/>
        <rFont val="Arial"/>
        <family val="2"/>
      </rPr>
      <t xml:space="preserve"> - LLANES, GUSTAVO ALEJANDRO POR LOS DELITOS DE AMENAZAS CON ARMA, AMENAZAS (5 HECHOS) Y DESOBEDIENCIA JUDICAL EN CONCURSO REAL  EN PERJUICIO DE ANA PAULA RUIZ</t>
    </r>
  </si>
  <si>
    <t>MAMANI, DANIEL ALEJANDRO por hurto calificado de vahículo dejado en la vía pública</t>
  </si>
  <si>
    <t>188508/24</t>
  </si>
  <si>
    <t>CHILO, JULIO RAUL por lesiones doblemente agravadas por la relación de pareja preexistente y por el género y desobediencia judicial tres hechos todo en concurso real en perjuicio de Tapia, Rosaura Graciela</t>
  </si>
  <si>
    <t>188535/24</t>
  </si>
  <si>
    <t>FLORES, LUCAS MIGUEL ANDRES por Violación de domicilio - 2 hechos- hurto, coacción y desobediencia judicial - 2 hechos todo en concurso real</t>
  </si>
  <si>
    <t>188451/24</t>
  </si>
  <si>
    <t>FLORES, PAULA NATALIA  por coacción - dos hechos - e incendio intenciona el concurso real</t>
  </si>
  <si>
    <t>188448/24</t>
  </si>
  <si>
    <t>188509/24</t>
  </si>
  <si>
    <t>CASAL, MATIAS EFRAIN  por abuso sexual gravemente ultrajande agravado, en perjuicio de S:I:M:C y M:G.C</t>
  </si>
  <si>
    <t>188356/24</t>
  </si>
  <si>
    <t>LAMAS, ISMAEL SAIAS por robo en poblado y banda en perjuicio de Fernandez Castro, Joaquin</t>
  </si>
  <si>
    <t>Dra. Florencia Temporetti MP 5922</t>
  </si>
  <si>
    <t>Dr. Nicolas S. Coregidor MP 6059</t>
  </si>
  <si>
    <t>188554/24</t>
  </si>
  <si>
    <t>188493/24</t>
  </si>
  <si>
    <t>NARVAEZ, JUAN SEBASTIAN por lesiones levea agravadas por el vinculo y género y amenazas en perjuicio de Tatiana Guadalupe Narvaez y lesiones leves agravas por el género y la relación de pareja en perjuicio de Griselda Benita Leyton</t>
  </si>
  <si>
    <t>FERNANDEZ, DELFOR DARIO por daños, agresiones con arma y desobediencia judicial</t>
  </si>
  <si>
    <t>188442/24</t>
  </si>
  <si>
    <t>188435/24</t>
  </si>
  <si>
    <t>CHOCOBAR, DANIEL ESTANISLAO POR AMENAZAS Y DESOBEDIENCIA JUDICIAL EN CONCURSO REAL</t>
  </si>
  <si>
    <t>188496/24</t>
  </si>
  <si>
    <t>BALMACEDA, YANINA ZULEMA ANTONELLA por amenazas con arma y desobediencia judicial en concurso real en perjuicio de Manuel, Maria de los Angeles</t>
  </si>
  <si>
    <t>188513/24</t>
  </si>
  <si>
    <t>PEREYRA PACHECO, GONZALO EXEQUIEL por Robo simple y Amenazas con arma</t>
  </si>
  <si>
    <t>188481/24</t>
  </si>
  <si>
    <t>PADOVANI MAXIMILIANO por daños, amenazas con arma, amenazas y desobediencia judicial</t>
  </si>
  <si>
    <t>188574/24</t>
  </si>
  <si>
    <t>RAUL ORLANDO BAUTISTA O RAUL ORLANDO ADRIAN BAUTISTA… por robo agravado por escalamiento</t>
  </si>
  <si>
    <t>188563/24</t>
  </si>
  <si>
    <t>ECHAZU, EDUARDO MAXIMILIANO; ECHAZU, GABRIEL EMANUEL por hurto simple en grado de tentativa</t>
  </si>
  <si>
    <t>188565/24</t>
  </si>
  <si>
    <t>RODRIGUEZ, SEBASTIAN SAMUEL por hurto simple engrado de tentativa</t>
  </si>
  <si>
    <t>188517/24</t>
  </si>
  <si>
    <t>ARAMAYO, JOSE LINO por abuso sexual simple agravado por la convivencia pre existente con una menor de 18 aos</t>
  </si>
  <si>
    <t>188502/24</t>
  </si>
  <si>
    <t>tarifa plata, aldo yoni POR DAÑOS Y ROBO</t>
  </si>
  <si>
    <t>NUÑEZ, AGUSTÌN EMANUEL por LESIONES AGRAVADAS POR LA RELACIÒN DE APREJA Y POR EL GÈNERO</t>
  </si>
  <si>
    <t>Dr. Ruiz Mattei, Federico MP 6144</t>
  </si>
  <si>
    <t xml:space="preserve"> 13:34</t>
  </si>
  <si>
    <t xml:space="preserve"> 11:46</t>
  </si>
  <si>
    <t xml:space="preserve">Libertad - COACCIÓN CON ARMA  ES EL DELITO MÁS GRAVE -- HAY DOS FISCALÍAS INTERVINIENDO VIFG 4 Y FP 6 </t>
  </si>
  <si>
    <t>Libertad con sustitutivas - (Dra. Daniela Cornejo) - No se encuentra suspendida por OGA</t>
  </si>
  <si>
    <t>Juicio Abreviado 8 meses efectiva</t>
  </si>
  <si>
    <t>Cuarto intermedio de 11:00 a 11:20</t>
  </si>
  <si>
    <t>audiencia del dia 23/01 - Juicio abreviado - unificando a 1 año y 9 meses efectiva</t>
  </si>
  <si>
    <t>Juicio abreviado 1 mes y 21 dias efectiva</t>
  </si>
  <si>
    <t>Atraso: llego tarde el Juez</t>
  </si>
  <si>
    <t xml:space="preserve"> 12:37</t>
  </si>
  <si>
    <t xml:space="preserve"> 13:16</t>
  </si>
  <si>
    <t>Dr. Orfeo Maggio - audiencia de juicio abreviado - Resultado: Abreviado 4 años efectiva unificando a 6 años y 8 meses efectiva para Jaquelina Brisa Candela Alba  y 2 años y 8 meses condicional para Alba Rocio y Alba Andrea</t>
  </si>
  <si>
    <t xml:space="preserve"> 13:14</t>
  </si>
  <si>
    <t>Qte. Dra. Albornoz, Laura de los Ángeles MP 6494 ---Reprogramada del dia 19/01 - Suspendida por pedido de la defensa particular por presentarse el dia de la audiencia</t>
  </si>
  <si>
    <t>SUSPENDIDA por pedido de libertad presentado en fecha 25/01 por parte del Fiscal - Dr. Escalante. Se remite al Juzgado de GAR 1 - s/prev. Por sist.</t>
  </si>
  <si>
    <t>Suspendida por acumularse a causa 188369/24 resuelta en audiencia del dia 24/01</t>
  </si>
  <si>
    <t>Dr. Fernández, Jeremías Emanuel MP 7100</t>
  </si>
  <si>
    <t>188586/24</t>
  </si>
  <si>
    <t>ZORRILLA, BRAIAN FABRICIO por Robo calificado por el uso de arma</t>
  </si>
  <si>
    <t>188555/24</t>
  </si>
  <si>
    <t>AIBAR, DANIELA por estafas reiterada -3h- y defraudación por el uso de tarjeta de crédito todo en concurso real</t>
  </si>
  <si>
    <t>188412/24</t>
  </si>
  <si>
    <t>188544/24</t>
  </si>
  <si>
    <t>186900/23</t>
  </si>
  <si>
    <t>188583/24</t>
  </si>
  <si>
    <t>RAMOS, RUBEN CRISTIAN ALEJANDRO  por robo doblemente calificado por perpetrarse con escalamiento y con efracción</t>
  </si>
  <si>
    <t>Suspendida por acumularse a causa 187357/23 con audiencia el dia 25/01</t>
  </si>
  <si>
    <t>Dr. Villarrubia, Marcos Antonio MP 4434</t>
  </si>
  <si>
    <t>188456/24</t>
  </si>
  <si>
    <t>CORIMAYO,, ANGEL ROLANDO por  desobediencia judicial y amenazas, violación de domiciio, lesiones leves agravadas por la relacion de pareja y por el genero, amenazas, y desobediencia judicial en concurso real</t>
  </si>
  <si>
    <t xml:space="preserve"> 12:01</t>
  </si>
  <si>
    <t>188494/24</t>
  </si>
  <si>
    <t>DARDU RUBEN ALEJANDRO GUTIERREZ Y JOAQUIN ALFONSO SOSA POR hurto calificado por escalamiento en grado de tentativa</t>
  </si>
  <si>
    <t>188576/24</t>
  </si>
  <si>
    <t>GONZALEZ, RAUL ALBERTO por hurto simple 3h y hurto simple en grado de tentativa en concurso real</t>
  </si>
  <si>
    <t>188560/24</t>
  </si>
  <si>
    <t>Suspendida por haberle otorgado la libertad al imputado en fecha 11:01 por pedido e la fiscalía..</t>
  </si>
  <si>
    <t>ARGOTIA</t>
  </si>
  <si>
    <r>
      <t xml:space="preserve">SUSPENDIDA por incomparencia de la defensoía la cual se encontraba en otra audienia fijada por OFIJU la cual inicio con demoras  -    </t>
    </r>
    <r>
      <rPr>
        <b/>
        <sz val="10"/>
        <rFont val="Arial"/>
        <family val="2"/>
      </rPr>
      <t>OJO - TAMBIEN INTERVINEE FISCAL UDIS 1 -</t>
    </r>
    <r>
      <rPr>
        <sz val="10"/>
        <rFont val="Arial"/>
        <family val="2"/>
      </rPr>
      <t xml:space="preserve"> ASESORIA DE INCPACES 2 EN FERIA - Dra. Claudia Mariela Flores Larsen FP UDIS 1 - DR. SERGIO FEDERICO OBEID y fp 4 - RUIZ DE LOS LLANOS, TIENE DOS SOLICITUDES DE PRISIÒN PREVENTIVA. --- victima menor, en vista a la mesa pupilar en fecha 08/01/2024 ---- </t>
    </r>
  </si>
  <si>
    <t>GONZALEZ, MAIRA DANIELA por daños em perjuicio de Castellanos, Noemi Graciela</t>
  </si>
  <si>
    <t>MANRIQUE, ROBERTO JOSE POR EL DELITO DE ROBO SIMPLE EN PERJUICIO DE -- Y ROBERTO JOSE MANRIQUE POR EL DELITO DE ABUSO SEXUAL AGRAVADA POR LA CONVIVENCIA PRE-EXISTENTE EN PERJUICIO DE JA. LAGAR</t>
  </si>
  <si>
    <t>Suspendida por pedido de libertad presentado por fiscalia en juzgado de GAR 8. Se devuelve expte al jugzado GAR 8</t>
  </si>
  <si>
    <t>Reservar Sala grandre juicios</t>
  </si>
  <si>
    <t xml:space="preserve"> 12:38</t>
  </si>
  <si>
    <t>188531/24</t>
  </si>
  <si>
    <t>CHOCOBAR, LUCIO NAHUEL por robo calificado por el uso de arma de fuego en grado de tentativa, amenaza cona rma y lesiones en grado de tentativa</t>
  </si>
  <si>
    <t>188561/24</t>
  </si>
  <si>
    <t>188581/24</t>
  </si>
  <si>
    <t xml:space="preserve">CORDOBA, MARCELO NICOLÁS  por robo en poblado y en banda </t>
  </si>
  <si>
    <t>188532/24</t>
  </si>
  <si>
    <t xml:space="preserve">MOLINA, JUAN RUBEN por Sustracción de menores </t>
  </si>
  <si>
    <t xml:space="preserve"> 12:28</t>
  </si>
  <si>
    <t>188577/24</t>
  </si>
  <si>
    <t>APUD, ARIEL GUSTAVO por lesiones graves agravadas por la participación de un menor de edad en perjuicio del adolecente Q.G. S.</t>
  </si>
  <si>
    <t>188503/24</t>
  </si>
  <si>
    <t>RIOS, PABLO ALEJANDRO Y GUAYMAS, PAOLA ALEJANDRA por robo en perjuicio de Choque, Analia Yoalanda</t>
  </si>
  <si>
    <t>188592/24</t>
  </si>
  <si>
    <t>188591/24</t>
  </si>
  <si>
    <t>188590/24</t>
  </si>
  <si>
    <t>188553/24</t>
  </si>
  <si>
    <t>MAMANI, MARCELO ALEJANDRO POR hurto simple</t>
  </si>
  <si>
    <t>en fecha 29/01 Suspendida por pedido de junta medica por las partes se remite expte al juzgado de origen</t>
  </si>
  <si>
    <t>Dra. Espinoza, Natalia Marisel MP 6726</t>
  </si>
  <si>
    <t>188504/24</t>
  </si>
  <si>
    <t>ROMERO, JOSÉ ARNALDO por amenazas y vioalación de domicilio en perjuicio de Pérez, Luisa Gabriela</t>
  </si>
  <si>
    <t>188600/24</t>
  </si>
  <si>
    <t>CHÁVEZ, EMANUEL MATIAS Y EZEQUIEL AGUSTÍN CUITINO por Robo calificado por el uso de arma</t>
  </si>
  <si>
    <t>10:001</t>
  </si>
  <si>
    <t>Vic. Menor ASESORIA 3 --- Preventiva por 20 dias solicitar con antelacion el expte</t>
  </si>
  <si>
    <t>Suspendida Por que la Juez se retiro</t>
  </si>
  <si>
    <t>Se remite el expediente al juzgado de GAR 1 por pedido del juzgado de origen ante la presentacion de la defensa - Dr. Sola Garrido p/ Cruz - Pedido de prisión domiciliaria - revisiòn de preventiva</t>
  </si>
  <si>
    <t>PREVENTIVA POR 15 DIAS - reprogramada del dia 23/01</t>
  </si>
  <si>
    <t>Se suspende por pedido de libertad de la fiscalia. Se remite al juzgado de origen (en feria GAR 8)</t>
  </si>
  <si>
    <t>Se devuelve al juzgado de origen a los efectos que se resuelva el problema de la desingacion del defensor</t>
  </si>
  <si>
    <t>188105/23</t>
  </si>
  <si>
    <t>SARE RESINA, JALIL NICOLAS por robo simple en perjuicio de Bayon Jose Martin</t>
  </si>
  <si>
    <t>Dra. Salinas, Veronica Maribel MP 7198</t>
  </si>
  <si>
    <t>188119/23</t>
  </si>
  <si>
    <t>CARDOZO, CINTIA; DIAZ, PAOLA ELZA; CARDOZO, HECTOR SEBASTIAN; VEGA, MARIA ISABEL; CHAVEZ, FERNANDO AGUSTIN, CARDOZO, EDUARDO FELIZ Y DIAZ, MARCELA SOLEDAD  por tenencia de estupefacientes</t>
  </si>
  <si>
    <t>188166/23</t>
  </si>
  <si>
    <t>POUSA CIANCIA, JUAN CRUZ POR hurto calificado en perjuicio de Rosember, Luciano Matias</t>
  </si>
  <si>
    <t>Dr. Ceferino Vedia MP 3741</t>
  </si>
  <si>
    <t>188536/24</t>
  </si>
  <si>
    <t>en fecha 29/01 se remite al juzgado de origen por solicitarse la libertad por parte d ela fiscalia</t>
  </si>
  <si>
    <t>188559/24</t>
  </si>
  <si>
    <t>188500/24</t>
  </si>
  <si>
    <t>SABAN, DARIO JOSÉ por robo</t>
  </si>
  <si>
    <t>SOSA,GEREZ, LUCIANO MATIAS por robo con arma yy hurto en perjuicio de Segura Maria Asuncion y Wayar Nuñez Dario</t>
  </si>
  <si>
    <t>188575/24</t>
  </si>
  <si>
    <t>AVENDAÑO, LUIS ALBERTO por hurto simple en perjuicio de Torres, Alfredo Hugo</t>
  </si>
  <si>
    <t>PONCE, CLAUDIO RODRIGO  por hurto simple - 2h- en perjuicio de Sakamoto Rezende de Sousa Roberto</t>
  </si>
  <si>
    <t>GUAYMAS, FRANCO EXEQUIEL por desobediencia judicial en perjuicio de Mercado, Daiana Micaela</t>
  </si>
  <si>
    <t>Dr. Belbruno, Jose Ricardo (particular)</t>
  </si>
  <si>
    <t>Suspendida por pedido de libertad por parte de la fiscalia - se remite al juzado en feria - GAR 8 - S/ prev por sist.</t>
  </si>
  <si>
    <t>GARCIA BESTREGUI, ANTONIO MANUEL por robo - 3h - en perjuicio de Montalbbetti, Gonzalo alberto - Gutierrez, Ariel Alberto y Ruesjas, Luis Edgardo</t>
  </si>
  <si>
    <t>188620/24</t>
  </si>
  <si>
    <t>188529/24</t>
  </si>
  <si>
    <t>188547/24</t>
  </si>
  <si>
    <r>
      <rPr>
        <sz val="10"/>
        <color rgb="FFFF0000"/>
        <rFont val="Arial"/>
        <family val="2"/>
      </rPr>
      <t>VIRTUAL CON FISCALIA</t>
    </r>
    <r>
      <rPr>
        <sz val="10"/>
        <rFont val="Arial"/>
        <family val="2"/>
      </rPr>
      <t xml:space="preserve"> - ALFARO, SERGIO por amenazas en perjuicio de Galardo, Estela</t>
    </r>
  </si>
  <si>
    <t>Dr. Bruno, Rafael MP 3425</t>
  </si>
  <si>
    <t>Atraso: Fiscal se demoro en conectar a la remota</t>
  </si>
  <si>
    <t>Abreviado - 5 meses efectiva - C/ SOLICITUD DE ABREVIADO INICIAL 5 MESES DE PRISIÓN DE EJECUCIÓN EFECTIVA</t>
  </si>
  <si>
    <t>Jucio abreviado - 6 meses efectiva</t>
  </si>
  <si>
    <r>
      <t>Prisión preventiva - Vic. Menor ASESORIA 3</t>
    </r>
    <r>
      <rPr>
        <b/>
        <sz val="10"/>
        <rFont val="Arial"/>
        <family val="2"/>
      </rPr>
      <t xml:space="preserve"> --- SOLICITAR AL JUZGADO DE ORIGEN EL EXPEDIENTE ANTES DE LA FECHA ---</t>
    </r>
  </si>
  <si>
    <t>Suspendia por no estar notificado el defensor 11</t>
  </si>
  <si>
    <t>Juicio abreviado - 3 años condicional - Reprogramada por Juez el 23/01</t>
  </si>
  <si>
    <t>Atraso: tardaron en subir al preso</t>
  </si>
  <si>
    <t xml:space="preserve"> 11:39</t>
  </si>
  <si>
    <t xml:space="preserve"> 13:48</t>
  </si>
  <si>
    <t>Atraso: Subieron tarde al imputado</t>
  </si>
  <si>
    <t>Juicio abreviado - Condicional</t>
  </si>
  <si>
    <t>Juicio abreviado - 6 meses efectiva    -   s/prev. Por sist.</t>
  </si>
  <si>
    <t>Juicio abreviado 3 años y 4 meses efectiva</t>
  </si>
  <si>
    <t>Suspensiond e juicio a prueba</t>
  </si>
  <si>
    <t>Preventiva por 10 dias</t>
  </si>
  <si>
    <t>Revisiòn de prev. - Abreviado - 4 meses y 7 dias efectiva</t>
  </si>
  <si>
    <t>CUARTO INTERMEDIO DEL 25/01 - Suspension de juicio a prueba</t>
  </si>
  <si>
    <t>Atraso: audiencia previa de ofiju</t>
  </si>
  <si>
    <t>Juicio abreviado - 11 meses efectiva</t>
  </si>
  <si>
    <t>Nulidad - archivo y libertad</t>
  </si>
  <si>
    <t xml:space="preserve"> 12:11</t>
  </si>
  <si>
    <t xml:space="preserve"> 13:15</t>
  </si>
  <si>
    <t>Dr. Diaz Zabalaga, Fernando MP 4432</t>
  </si>
  <si>
    <t>OFICINA JUDICIAL DE GESTION DE JUICIOS DE GARANTÍAS -   FERIA ENERO 2024</t>
  </si>
  <si>
    <t>CANTIDAD DE AUDIENCIAS REALIZADAS</t>
  </si>
  <si>
    <t>Primera Quincena</t>
  </si>
  <si>
    <t>Segunda Quincena</t>
  </si>
  <si>
    <t>Total Feria</t>
  </si>
  <si>
    <r>
      <t xml:space="preserve">Resultados </t>
    </r>
    <r>
      <rPr>
        <b/>
        <u/>
        <sz val="20"/>
        <rFont val="Arial"/>
        <family val="2"/>
      </rPr>
      <t>PRIMERA QUINCENA</t>
    </r>
  </si>
  <si>
    <r>
      <t xml:space="preserve">Resultados </t>
    </r>
    <r>
      <rPr>
        <b/>
        <u/>
        <sz val="20"/>
        <rFont val="Arial"/>
        <family val="2"/>
      </rPr>
      <t>SEGUNDA QUINCENA</t>
    </r>
  </si>
  <si>
    <r>
      <t xml:space="preserve">Resultados </t>
    </r>
    <r>
      <rPr>
        <b/>
        <u/>
        <sz val="20"/>
        <rFont val="Arial"/>
        <family val="2"/>
      </rPr>
      <t>TOTAL FERIA</t>
    </r>
  </si>
  <si>
    <t>Arresto domiciliario - Reprogramada del 18/01 por ausencia del defensor particular</t>
  </si>
  <si>
    <t>Juicio abreviado 4 meses efectiva</t>
  </si>
  <si>
    <t>Libertad con sustitutivas -   Reprogrmada del 20/01- ASESOR DE INCAPACES 1 EN FERIA - dr. Marcelo Fernandez Esteban - victima menor --- vista a la mesa pupilar en fecha 05/01/2024 ---</t>
  </si>
  <si>
    <t xml:space="preserve"> 13:06</t>
  </si>
  <si>
    <t>Prisión preventiva - Audiencia reprogramada del 30/01</t>
  </si>
  <si>
    <t>Prisión preventiva - Reprogramda DEL 23/01 - Vic. Menor --- en vista a la mesa pupilar 27/12/2023--- Asesoría 3</t>
  </si>
  <si>
    <t>Juicio abreviado 8 meses efectiva - Dr. Rodrigo Franco Anachuri 6636 por Villarroel Facundo - CUARTO INTERMEDIO DESDE 25/01</t>
  </si>
  <si>
    <t>Suspendidas</t>
  </si>
  <si>
    <r>
      <rPr>
        <sz val="10"/>
        <color rgb="FFFF0000"/>
        <rFont val="Arial"/>
        <family val="2"/>
      </rPr>
      <t>Viartual con fiscalia</t>
    </r>
    <r>
      <rPr>
        <sz val="10"/>
        <rFont val="Arial"/>
        <family val="2"/>
      </rPr>
      <t xml:space="preserve"> - SALAS, GISELE DE LOS ANGELES POR EL DELITO DE ROBO</t>
    </r>
  </si>
  <si>
    <t>GEREZ, ERNESTO SABINO POR ROBO SIMPLE EN PERJUICIO DE LUNA, HUGO ALFREDO</t>
  </si>
  <si>
    <t>APARICIO, MARIA LUJAN POR ROBO SIMPLE EN GRADO DE TENTATIVA EN PERJUICIO DE ALVA HUGO NICOLÁS</t>
  </si>
  <si>
    <t>GARCIA, JOAQUIN ALEXIS POR AMENAZAS, ATENTADO A LA AUTORIDAD Y DESOBEDIENCIA JUDICIAL EN PERJUICIO DE CHAPARRO</t>
  </si>
  <si>
    <t>MOLINA, JOSE LUIS Y ARANCIBIA POLITTI, MARCELO ARNALDO POR ROBBO SIMPLE ENGRADO DE TENTATIVA en perjuicio de Vaca María Sofia y Vaca, Marñia Victoria</t>
  </si>
  <si>
    <t>LIZONDO, ALEJANDRO JEREMIAS POR EL DELITO DE ROBO SIMPL EN PERJUICIO DE LA ESCUELA GRAL BELGRANO</t>
  </si>
  <si>
    <t>ALEJANDR MANUEL VICENTE Y CRISTIAN ALBERTO VICENTE POR ROBO DOBLEMENTE CALIFICADO POR HABER SIDO COMETIDO EN POBLADO Y EN BANDA Y POR LESIONES GRAVES, AMENAZAS (2H) EN PERJUICIO DE ROCIO DE LOS ANGELES LOPEZ Y MARIO LAVANDEZ Y AMENAZAS CON ARMA</t>
  </si>
  <si>
    <t>188597/24</t>
  </si>
  <si>
    <t>LAIME, IVAN FACUNDO POR TENENCIA DE ESTUPEFACIENTES CON FINES DE COMERCIALIZACIÓN EN PERJUICIO DE SALUD PUBLICA Y EXPEDIENTE ACUMULADO EN GAR 188543/24 por privaciòn ilegitima de la libertad agravada, amenazas y desobediencia judicial en conruso real en perjuicio de Gabriela Celeste Ayarde</t>
  </si>
  <si>
    <t>MEDINA, PABLO VALENTIN POR EL DELITO DE DESOBEDIENCIA JUDICIAL - 4 HECHOS - HURTO CALIFICADO POR ESCALAMIENTO, DAÑOS Y COACCIÒN EN CONCURSO REAL EN PERJUICIO DE CRUZ, RITA ARGENTINA</t>
  </si>
  <si>
    <t>188617/24</t>
  </si>
  <si>
    <t>CATAN CAMPOS, CESAR EMMANUEL POR EL DELITO DE HURTO SIMPLE EN PERJUICIO DEL HOSPITAL SAN BERNARDO</t>
  </si>
  <si>
    <t>188633/24</t>
  </si>
  <si>
    <t xml:space="preserve">RETAMOZO, FACUNDO NELSON POR ROBO SIMPLE EN PERJUICIO DE TUMIRI AROBITA, JULIO </t>
  </si>
  <si>
    <t>188449/24</t>
  </si>
  <si>
    <t>AGUILERA, MAXIMILIANO DANIEL POR EL DELITO DE ROBO SIMPLE DOS HECHOS EN CONCURSO REAL EN PERJUICIO DE JIMENA ELIZABETH LOPEZ</t>
  </si>
  <si>
    <t>188571/24</t>
  </si>
  <si>
    <t>CALPANCHAY, DENISE ALEJANDRA POR EL DELITO DE LESIONES LEVES EN PERJUICIO DE CRUZ, WALTER ERNESTOR</t>
  </si>
  <si>
    <t>188638/24</t>
  </si>
  <si>
    <t>MAMANI, PAMELA DE LOS ANGELES Y SANTANA, PATRICIO JESUS NABIL POR EL DELITO DE ROBO CALIFICADO POR EL USO DE ARMA EN PERJUICIO DE CEJAS, JUAN CARLOS</t>
  </si>
  <si>
    <t>188643/24</t>
  </si>
  <si>
    <t xml:space="preserve">ROMERO RAUL POR EL DELITO DE ABUSO SEXUAL SIMPLE EN PERJUICIO DE </t>
  </si>
  <si>
    <t>GARECA, BRIAN DANIEL POR LESIONES GRAVES AGRAVADAS POR LA RELACIÓN DE PAREJA PREVIA Y GÉNERO Y PRIVACIÓN ILEGITIMA DE LA LIBERTAD EN CONCURSO REAL</t>
  </si>
  <si>
    <r>
      <rPr>
        <sz val="10"/>
        <color rgb="FFFF0000"/>
        <rFont val="Arial"/>
        <family val="2"/>
      </rPr>
      <t xml:space="preserve">virtual fiscal-- </t>
    </r>
    <r>
      <rPr>
        <sz val="10"/>
        <rFont val="Arial"/>
        <family val="2"/>
      </rPr>
      <t>ASTORGA, GONZALO JOEL por Violación de domicilio, desobediencia judcial y amenazas en concurso real</t>
    </r>
  </si>
  <si>
    <r>
      <rPr>
        <sz val="10"/>
        <color rgb="FFFF0000"/>
        <rFont val="Arial"/>
        <family val="2"/>
      </rPr>
      <t>Audiencia virtual fiscal ---</t>
    </r>
    <r>
      <rPr>
        <sz val="10"/>
        <rFont val="Arial"/>
        <family val="2"/>
      </rPr>
      <t>MADRIL, DANIEL RICARDO por amenazas y violación de domicilio</t>
    </r>
  </si>
  <si>
    <r>
      <rPr>
        <sz val="10"/>
        <color rgb="FFFF0000"/>
        <rFont val="Arial"/>
        <family val="2"/>
      </rPr>
      <t>fiscal virtual ---</t>
    </r>
    <r>
      <rPr>
        <sz val="10"/>
        <rFont val="Arial"/>
        <family val="2"/>
      </rPr>
      <t>VILLALBA LUIS por lesiones leves agravadas por la relación de pareja preexistente y por mediar violencia de género, coaccion con arma en perjuicio e Aguirre Jesica Belen</t>
    </r>
  </si>
  <si>
    <r>
      <rPr>
        <sz val="10"/>
        <color rgb="FFFF0000"/>
        <rFont val="Arial"/>
        <family val="2"/>
      </rPr>
      <t>fiscal virtual ---</t>
    </r>
    <r>
      <rPr>
        <sz val="10"/>
        <rFont val="Arial"/>
        <family val="2"/>
      </rPr>
      <t>MAMANI, IVAN EMANUEL violación de domicilio y daños Y COLQUE, WALTER ELOW por robo daños, robo simple y amenazas con arma</t>
    </r>
  </si>
  <si>
    <r>
      <rPr>
        <sz val="10"/>
        <color rgb="FFFF0000"/>
        <rFont val="Arial"/>
        <family val="2"/>
      </rPr>
      <t>fiscal virtual --</t>
    </r>
    <r>
      <rPr>
        <sz val="10"/>
        <rFont val="Arial"/>
        <family val="2"/>
      </rPr>
      <t>-LAMAS ABAN, IGNACIO TOMAS por amenazas</t>
    </r>
  </si>
  <si>
    <r>
      <rPr>
        <sz val="10"/>
        <color rgb="FFFF0000"/>
        <rFont val="Arial"/>
        <family val="2"/>
      </rPr>
      <t>fiscal virtual ---</t>
    </r>
    <r>
      <rPr>
        <sz val="10"/>
        <rFont val="Arial"/>
        <family val="2"/>
      </rPr>
      <t xml:space="preserve"> SOSA, JUAN FEDERICO por robo agravado por ser vehiculo dejado en vía pública</t>
    </r>
  </si>
  <si>
    <t>SUSPENDIDA POR AUSENCIA DE JUEZ - CARPETA MEDICA-</t>
  </si>
  <si>
    <t xml:space="preserve">Suspendida porque la solicitud de prisión preventiva pertenecia a otra causa. El imputado tiene varias causas y hechos del cual recuperó su libertad. </t>
  </si>
  <si>
    <t>SUSPENDIDA POR haber presentado la fiscalia medidas sustitutitvas en el juzgado de origen. Se remite el expediente</t>
  </si>
  <si>
    <t>Liertad con sustitutivas</t>
  </si>
  <si>
    <t>Cuarto intermedio de 08:41 a 09:08 - Atraso: tratativas</t>
  </si>
  <si>
    <t>(Todas)</t>
  </si>
  <si>
    <t>(en blanco)</t>
  </si>
  <si>
    <t>Dr. Cristian Parada</t>
  </si>
  <si>
    <t>Dra. Villamayor</t>
  </si>
  <si>
    <t>Incapaces nº 2 - En fecha 29/01 se remitIo a mesa pupilar</t>
  </si>
  <si>
    <t>PRISION PREVENTIVA Dr. Romano Luciano --- se remite ad effectum videndi a GAR 3 01/02/2024</t>
  </si>
  <si>
    <t>ROMERO RAUL POR EL DELITO DE ABUSO SEXUAL SIMPLE EN PERJUICIO DE DOMINGUEZ, LOURDES ORIANA</t>
  </si>
  <si>
    <t>188566/24</t>
  </si>
  <si>
    <t>SANCHEZ RIOS, DUVERNEY POR LESIONES AGRAVADAS POR LA RELACION DE PAREJA PREVIA Y POR EL GENERO, AMENAZAS CON ARMA (02 HECHOS) Y AMENAZAS, TODO EN CONCURSO REAL; EN PERJUICIO DE ZERPA, JOHANNA STEPHANIE - A.P. 89/24 Y 1048/23, COM. 13 (SUB-COM. LAVALLE) - FISCAL VFG 2</t>
  </si>
  <si>
    <t>ROMERO, JOSÉ ARNALDO POR AMENAZAS Y VIOALACIÓN DE DOMICILIO EN PERJUICIO DE PÉREZ, LUISA GABRIELA</t>
  </si>
  <si>
    <t>POUSA CIANCIA, JUAN CRUZ POR HURTO CALIFICADO EN PERJUICIO DE ROSEMBER, LUCIANO MATIAS</t>
  </si>
  <si>
    <t>APUD, ARIEL GUSTAVO POR LESIONES GRAVES AGRAVADAS POR LA PARTICIPACIÓN DE UN MENOR DE EDAD EN PERJUICIO DEL ADOLECENTE Q.G. S.</t>
  </si>
  <si>
    <t>09.07</t>
  </si>
  <si>
    <t>188609/24</t>
  </si>
  <si>
    <t>JUAREZ MIRANDA, NICOLAS ERNESTO POR EL DELITO DE HURTO, DESOBEDIENCIA JUDICIAL Y PRIVACIÓN ILEGÍTIMA DE LA LIBERTAD AGRAVADAS; DESOBEDIENCIA JUDICIAL Y COACCION EN CONCURSO REAL</t>
  </si>
  <si>
    <t>188660/24</t>
  </si>
  <si>
    <t>GIMENEZ, DOMINGO LEONOR POR LESIONES LEVES AGRAVADAS POR LA RELACION DE PAREJA PREVIA Y POR EL GENERO, AMENAZAS (02 HECHOS) Y DESOBEDIENCIA JUDICIAL (02 HECHOS), EN CONCURSO REAL; EN PERJUICIO DE FLOR</t>
  </si>
  <si>
    <t>188615/24</t>
  </si>
  <si>
    <t>LUNA, EMANUEL ERIC POR HURTO SIMPLE; EN PERJUICIO DE ALVAREZ, JOSE RAFAEL - A.P. 5144/23, COM. 1 (GIS 2) - FISCAL 2 - SOLICITA SECUESTRO Y DETENCION</t>
  </si>
  <si>
    <t xml:space="preserve">Juicio Abreviado. Efectiva 8 años y 6 meses </t>
  </si>
  <si>
    <t xml:space="preserve">Juicio Abreviado. Condicional 1 año y 8 meses </t>
  </si>
  <si>
    <t>VASQUEZ, ALFREDO por amenazas (2 hechos) y violaciòn de domicilio todo en concurso real</t>
  </si>
  <si>
    <t xml:space="preserve">Arresto Domiciliario </t>
  </si>
  <si>
    <t>Prsión preventiva y acumulación a una causa de Gar. 3</t>
  </si>
  <si>
    <r>
      <t xml:space="preserve">LA FISCALÍA PENAL DE GRAL GUEMES SOLICITO QUE SE SUSPENDA PORQUE SE LE OTORGA LA </t>
    </r>
    <r>
      <rPr>
        <b/>
        <sz val="10"/>
        <rFont val="Arial"/>
        <family val="2"/>
      </rPr>
      <t>LIBERTAD 02/02/2024 --</t>
    </r>
  </si>
  <si>
    <t>CAZÓN EDUARDO, POR DESOBEDIENCIA JUDICIAL - 3 HECHOS- Y AMENAZAS EN CONCURSO REAL</t>
  </si>
  <si>
    <t>NARVAEZ, JUAN SEBASTIAN POR LESIONES LEVEA AGRAVADAS POR EL VINCULO Y GÉNERO Y AMENAZAS EN PERJUICIO DE TATIANA GUADALUPE NARVAEZ Y LESIONES LEVES AGRAVAS POR EL GÉNERO Y LA RELACIÓN DE PAREJA EN PERJUICIO DE GRISELDA BENITA LEYTON</t>
  </si>
  <si>
    <t>Enero</t>
  </si>
  <si>
    <t>s/prev. Por sist. Prision preventiva</t>
  </si>
  <si>
    <t>Atraso: problemas tecnicos cambio de sala</t>
  </si>
  <si>
    <t>Atraso: llego tarde la defensa particular</t>
  </si>
  <si>
    <t>s/prev. Por sist. - Libertad con medidas sustitutivas</t>
  </si>
  <si>
    <t>Atraso: Llego tarde el fiscal - Cuarto intermedio de 09:55 a 10:05</t>
  </si>
  <si>
    <t>Atraso: adiencia previa</t>
  </si>
  <si>
    <t>Atraso:Llegaron tarde todas las partes</t>
  </si>
  <si>
    <t>S/ prev por sist. - Prisión preventiva</t>
  </si>
  <si>
    <t>188585/24</t>
  </si>
  <si>
    <t>HNILITZE, RAMIRO FRANCISCO POR TENENCIA DE ESTUPEFACIENTES CON FINES DE COMERCIALIZACION; EN PERJUICIO DE SALUD PUBLICA - A.P. 48/24, G.D. 1 C - FISCAL UFINAR</t>
  </si>
  <si>
    <t>188741/24</t>
  </si>
  <si>
    <t>MAZA, MISAEL GABRIEL POR EL DELITO DE ROBO SIMPLE EN PERJUICIO DE VICTOR SANTIAGO CRUZ</t>
  </si>
  <si>
    <t>188743/24</t>
  </si>
  <si>
    <t>BLANCHE, JOSE NAHUEL POR EL DELITO DE VIOLACION DE DOMICILIO, ROBO, DESOBEDIENCIA JUDICIAL, VIOLACION DE DOMICILIOM HURTO EN GRADO DE TENTATIVA, DESOBEDIENCIA JUDICIAL, VIOLACION DE DOMICILIO, AMENAZAS Y HURTO EN GRADO DE TENTATIVA, EN CONCURSO REAL</t>
  </si>
  <si>
    <t>188738/24</t>
  </si>
  <si>
    <t>186871/23</t>
  </si>
  <si>
    <t>TEMER, MAXIMILIANO BENJAMIN POR ESTUPRO Y LESIONES LEVES AGRAVADAS POR LA RELACION DE PAREJA PREEXISTENTE Y POR LE GENERO, TODO EN CONCURSO REAL; EN PERJUICIO DE QUINTANA, SILVINA MARIBEL - A.P. 522/2</t>
  </si>
  <si>
    <t xml:space="preserve">ROMERO, CRISTIAN LUIS - ARDILES, JAVIER ALEJANDRO - GARCIA, KEVIN MARCOS - MAMANI, GUILLERMO DANIEL - MANSILLA, DAVID FERNANDO - ROMERO, RODRIGO EMANUEL - SARAPURA, MARIO GUILLERMO - POR ROBO EN POBLADO Y EN BANDA EN PERJUICIO DE </t>
  </si>
  <si>
    <t>188606/24</t>
  </si>
  <si>
    <t>188584/24</t>
  </si>
  <si>
    <t>188636/24</t>
  </si>
  <si>
    <t>MARTEARENA, ANDRES RAMON POR DESOBEDIENCIA JUDICIAL; EN PERJUICIO DE DIAZ, MATILDE VIRGINIA - A.P. 153/24, COM. 11 (EX 103) - FISCAL VFG 1</t>
  </si>
  <si>
    <t>188646/24</t>
  </si>
  <si>
    <t>SEGOVIA, FACUNDO DANIEL POR VIOLACION DE DOMICILIO Y DESOBEDIENCIA JUDICIAL, EN CONCURSO IDEAL; EN PERJUICIO DE CANO, NELIDA MARIEL - A.P. 242/24, SUB-COM. CASTAÑAREZ - FISCAL VFG 1</t>
  </si>
  <si>
    <t>MOLINA, JUAN RUBEN POR SUSTRACCIÓN DE MENORES EN PERJUICIO DE D.T.A.</t>
  </si>
  <si>
    <t>188269/23</t>
  </si>
  <si>
    <t>RODRIGUEZ, BRUNO EXEQUIEL POR ROBO SIMPLE Y AMENAZAS EN CONCURSO REAL EN PERJUICIO DE ARANA, DARDO RAMON</t>
  </si>
  <si>
    <t>Jui 5</t>
  </si>
  <si>
    <t>se remite al juzgado de origen, libertad 05/02/2024 por pedido de la fiscalia</t>
  </si>
  <si>
    <t>188676/24</t>
  </si>
  <si>
    <t>BEJARANO, HORACIO BENJAMIN POR HURTO SIMPLE; EN PERJUICIO DE CARRAL, MARCELO FRANCISCO - A.P. 371/24, COM. 2 (EX 10) - FISCAL 6</t>
  </si>
  <si>
    <t>188662/24</t>
  </si>
  <si>
    <t>ORQUERA, FLORENCIA ANAHI Y ARROYO, MIGUEL ANGEL POR ROBO; EN PERJUICIO DE LAZARTE, JUAN JOSE - A.P. 460/24, COM. 2 - FISCAL 5</t>
  </si>
  <si>
    <t>188674/24</t>
  </si>
  <si>
    <t>CASTILLA, SAUL LEANDRO SAID POR ROBO SIMPLE Y VIOLACION DE DOMICILIO; EN PERJUICIO DE TORRES, HECTOR DANIEL - A.P. 258/24, COM. 2 - FISCAL 5</t>
  </si>
  <si>
    <t>186203/23</t>
  </si>
  <si>
    <t>MEDINA, DAMIAN POR TENENCIAN DE ESTUPEFACIENTES CON FINES DE COMERCIALIZACIÒN EN PERJUICIO DE LA SALUD PUBLICA</t>
  </si>
  <si>
    <t>188772/24</t>
  </si>
  <si>
    <t>GARCIA, ALEXIS GUSTAVO Y MAMANI, GIMENA ANABELLA POR EL DELITO DE ROBO CALIFICADO POR EL USO DE ARMA EN PERJUICIO DE CHAVEZ, MARIANA ELIZABETH</t>
  </si>
  <si>
    <t>GUEDILLA, JULIO CESAR POR HURTO SIMPLE</t>
  </si>
  <si>
    <t>Se declara abstracta la audiencia porque el 05/02/2024 SE OTORGA LA LIBERTAD AL IMPUTADO</t>
  </si>
  <si>
    <t>ANA</t>
  </si>
  <si>
    <t>Arresto domiciliario - Qte. Dra. Albornoz, Laura de los Ángeles MP 6494 ---Reprogramada del dia 22/01 - Suspendida por pedido de la defensa particular por presentarse el dia de la audiencia</t>
  </si>
  <si>
    <t>PRISION PREVENTIVA - Se suspende audiencia 29/01 por pedido de la defensoria - s/prev. Por sist.</t>
  </si>
  <si>
    <t>Prisión preventiva - Querrellantes: Dra. Nallar y Dr. San Miguel</t>
  </si>
  <si>
    <t>Atraso:  problemas tecnicos con la pc orion</t>
  </si>
  <si>
    <t>Prision domiciliaria - Asesoria 1</t>
  </si>
  <si>
    <t>Atraso: demora de la aseosria</t>
  </si>
  <si>
    <t>Juicio abreviado - para Ruiz 1 mes efectiva unificando en 5 meses efectiva - para Mercado 1 mes efectiva</t>
  </si>
  <si>
    <t>SUSPENDIDA - Querella Chavez, Hctor y Dr Erazo</t>
  </si>
  <si>
    <t>Atraso: audiencias previas</t>
  </si>
  <si>
    <t>ANA JULIA ZALAZAR, POR EL DELITO DE ROBO EN GRADO DE TENTATIVA - DOS HECHOS. Y HURTO SIMPLE EN GRADO DE TENTATIVA en perjuicio de vilte diodoro</t>
  </si>
  <si>
    <t>188648/24</t>
  </si>
  <si>
    <t>TELLO, FABIAN ALEJANDRO POR AMENAZAS CON ARMAS Y DESOBEDIENCIA JUDICIAL, EN CONCURSO REAL; EN PERJUICIO DE CRUZ, DAIANA ANAHI - A.P.128/24, COM. 2 FISCAL VFG 4 - SOLICITA ALLANAMIENTO, SECUESTRO Y DET</t>
  </si>
  <si>
    <t>188784/24</t>
  </si>
  <si>
    <t>CARDOZO, WALTER EZEQUIEL ROBO CALIFICADO POR EL USO DE ARMA EN PERJUICIO DE MAURO GONZALO MEDINA</t>
  </si>
  <si>
    <t>188777/24</t>
  </si>
  <si>
    <t xml:space="preserve">MEDOZA, CRISTIAN GUILLERMO POR EL DELITO DE HURTO CALIFICADO POR ESCALAMIENTO EN GRADO DE TENTATIVA EN PERJUICIO DE </t>
  </si>
  <si>
    <t>188783/24</t>
  </si>
  <si>
    <t>188787/24</t>
  </si>
  <si>
    <t xml:space="preserve">SARAPURA, ALDO ALBERTO POR EL DELITO DE ABUSO SEXUAL SIMPLE EN PERJUICIO DE LA MENOR L.M.C.M. </t>
  </si>
  <si>
    <t>188770/24</t>
  </si>
  <si>
    <t>188778/24</t>
  </si>
  <si>
    <t>MOYA SERGIO FAUSTINO; FRANCISCO ARTURO BISCEGLIA; RUBEN ANTONIO GUAYMAS; JOSE LUIS ALARCON; MARCOS MATIAS BUCOTICH GARCIA; NICOLE JUDITH ANA LUNA; MARIA INES MENDEZ; YANIN ALEJANDRA CHAJU, PATRICIA DAIANA DEL ROSARIO FLORES; SILVANA VALERIA AVANDAÑO; JOSUE JOEL VALENCIA; MENDEZ MANUEL; RAUL ANTONIO ARJONA; LUIS ROBERTO CASTAÑO. POR EL DELITO DE EXACCIONES ILEGALES AGRAVADAS - CONCUSION - NUMERO INDETERMINADO DE HECHOS Y POR COMERCIALIZACION DE ESTUPEFACIENTES AGRAVADA POR LA PARTICIPACION DE MAS DE TRES PERSONAS EN FORMA ORGANIZADA POR SER EREALIZADA EN UN LUGAR DE DETENCION Y POR SER COMETIDA POR FUNCIONARIOS ENCARGADOS DE LA GUARDA DE PRESOS 185012</t>
  </si>
  <si>
    <t>188683/24</t>
  </si>
  <si>
    <t xml:space="preserve">SANCHEZ, LORENA ESTER POR AMENAZAS Y DESOBEDIENCIA JUDICIAL, EN CONCURSO IDEAL EN PERJUICIO DE ROMANO, SANDRA ELIZABETH , EN CONCURSO REAL CON AMENAZAS Y RESISTENCIA A LA AUTORIDAD EN PERJUICIO DE PERJUICIO DE </t>
  </si>
  <si>
    <t>188818/24</t>
  </si>
  <si>
    <t xml:space="preserve">LOPEZ, MAURICIO OMAR POR EL DELITO DE HURTO CALIFICADO POR SER VEHICULO DEJADO EN LA VÍA PÚBLICA EN PERJUICIO DE </t>
  </si>
  <si>
    <t>188809/24</t>
  </si>
  <si>
    <t>GUTIERREZ, CECILIA GERGINA POR VIOLACION DE DOMICILIO, AMENAZAS CON ARMA Y LESIONES EN CONCURSO REAL EN PERJUICIO DE EULIANA CONDORI</t>
  </si>
  <si>
    <t>188630/24</t>
  </si>
  <si>
    <t>ALDANA PALMA,  VICTOR MATEO POR DESOBEDIENCIA JUDICIAL Y AMENAZAS, EN CONCURSO REAL; EN PERJUICIO DE PALMA, GLORIA ISABEL - A.P. 221/24, SUB-COM. CASTAÑARES - FISCAL VFG 1</t>
  </si>
  <si>
    <t>Dr. Martinez, Gustavo MP 2671</t>
  </si>
  <si>
    <t>188572/24</t>
  </si>
  <si>
    <t xml:space="preserve">DOMINGUEZ, VICTOR JESUS POR TENTATIVA DE HOMICIDIO AGRAVADO POR EL VINCULO Y AMENAZAS (DOS HECHOS) EN CON CURSO REAL EN PERJUICIO DE REYES DOMINGUEZ, LUIS </t>
  </si>
  <si>
    <t>BOLIVAR PELOC, RENZO MATIAS POR LESIONES GRAVES AGRAVADAS POR LA RELACION DE PAREJA Y POR EL GENERO; EN PERJUICIO DE DIAZ, MARIA JOSE - A.P. 201/24, COM. 10 (EX 102) - FISCAL VFG 1</t>
  </si>
  <si>
    <t>188687/24</t>
  </si>
  <si>
    <t>188672/24</t>
  </si>
  <si>
    <t xml:space="preserve">GUZMAN, ELIO ANTONIO MATIAS POR ROBO DOBLEMENTE CALIFICADO AGRAVADO POR LAS LESIONES OCASIONADAS A LA VICTIMA Y POR SER EN POBLADO Y EN BANDA; EN PERJUICIO DE NN - A.P. 257/24, COM. 5 </t>
  </si>
  <si>
    <r>
      <t xml:space="preserve">PLAZA, SERGIO LUIS Y </t>
    </r>
    <r>
      <rPr>
        <b/>
        <sz val="10"/>
        <rFont val="Arial"/>
        <family val="2"/>
      </rPr>
      <t>DIAZ, DANIEL ALEJANDRO</t>
    </r>
    <r>
      <rPr>
        <sz val="10"/>
        <rFont val="Arial"/>
        <family val="2"/>
      </rPr>
      <t xml:space="preserve"> POR ROBO CON EFRACCIÓN; EN PERJUICIO DE LA MUNICIPALIDAD DE CHICOANA - A.P. 40/24, COM. 8 - FISCAL ROSARIO DE LERMA</t>
    </r>
  </si>
  <si>
    <t>Dr. Segura, Jorge MP 2738</t>
  </si>
  <si>
    <t>188761/24</t>
  </si>
  <si>
    <t>suspendida porque el personas de alcaidia envio otro imputado con el mismo nombre</t>
  </si>
  <si>
    <t>MENDEZ, ELIAS ALBERTO POR EL DELITO DE ABUSO DE ARMA, AMENZAS CON ARMA Y AMENAZAS POR EL DELITO DE BARRIONUEVO, CARLIA ELIANA LOPEZ Y LOPEZ ROXANA CECILIA; GARCIA ALDO DANIEL c/ inc. G01</t>
  </si>
  <si>
    <t>VILLAREAL, DIEGO ESTEBAN POR ROBO SIMPLE EN GRADO DE TENTATIVA, AMENAZAS EN PERJUICIO DE</t>
  </si>
  <si>
    <t>RUIZ HUGO ARMANDO POR DESOBEDIENCIA JUDICIAL Y AMENAZAS CON ARMA EN PERJ. DE ABRACAITE GABRIELA GISEL</t>
  </si>
  <si>
    <t>RODRIGUEZ, DAVID EMANUEL Y PANELO, CONSUELO DE LOS ANGELES, POR ROBO CALIFICADO POR EL USO DE ARMA; EN PERJUICIO DE FIGUEROA, ANDREA ROMINA - A.P. 557/24 - FISCAL UNICROH</t>
  </si>
  <si>
    <t>188765/24</t>
  </si>
  <si>
    <t>188639/24</t>
  </si>
  <si>
    <t>Dr. Parada</t>
  </si>
  <si>
    <t>Parada</t>
  </si>
  <si>
    <t>Villamayor</t>
  </si>
  <si>
    <t>188277/23</t>
  </si>
  <si>
    <t xml:space="preserve">ZELAYA, HERNAN MARCOS FEDERICO POR HURTO SIMPLE DOS HECHOS Y AMENAZAS EN PERJUICIO DE </t>
  </si>
  <si>
    <t>CASTILLO, SERGIO FACUNDO POR LESIONES AGRAVADAS POR EL CONCURSO PREMEDITADO DE DOS O MAS PERSONAS, ROBO SIMPLE, ROBO AGRAVADO POR EL USO DE ARMA, TENTATIVA DE ROBO AGRAVADO POR EL USO DE ARMA, DAÑOS, VIOLACION DE DOMICILIO Y AMENAZAS, TODO EN CONCURSO REAL Y ACOSTA, LORENA ELIZABETH POR DAÑOS, VIOLACION DE DOMICILIO Y AMENAZAS, TODO EN CONCURSO REAL; EN PERJUICIO DE ONTIVEROS, MAXIMILIANO EXEQUIEL - ARAMAYO, ROCIO JOANA FABIOLA - MONTES, MIRIAM NOEMI - GARCIA, INES SOFIA ANGELICA Y OSAN, ANGELICA MATILDE - A.P. 1907/22, 1920/22, 1980/23, 1997/23, 1983/23 Y 30/24, COM. 10 - FISCAL DELEG. SAN LORENZO - SOLICITA ALLANAMIENTO, SECUESTRO Y DETENCION</t>
  </si>
  <si>
    <t>188649/24</t>
  </si>
  <si>
    <r>
      <rPr>
        <sz val="10"/>
        <color rgb="FFFF0000"/>
        <rFont val="Arial"/>
        <family val="2"/>
      </rPr>
      <t xml:space="preserve">vitual fiscal </t>
    </r>
    <r>
      <rPr>
        <sz val="10"/>
        <rFont val="Arial"/>
        <family val="2"/>
      </rPr>
      <t>GARCIA, JOAQUIN ALEXIS POR AMENAZAS, ATENTADO A LA AUTORIDAD Y DESOBEDIENCIA JUDICIAL EN PERJUICIO DE CHAPARRO</t>
    </r>
  </si>
  <si>
    <r>
      <rPr>
        <sz val="10"/>
        <color rgb="FFFF0000"/>
        <rFont val="Arial"/>
        <family val="2"/>
      </rPr>
      <t>Fiscal Virtual</t>
    </r>
    <r>
      <rPr>
        <sz val="10"/>
        <rFont val="Arial"/>
        <family val="2"/>
      </rPr>
      <t xml:space="preserve"> ---GOMEZ, FRANCO ISRAEL por amenazas y desobediencia judicial</t>
    </r>
  </si>
  <si>
    <t>188734/24</t>
  </si>
  <si>
    <t>CARDOZO, JOSE LUIS POR EL DELITO DE HURTO SIMPLE EN PERJUICIO DE LA EMPRESA PINEZZALA ISIA SRL</t>
  </si>
  <si>
    <t>188657/24</t>
  </si>
  <si>
    <t xml:space="preserve">DIEZ, HECTOR MARIANO POR ROBO SIMPLE, TENTATIVA DE ROBO Y HURTO, TODO EN CONCURSO REAL; EN PERJUICIO DE TOLABA, LUIS ALEJANDRO - FLORES, MARIELA LETICIA Y FERNANDO, MIRTA RAMONA - A.P. 159/24, 161/24 </t>
  </si>
  <si>
    <t>188844/24</t>
  </si>
  <si>
    <t>188599/24</t>
  </si>
  <si>
    <t>188678/24</t>
  </si>
  <si>
    <t>BRITOS, ALEX EMANUEL POR GROOMING; EN PERJUICIO DE P.C.R.A. (15) - DEN: AREPIA, ZULMA - A.P. 6756/23, O.O. Y D. - FISCAL CIBERDELINCUENCIA - SOLICITA ALLANAMIENTO, SECUESTRO Y DETENCION</t>
  </si>
  <si>
    <t>188605/24</t>
  </si>
  <si>
    <t>FERNANDEZ SALAZAR, EXEQUIEL ROLANDO Y MORALES, MARTA LILIANA POR TENENCIA DE ESTUPEFACIENTES CON FINES COMERCIALIZACION; EN PERJUICIO DE SALUD PUBLICA - A.P. 297/23 Y 347/23, G.D. 5A - FISCAL UFINAR -</t>
  </si>
  <si>
    <t>188762/24</t>
  </si>
  <si>
    <t>ARGAÑARAZ, LUCAS DANIEL POR HURTO SIMPLE EN PERJUICIO DE RODRIGUEZ, CARLOS</t>
  </si>
  <si>
    <t>188637/24</t>
  </si>
  <si>
    <t>FARFAN, BRIAN CAMILO Y FARFAN, SANTIAGO POR TENTATIVA DE ROBO, ROBO LESIONES LEVES Y ATENTADO A LA AUTORIDAD, EN CONCURSO REAL; EN PERJUICIO DE PALOMINO, IVAN CORNELIO Y PERSONAL POLICIAL - A.P. 40/24 Y 39/24 SUB-COM. LOS ALAMOS - FISCAL CERRILLOS</t>
  </si>
  <si>
    <t>Atraso: demora juez</t>
  </si>
  <si>
    <t>Dr. Sola Garrido p/ Garcia Preventiva para ambos imputados</t>
  </si>
  <si>
    <t>Atraso: llego tarde el abogado particular</t>
  </si>
  <si>
    <t xml:space="preserve">Abreviado - 3 años y 6 meses efectiva - Audiencia reprogramada del dia 24/01 -    OJO - TAMBIEN INTERVINEE FISCAL UDIS 1 - ASESORIA DE INCPACES 2 EN FERIA - Dra. Claudia Mariela Flores Larsen FP UDIS 1 - DR. SERGIO FEDERICO OBEID y fp 4 - RUIZ DE LOS LLANOS, TIENE DOS SOLICITUDES DE PRISIÒN PREVENTIVA. --- victima menor, en vista a la mesa pupilar en fecha 08/01/2024 ---- </t>
  </si>
  <si>
    <t>Atraso: demora imputado</t>
  </si>
  <si>
    <t>Preventiva por 30 dias</t>
  </si>
  <si>
    <t>Prision preventiva - Asesoria de incapaces Nº2 - en fecha 25/01 se remite a mesa pupilar</t>
  </si>
  <si>
    <t>Atraso: demora defensa</t>
  </si>
  <si>
    <t>s/prev. Por sist. - Juicio abreviado condicional</t>
  </si>
  <si>
    <t>Atraso: audiencia previa - 4to intermedio de 10:11 a 10:34</t>
  </si>
  <si>
    <t>Abreviado 2 meses y 15 dias efectiva</t>
  </si>
  <si>
    <t>Abreviado 8 meses condicional</t>
  </si>
  <si>
    <t>Abreviado 11 meses efectiva</t>
  </si>
  <si>
    <t>Atraso: demora en subir al imputado</t>
  </si>
  <si>
    <t xml:space="preserve"> 10:55</t>
  </si>
  <si>
    <t>Atraso: demora Jueza</t>
  </si>
  <si>
    <t>s/prev. Por sist. -Libertad</t>
  </si>
  <si>
    <t>Prisión preventiva - Se suspende audiencia 29/01 por pedido de la defensoria</t>
  </si>
  <si>
    <t>Abreviado 4 meses efectiva . Suspendida por la Dra. Espeche 05/02/2024</t>
  </si>
  <si>
    <t>Abreviado 3 años condicional</t>
  </si>
  <si>
    <t>Atraso: llego tarde la fiscalia</t>
  </si>
  <si>
    <t>Asesoria 1 - Suspendida por pedido de cambio de defensa de la Imputada</t>
  </si>
  <si>
    <t>Abreviado 2 años y 1 mes efectiva - domiciliaria</t>
  </si>
  <si>
    <t>Abreviado - 1 año y 6 meses efectiva para Cenardo  2 meses efectiva para Mamani - Suspendida Por que la Juez se retiro en fecha 26/01</t>
  </si>
  <si>
    <t>Prisión preventiva - siprev. Por sist.</t>
  </si>
  <si>
    <t>Atraso: llego tarde el fisca</t>
  </si>
  <si>
    <t>Reprogramada del 07/02 - Libertad con sustitutivas</t>
  </si>
  <si>
    <t>Abreviado 6 meses condicional</t>
  </si>
  <si>
    <t>Atraso: tratatvas</t>
  </si>
  <si>
    <t>Abreviado 1 mes efectiva para ambos imputados</t>
  </si>
  <si>
    <t>Atraso: fiscal se demoro en conectar</t>
  </si>
  <si>
    <t>Prision preventiva - Querella Chavez, Hctor y Dr Erazo</t>
  </si>
  <si>
    <t>Abreviado 8 meses efectiva</t>
  </si>
  <si>
    <t xml:space="preserve"> 12:19</t>
  </si>
  <si>
    <t>Pirision preventiva</t>
  </si>
  <si>
    <t>Cantidad de Prisiones preventivas ingresados hasta el 08/02/2024</t>
  </si>
  <si>
    <t>Cantidad de audiencias Fijadas hasta la fecha</t>
  </si>
  <si>
    <t>Tipo de audiencia</t>
  </si>
  <si>
    <t>virtuales</t>
  </si>
  <si>
    <t>Presenciales</t>
  </si>
  <si>
    <t>Resultados según el MES</t>
  </si>
  <si>
    <t>FEBRERO</t>
  </si>
  <si>
    <t>Porcentaje mensual de Condenados</t>
  </si>
  <si>
    <t>Porcentaje mensual de Prisiones preventivas</t>
  </si>
  <si>
    <t>PROMEDIO</t>
  </si>
  <si>
    <t>JUECES DE SALA DE JUICIO</t>
  </si>
  <si>
    <t>JEUCES DE IMPUGNACIÓN</t>
  </si>
  <si>
    <t>Jueces de Juicio</t>
  </si>
  <si>
    <t>Jueces e Impugnación</t>
  </si>
  <si>
    <t>Jueces de Garantías</t>
  </si>
  <si>
    <t>INTERVENCIÓN DE PARTES</t>
  </si>
  <si>
    <t>Axiliar Fiscal</t>
  </si>
  <si>
    <t>Auxiliar Defensor</t>
  </si>
  <si>
    <t>Abogado particular</t>
  </si>
  <si>
    <t>Parte</t>
  </si>
  <si>
    <t>Defensoria oficial</t>
  </si>
  <si>
    <t>horarios</t>
  </si>
  <si>
    <t>Horario de audiencia</t>
  </si>
  <si>
    <t>09:30 en adelante</t>
  </si>
  <si>
    <t>08:45 a 09:30</t>
  </si>
  <si>
    <t>08:00 a 08:45</t>
  </si>
  <si>
    <t>Cantidad de audiencias realziadas</t>
  </si>
  <si>
    <t>Juicio Abreviado - Condicional</t>
  </si>
  <si>
    <t>ALANCAY/LOPEZ</t>
  </si>
  <si>
    <t>NIEVA, NESTOR HORACIO POR ABUSO SEXUAL CON ACCESO CARNAL; EN PERJUICIO DE J.H.J.R.CH. (16) - DEN: CHURQUINA CHAVEZ, ROMINA GISELA - A.P. 79/24, DCTO. PALACIOS - FISCAL UDIS 4 - SOLICITA ALLANAMIENTO Y</t>
  </si>
  <si>
    <t>188603/24</t>
  </si>
  <si>
    <t>188773/24</t>
  </si>
  <si>
    <t xml:space="preserve">GUTIERREZ RAMOS, CLAUDIO POR EL DELITO DE LESIONES LEVES AGRAVADAS POR LA RELACION DE PAREJA PREEXISTENTE Y POR MEDIAR VIOLENCIA DE GENERO EN PERJUICIO DE </t>
  </si>
  <si>
    <t>178530/22</t>
  </si>
  <si>
    <t>188847/24</t>
  </si>
  <si>
    <t>CAYO, ALDRO FRANCISCO O GABRIEL MAURICIO CAYO POR EL DELITO ROBO SIMPLE, AMENAZAS, VIOLACION DE DOMICILIO Y DAÑOS, EN CONCURSO REAL EN PERJUICIO DE GLORIA ANDRADA</t>
  </si>
  <si>
    <t>188786/24</t>
  </si>
  <si>
    <t>188789/24</t>
  </si>
  <si>
    <t xml:space="preserve">JUAN JUAN, DIEGO GERMAN POR ESTAFA Y AMENAZAS CON ARMA EN CONCURSO REAL EN PERJUICIO DE RICARDO DAVID CHOQUE </t>
  </si>
  <si>
    <t>188890/24</t>
  </si>
  <si>
    <t>CARRAZAN DARIO DANIELPOR AMENAZAS CON ARMA Y MARIA BELEN LUNA POR AMENAZAS Y AGRESOPM CON TOMA ARMA EN CONCURSO REAL</t>
  </si>
  <si>
    <t>188892/24</t>
  </si>
  <si>
    <t xml:space="preserve">AGUIRRE, MIGUEL ANGEL, AGUIRRE, CARLOS CESAR MIGUEL Y VILLAVICENCIO JOSE IGNACIO POR EL DELITO DE ROBO </t>
  </si>
  <si>
    <t>MACEDO, JAIRO NAHUEL POR GROOMING; EN PERJUICIO DE M.A.R. (17) - DEN: ROMAN TEJERINA, PAOLA - A.P. 1456/23, COM. 1 (EX 7) - FISCAL CIBERDELINCUENCIA - SOLICITA ALLANAMIENTO, SECUESTRO Y DETENCION</t>
  </si>
  <si>
    <t>188679/24</t>
  </si>
  <si>
    <t>08.48</t>
  </si>
  <si>
    <t>188667/24</t>
  </si>
  <si>
    <t>CRUZ, MARCELO ARIEL POR ABUSO SEXUAL CON ACCESO CARNAL; EN PERJUICIO DE GOMEZ, MARIA ESTELA - A.P. 45/24, SUB-COM. SAN LUIS - FISCAL UDIS 4 - SOLICITA ALLANAMIENTO, SECUESTRO Y DETENCION</t>
  </si>
  <si>
    <t>188640/24</t>
  </si>
  <si>
    <t>GOMEZ, ADRIAN GUILLERMO POR HURTO SIMPLE; EN PERJUICIO DE VILLALVA, RITA FABIANA - A.P. 181/24, COM. 10 (EX 102) - FISCAL DELEG. SAN LORENZO</t>
  </si>
  <si>
    <r>
      <rPr>
        <sz val="10"/>
        <color rgb="FFFF0000"/>
        <rFont val="Arial"/>
        <family val="2"/>
      </rPr>
      <t xml:space="preserve">vitual con victima en fiscalía </t>
    </r>
    <r>
      <rPr>
        <sz val="10"/>
        <rFont val="Arial"/>
        <family val="2"/>
      </rPr>
      <t>AVENDAÑO, LUIS ALBERTO por hurto simple en perjuicio de Torres, Alfredo Hugo</t>
    </r>
  </si>
  <si>
    <t>Dia</t>
  </si>
  <si>
    <t>Promedio diario</t>
  </si>
  <si>
    <t>COMOGLIO, SALVADOR MAXIMILIANO POR ABANDONO DE PERSONA SEGUIDO DE MUERTE Y SUMINISTRO DE ESTUPEFACIENTES A TITULO GRATUITO, TODO EN CONCURSO REAL; EN PERJUICIO DE SILES, ANTONELLA YULIANA NAHIR - A.P.</t>
  </si>
  <si>
    <t>188647/24</t>
  </si>
  <si>
    <t>188769/24</t>
  </si>
  <si>
    <t>BAUTISTA, JULIO MARTIN POR EL DELITO DE AMENAZAS DOS HECHOS - VIOLACION DE DOMICILIO - DOS HECHOS - COACCION CON ARMA Y DESOBEDIENCIA JUDICIAL EN CONCURSO REAL</t>
  </si>
  <si>
    <t>MOLINA RODRIGO NAHUEL POR LESIONES LEVES AGRAVADAS POR LA RELACION DE PAREJA PREVIA Y POR EL GENERO, AMENAZAS CON ARMA Y PRIVACION ILEGITIMA DE LA LIBERTAD AGRAVADA, TODO EN CONCURSO REAL; EN PERJUICI</t>
  </si>
  <si>
    <t>188688/24</t>
  </si>
  <si>
    <t>GARCIA, WALTER JOSE RAMON POR TENENCIA DE ESTUPEFACIENTES CON FINES COMERCIALIZACION; EN PERJUICIO DE SALUD PUBLICA - A.P. 43/24, SINAR 6 Y 125/24 SINAR SECTOR 3-DUR 10 - FISCAL UFINAR</t>
  </si>
  <si>
    <t>188862/24</t>
  </si>
  <si>
    <t xml:space="preserve">TOLABA, AGUSTIN CARLOS HUMBERTO POR EL DELITO DE ROBO CALIFICADO POR LAS LESIONES SUFRIDAS POR LA VICTIMA EN GRADO DE TENTATIVA Y ROBO SIMPLE EN CONCURSO REAL EN PERJUICIO DE </t>
  </si>
  <si>
    <t>188691/24</t>
  </si>
  <si>
    <t>MARTINEZ, JAZMIN MARIA ITATI; MARTINEZ, BRIAN NAHUEL; ABARZA, FRANCO ISAMEL POR EL DELITO DE COMERCIALIZACIÒN DE ESTUPEFACIENTES EN PERJUICIO DE LA SALUD PUBLICA</t>
  </si>
  <si>
    <t>188911/24</t>
  </si>
  <si>
    <t xml:space="preserve">PEREZ, DIEGO ALBERTO POR EL DELITO DE ROBO SIMPLE EN PERJUICIO DE </t>
  </si>
  <si>
    <t>188507/24</t>
  </si>
  <si>
    <t>MORALES, HUGO SEGUNDO, POR AMENAZAS, DAÑOS, HURTO SIMPLE Y VIOLACION DE DOMICILIO (2 HECHOS); EN PERJUICIO DE RUEDA, LUCIANA KARINA</t>
  </si>
  <si>
    <t>188768/24</t>
  </si>
  <si>
    <t>JARA, LUIS ISMAEL POR EL DELITO DE HURTO SIMPLE EN PERJUICIO DE ORTEGA, ROBERTO ANIBAL</t>
  </si>
  <si>
    <t>188902/24</t>
  </si>
  <si>
    <t xml:space="preserve">BAEZ, LUIS RAMITO POR DELITO DE DAÑOS, AMENAZAS CON ARMA - DOS HECHOS - LESIONES LEVES AGRAVADAS POR LA PARTICIPACIÒN DE DOS O MAS PERSONAS Y COACCION EN CONCURSO REAL EN PERJUICIO DE </t>
  </si>
  <si>
    <t>188912/24</t>
  </si>
  <si>
    <t>188780/24</t>
  </si>
  <si>
    <t xml:space="preserve">QUIROGA, MARIO DANIEL FERNANDO POR EL DELITO DE HURTO CALIFICADO POR ESCALAMIENTO EN PERJUICIO DE </t>
  </si>
  <si>
    <t>188763/24</t>
  </si>
  <si>
    <r>
      <rPr>
        <sz val="10"/>
        <color rgb="FFFF0000"/>
        <rFont val="Arial"/>
        <family val="2"/>
      </rPr>
      <t>vitual con victima  - Brasilero -</t>
    </r>
    <r>
      <rPr>
        <sz val="10"/>
        <rFont val="Arial"/>
        <family val="2"/>
      </rPr>
      <t>PONCE, CLAUDIO RODRIGO  por hurto simple - 2h- en perjuicio de Sakamoto Rezende de Sousa Roberto</t>
    </r>
  </si>
  <si>
    <t>188764/24</t>
  </si>
  <si>
    <t>NARANJO, DIEGO DANIEL - ETCHEVERRY, SANTIAGO JOSE ALBERTO - VARELA, CRISTIAN GONZALO - CRUZ, LUIS ALBERTO Y CRUZ, NORBERTO NAHIR POR ROBO SIMPLE; EN PERJUICIO DE SERVICIOS Y EXPLOTACIONES MINERAS S.R.</t>
  </si>
  <si>
    <t>188610/24</t>
  </si>
  <si>
    <t>188645/24</t>
  </si>
  <si>
    <t>LAZARTE, HECTOR GONZALO POR TENTATIVA DE ROBO DOBLEMENTE CALIFICADO POR ESCALAMIENTO Y EFRACCION; EN PERJUICIO DE ESCUELA 4.036 "DR. RAUL CORTAZAR" - A.P. 96/24, COM. 6 - FISCAL 3</t>
  </si>
  <si>
    <t>188903/24</t>
  </si>
  <si>
    <t>FLORES, OSCAR DARIO POR EL DELITO DE ABUSO SEXUAL GRAVEMENTE ULTRAJANTE EN PERJUICIO DE LA MENOR LM</t>
  </si>
  <si>
    <t>188699/24</t>
  </si>
  <si>
    <t xml:space="preserve">CAGUACIRI, JOSE NAZARIO POR EL DELITO DE ABUSO SEXUAL GRAVEMENTE ULTRAJANTE AGRAVADO POR LA GUARDA Y LA CONVIVENCIA EN PERJUICIO DE </t>
  </si>
  <si>
    <t>188612/24</t>
  </si>
  <si>
    <t>188629/24</t>
  </si>
  <si>
    <t>MORALES, LUIS ANDRES POR ABUSO SEXUAL CON ACCESO CARNAL; EN PERJUICIO DE M.V.P. (14) - DEN: MORALES, ROSANA VALERIA - A.P. 283/24, COM. 5 - FISCAL UDIS 3</t>
  </si>
  <si>
    <t>GARECA, BRIAN DANIEL POR EL DELITO DE ROBO SIMPLE en perjuicio de APARICIO, ALBARO GABRIEL</t>
  </si>
  <si>
    <t>188658/24</t>
  </si>
  <si>
    <t>DIONISIO, EDUARDO ABRAHAM POR ESTUPRO AGRAVADO POR LA CONVIVENCIA PREEXISTENTE CON UNA MENOR DE EDAD EN PERJUICIO DE FET 15 DEN: TOSCANO, SANDRA ALEJANDRA - A.P. 119, DCTO. PALACIOS - FISCAL UDIS 1</t>
  </si>
  <si>
    <t>ALANCAY/LOPEZ/NIEVA</t>
  </si>
  <si>
    <t xml:space="preserve">Juicio abreviado - 2 años efectiva </t>
  </si>
  <si>
    <t xml:space="preserve">Juicio abreviado 3 años condicional </t>
  </si>
  <si>
    <t>Prisión preventiva - Codefensor: Dr.a Tejerina, Eliana Neomi - en 23/01 se remite a mesa pupilar - Incapaces Nº 1</t>
  </si>
  <si>
    <t>Juicio abreviado - 2 años efectiva - audiencia anteriormente suspendia porque el imputado se encontraba internado</t>
  </si>
  <si>
    <t>Cuarto intermedio de 09:52 a 10:14 - Atraso: tratativas</t>
  </si>
  <si>
    <t>SARAPURA, NESTOR PABLO FEDERICO POR EL DELITO DE HURTO SIMPLE EN PERJUICIO DE RIVERO, JESICA ELIZABETH</t>
  </si>
  <si>
    <t>188632/24</t>
  </si>
  <si>
    <t>FLORES, OSCAR DANIEL - FLORES, CESAR ARMANDO Y GUTIERREZ, ADRIANA MARIA AZUCENA - POR ATENTADO A LA AUTORIDAD AGRAVADO, DAÑOS CALIFICADOS Y AMENAZAS CON ARMAS, TODO EN CONCURSO REAL; EN PERJUICIO DE MENDEZ, ELBA MABEL Y PERSONAL POLICIAL - A.P. 364/24 Y 365/24, COM 5 (EX 17) - FISCAL 6</t>
  </si>
  <si>
    <r>
      <rPr>
        <sz val="10"/>
        <color rgb="FFFF0000"/>
        <rFont val="Arial"/>
        <family val="2"/>
      </rPr>
      <t>vicitma virtual ---</t>
    </r>
    <r>
      <rPr>
        <sz val="10"/>
        <rFont val="Arial"/>
        <family val="2"/>
      </rPr>
      <t xml:space="preserve">MARTINEZ, JOSE AUGUSTO POR EL DELITO DE HURTO SIMPLE EN PERJUICIO DE SARAPURA, EMANUEL </t>
    </r>
  </si>
  <si>
    <t>MIRANDA, CESAR OCTAVIO Y MIRANDA, RAFAEL ALEJANDRO POR TENENCIA DE ESTUPEFACIENTES CON FINES COMERCIALIZACION: EN PERJUICIO DE SALUD PUBLICA - A.P.818/23, G.D. SECTOR 3 - FISCAL UFINAR - SOLICITA ALLANAMIENTO, SECUESTRO Y DETENCION</t>
  </si>
  <si>
    <t>188670/24</t>
  </si>
  <si>
    <t>188564/24</t>
  </si>
  <si>
    <t>JUAREZ, ROQUE BENJAMIN POR ESTAFAS (05 HECHOS); EN PERJUICIO DE CULASSO, RAQUEL DEL VALLE Y OTROS - A.P. 2238/23 (COM. 4), 4333/23 (COM. 1), 1063/23 (SUB-COM. LAVALLE) Y 2901/23 (COM. 5) - FISCAL CIBERDELINCUENCIA - SOLICITA DETENCION, REQUISA Y SECUESTRO</t>
  </si>
  <si>
    <t>G02 186434/23</t>
  </si>
  <si>
    <t>188851/24</t>
  </si>
  <si>
    <t>GUTIERREZ, RAMIRO SEBASTIAN POR HURTO SIMPLE EN PERJUICIO DE LOPEZ MIGNONE, BARBARA DANISSE</t>
  </si>
  <si>
    <t>188642/24</t>
  </si>
  <si>
    <t xml:space="preserve">DOP 16 - </t>
  </si>
  <si>
    <t>188978/24</t>
  </si>
  <si>
    <t>GUERRERO, GABRIEL YANINA Y MONTAÑO, ROLANDO POR HURTO CALIFICADO DE VEHICULO DEJADO EN LA VÍA PUBLICA EN PERJUICIO DE PEDRO ABUNDO SIQUITA</t>
  </si>
  <si>
    <t>188958/24</t>
  </si>
  <si>
    <t>SOSA, JONATHAN EZEQUIEL POR EL DELITO DE VIOLACION DE DOMICILIO EN PERJUICIO DE TAPIA NELSON</t>
  </si>
  <si>
    <r>
      <rPr>
        <sz val="10"/>
        <color rgb="FFFF0000"/>
        <rFont val="Arial"/>
        <family val="2"/>
      </rPr>
      <t>virtual victima guemes ---</t>
    </r>
    <r>
      <rPr>
        <sz val="10"/>
        <rFont val="Arial"/>
        <family val="2"/>
      </rPr>
      <t xml:space="preserve"> MAMANI, PAMELA DE LOS ANGELES Y SANTANA, PATRICIO JESUS NABIL POR EL DELITO DE ROBO CALIFICADO POR EL USO DE ARMA EN PERJUICIO DE CEJAS, JUAN CARLOS</t>
    </r>
  </si>
  <si>
    <t>188686/24</t>
  </si>
  <si>
    <t>CORONEL, MATIAS EZEQUIEL POR TENTATIVA DE ROBO CALIFICADO POR EL USO DE ARMA; EN PERJUICIO DE T.B.G. (13) - DEN: CASULA, ANGELICA ROSANA - A.P. 434/24, COM. 5 (EX 17) - FISCAL 6</t>
  </si>
  <si>
    <t>186916/23</t>
  </si>
  <si>
    <t>188736/24</t>
  </si>
  <si>
    <t xml:space="preserve">RIVERA, AGUSTIN EMILIANO Y FLORES, ALAN MAXIMILIANO POR EL DELITO DE ENCUBRIMIENTO EN PERJUICIO DE </t>
  </si>
  <si>
    <t>188891/24</t>
  </si>
  <si>
    <t>RAMOS, GUILLERMO MAXIMILIANO POR DESOBEDIENCIA JUDICIAL, AMENAZAS CON ARMA IMPROPIA, LESIONES LEVES AGRAVADAS POR MEDIAR VIOLENCIA DE PAREJA PREVIA Y GENERO EN CONCURSO REAL EN PERJUICIO DE PUITA DORA FABIANA</t>
  </si>
  <si>
    <t>188977/24</t>
  </si>
  <si>
    <t>187015/23</t>
  </si>
  <si>
    <t>188986/24</t>
  </si>
  <si>
    <r>
      <rPr>
        <b/>
        <sz val="10"/>
        <rFont val="Arial"/>
        <family val="2"/>
      </rPr>
      <t xml:space="preserve">LUDUEÑA LAXI, IVAN ARIEL </t>
    </r>
    <r>
      <rPr>
        <sz val="10"/>
        <rFont val="Arial"/>
        <family val="2"/>
      </rPr>
      <t>POR EL DELITO DE TENTENCIA DE ESTUPEFACIENTES CON FINES DE COMERCIALIZACIÓN EN PERJUICIO DE LA SALUD PUBLICA</t>
    </r>
  </si>
  <si>
    <t>188959/24</t>
  </si>
  <si>
    <t>CARRASCO, MAIRA VALERIA POR EL DELITO DE ROBO EN PERJUCIO DEL LOCAL COMERCIAL DIAMANTE</t>
  </si>
  <si>
    <t>188956/24</t>
  </si>
  <si>
    <t>188954/24</t>
  </si>
  <si>
    <t>ANGULO, JAIRO RAUL ABEL POR EL DELITO DE VIOLACION DE DOMICILIO - DOS HECHOS- AMENAZAS, LESIONES LEVES AGRAVADAS POR LA VIOLENCIA DE GENERO Y POR MEDIAR RELACION DE PAREJA PREVIA, DAÑOS Y DESOBEDIENCIA JUDICIAL - DOS HECHOS EN CONCURSO REAL</t>
  </si>
  <si>
    <t>188760/24</t>
  </si>
  <si>
    <t xml:space="preserve">GUERRA, JOSE ADRIAN POR EL DELITO DE VIOLACION DE DOMICILIO, COACCION Y DESOBEDIENCIA JUDICIAL EN PERJUICIO DE </t>
  </si>
  <si>
    <t>188957/24</t>
  </si>
  <si>
    <t xml:space="preserve">SANCHEZ, CLAUDIO HERNAN POR EL DELITO DE LESIONES LEVES AGRAVADAS POR LA RELACION DE PREEXISTE Y POR CONSTITUIR VIOLENCIA DE GENERO, AMENAZAS CON ARMA EN PERJUICIO DE DELGADO, MARTA LUCIA </t>
  </si>
  <si>
    <t>Prisíón Preventiva</t>
  </si>
  <si>
    <t>Se declaró abstracta la audiencia porque la Prision Preventiva se resolviò el 19/1</t>
  </si>
  <si>
    <t>Prisión domiciliar previa factibilidad del Uadme</t>
  </si>
  <si>
    <t>Jucio Abreviado - condena 8 meses condicional</t>
  </si>
  <si>
    <t xml:space="preserve">Juicio Abreviado - condena 7 meses condicional </t>
  </si>
  <si>
    <t xml:space="preserve">Libertad con medidas sustitutivas </t>
  </si>
  <si>
    <t>Libertad con medidas sustiturivas</t>
  </si>
  <si>
    <t xml:space="preserve">Juicio Abreviado - Condena 3 años condicional </t>
  </si>
  <si>
    <t xml:space="preserve">Juicio Abreviado - Condena 2 meses efectiva </t>
  </si>
  <si>
    <t>Juicio Abreviado - Condena 1 año efectiva. Acumulado a 3 años y 6 mese</t>
  </si>
  <si>
    <t xml:space="preserve">Libertad con reglas de conducta </t>
  </si>
  <si>
    <t xml:space="preserve">Juicio Abreviado - Condena 3 meses condicional </t>
  </si>
  <si>
    <t xml:space="preserve">Juicioa Abreviado - Condena efectiva 2 años y 8 meses . Condena condicional  5 mese </t>
  </si>
  <si>
    <t xml:space="preserve">Juicio Abreviado - Condena 1 mes efectiva </t>
  </si>
  <si>
    <r>
      <rPr>
        <sz val="10"/>
        <rFont val="Arial"/>
        <family val="2"/>
      </rPr>
      <t>Juicio Abreviado - Condena 1 año efectiva</t>
    </r>
    <r>
      <rPr>
        <b/>
        <sz val="10"/>
        <rFont val="Arial"/>
        <family val="2"/>
      </rPr>
      <t xml:space="preserve"> </t>
    </r>
  </si>
  <si>
    <t xml:space="preserve">Juicio Abreviado - Condena 5 meses efectiva </t>
  </si>
  <si>
    <t>Suspensión de Juicio a Prueba por 1 año</t>
  </si>
  <si>
    <t>Juicio Abreviado - Condena 6 meses efectiva</t>
  </si>
  <si>
    <t xml:space="preserve">Juicio Abreviado- Condena 8 meses efectiva </t>
  </si>
  <si>
    <t>Juicio Abreviado - Condena 2 meses efectiva, reincidente por 3ra vez</t>
  </si>
  <si>
    <t>188795/24</t>
  </si>
  <si>
    <t>Suspendida por no conectarse el Fiscal</t>
  </si>
  <si>
    <t>188812/24</t>
  </si>
  <si>
    <t>188771/24</t>
  </si>
  <si>
    <t>184304/23</t>
  </si>
  <si>
    <t>189039/24</t>
  </si>
  <si>
    <t>189040/24</t>
  </si>
  <si>
    <t>a la espera del informe psiquiatrico --- Audiencia suspendida hasta incorporar examenes mèdicos el expediente se encuentra en OFIJU - Se suspende la audiencia por devolverse la causa al juzgado de origen para resolver su estado por escrito</t>
  </si>
  <si>
    <t>188807/24</t>
  </si>
  <si>
    <t>LIENDRO, YAMIL BRIAN NICOLAS por hurto calificado por escalamiento</t>
  </si>
  <si>
    <t>188929/24</t>
  </si>
  <si>
    <t>SUBIA JORGE ALBERTO y VELEIZAN, HUGO ALEJANDRO MATIAS  POR EL DELITO DE ROBO CON ARMA EN GRADO DE TENTATIVA EN PERJUICIO DE</t>
  </si>
  <si>
    <t>RUSSO</t>
  </si>
  <si>
    <t>Preventivas ingresadas promedios x quincena</t>
  </si>
  <si>
    <t>Quincenas</t>
  </si>
  <si>
    <t>Promedios</t>
  </si>
  <si>
    <t>1ra Febr.</t>
  </si>
  <si>
    <t>2da Febr.</t>
  </si>
  <si>
    <t>1ra Mar.</t>
  </si>
  <si>
    <t>2da Mar.</t>
  </si>
  <si>
    <t>1ra  Abr.</t>
  </si>
  <si>
    <t>2da Abr.</t>
  </si>
  <si>
    <t>1ra May.</t>
  </si>
  <si>
    <t>2da May.</t>
  </si>
  <si>
    <t>1ra. Jun.</t>
  </si>
  <si>
    <t>2da Jun.</t>
  </si>
  <si>
    <t>Promedio quincenal</t>
  </si>
  <si>
    <t>188816/24</t>
  </si>
  <si>
    <t>VARELA, DANIEL JOSE LUIS POR LA SUPUESTA COMISION DEL DELITO DE TENENCIA DE ESTUPEFACIENTES CON FINES DE COMERCIALIZACIÓN EN PERJUICIO DE SALUD PUBLICA</t>
  </si>
  <si>
    <t>188661/24</t>
  </si>
  <si>
    <t>JESUS ARIEL BONIFACION, FRANCO GABRIEL ALTAMIRANO Y ALEXANDER, HECTOR FABIAN POR ROBO CALIFICADO POR HABERSE COMETIDO EN POBLADO EN POBLADO Y EN BANDA EN PERJUICIO DE</t>
  </si>
  <si>
    <t xml:space="preserve">GRAMAJO, CRISTIAN FERNANDO Y VENTURA ALEJANDRO ROBERTO POR EL DELITO DE </t>
  </si>
  <si>
    <t>LESCANO, VICTOR MANUEL POR ROBO CALIFICAQDO POR EL USO DE ARMA</t>
  </si>
  <si>
    <t>NICOLAS GUSTAVO BINZUGNA O BINZUGÑA O VINZUÑA POR VIOLACIÓN DE COMICILIO Y ROBO SIMPLE EN GRADO DE TENTATIVA AGRAVADO POR LA PARICIPACION DE UN MEJOR DE EDAD EN CONCURSO REAL</t>
  </si>
  <si>
    <t>TARITOLAY, ANGEL DARIO POR TENENCIA DE ESTUPEFACIENTES CON FINES DE COMERCIALIZACIÓN</t>
  </si>
  <si>
    <t>AGUIRRE, JOSÉ ANTONIO POR DESOBEDIENCIA JUDICIAL</t>
  </si>
  <si>
    <t>MONTEROS PABLO EXEQUIEL POR DESOBEDIENCIA JUDICIAL</t>
  </si>
  <si>
    <t>CAÑIZARES, ANTONIO FACUNDO POR ABUSO SEXUAL CONA CCESO CARNAL AGRAVADO POR LA GUARDA Y POR LA SITUACIÓN DE CONVIVENCIA CON MENOR DE 18 AÑOS</t>
  </si>
  <si>
    <t>188962/24</t>
  </si>
  <si>
    <t>TORRES, MIGUEL ANGEL POR EL DELITO DE AMENAZAS, DAÑOS Y ACTOS DE CRUELDAD CONTRA LOS ANIMALES EN CONCURSO REAL EN PERJUICIO DE</t>
  </si>
  <si>
    <t>188914/24</t>
  </si>
  <si>
    <t>QUINTEROS, CARLOS DAMIAN POR EL DELITO DESOBEDIENCIA JUDICIAL EN PERJUICIO DE TORRES, MARIO ALVARO</t>
  </si>
  <si>
    <t>188634/24</t>
  </si>
  <si>
    <t>CONDORI, CARLOS SAUL Y GUDIÑO, MARCOS FERNANDO - POR HURTO SIMPLE (02 HECHOS), EN CONCURSO REAL; EN PERJUICIO DE SUAREZ, HERNAN ALBERTO - A.P. 195/24 Y 196/24, SUB-COM. LOLA MORA - FISCAL 5</t>
  </si>
  <si>
    <t>POR INFORME RECIBIDO DEL DR. CORNEJO EN FECHA 21/02/2024 SE PROCEDE A LA DEVOLUCIÓN AL JUZGADO DE ORIGEN DECLLARANDO LA INCOMPETENCIA TERRITORIAL Y SE REMITE A LA PROVINCIA DE JUJUY</t>
  </si>
  <si>
    <t>161782/19</t>
  </si>
  <si>
    <t>QUINTEROS, CARLOS DAMIAN POR PROCESO SUMARISIMO - FLAGRANCIA; POR ROBO SIMPLE, VIOLACION DE DOMICILIO Y AMENAZAS EN CONCURSO REAL; EN PERJUICIO DE RUIZ, ANA ROMINA Y ROJAS, CLAUDIA KARINA</t>
  </si>
  <si>
    <t>188707/24</t>
  </si>
  <si>
    <t>ROMERO DAVALOS, AUGUSTO LEONEL POR LESIONES AGRAVADAS, DESOBEDIENCIA JUDICIAL EN PERJUICIO DE TORRES SARMIENTO, AGOSTINA CONSTANZA, A.P. 1073/23,  COMISARIA SECCIONAL 12</t>
  </si>
  <si>
    <t>174226/21</t>
  </si>
  <si>
    <t>AYLAN, LUCAS EDGARDO POR ROBO CALIFICADO POR EL USO DE ARMA EN PERJUICIO DE MENESES, PABLO DANIEL EN RELACION A LA AP Nº 2140/21 COM. Nº 17</t>
  </si>
  <si>
    <t>ORTEGA, ROBERTO POR ABUSO SEXUAL EN PERJUICIO DE RUEDA, SABRINA GUADALUPE - A.P. 11/23 UDIS 3 - SOLICITUD DE QUERELLANTE INTERPUESTO POR EL DR. MARCO GORRITI</t>
  </si>
  <si>
    <t>Dra. Cortez, Andrea Evangelina del Milagro mp 5303</t>
  </si>
  <si>
    <t xml:space="preserve">P.H.M POR HOMICIDIO SIMPLE AGRAVADO POR EL USO DE ARMA DE FUEGO EN GRADO DE TENTATIVA - LESIONES - TENENCIA Y PORTACION DE ARMAS DE GUERRA Y DAÑOS EN PERJ. </t>
  </si>
  <si>
    <t>188733/24</t>
  </si>
  <si>
    <t>188671/24</t>
  </si>
  <si>
    <t>POMO OVEJERO, MARTIN MIGUEL POR EL DELITO DE PECULADO EN CONDICION DE PARTICIPE NECESARIO Y RESISTENCIA A LA AUTORIDAD, LESIONES, ROBO Y DAÑO AGRAVADO EN CONCURSO IDEAL CON DAÑO AGRAVADO, FALSEDAD DE INSTRUMENTO PULICO, - DOS HECHOS EN CONCURSO REAL CON FALSEDAD DE INSTRUMENTO PUBLICO</t>
  </si>
  <si>
    <t>10.57</t>
  </si>
  <si>
    <t>188948/24</t>
  </si>
  <si>
    <t>NIETO, EMANUEL GONZALO ROBO Y AMENAZAS EN PERJUICIO DE ALBERTO SORIA</t>
  </si>
  <si>
    <t>188916/24</t>
  </si>
  <si>
    <t>GONZALEZ, SERGIO EMANUEL TENENCIA DE ESTUPEFACIENTES CON FINES DE COMERCIALIZACION</t>
  </si>
  <si>
    <t>189053/24</t>
  </si>
  <si>
    <r>
      <rPr>
        <sz val="10"/>
        <color rgb="FFFF0000"/>
        <rFont val="Arial"/>
        <family val="2"/>
      </rPr>
      <t xml:space="preserve">vitual victima en fiscalía -- </t>
    </r>
    <r>
      <rPr>
        <sz val="10"/>
        <rFont val="Arial"/>
        <family val="2"/>
      </rPr>
      <t>FARFAN, SEBASTIAN FERNANDO POR EL DELITO ABUSO SEXUAL GRAVEMENTE ULTRAJANTE AGRAVADO POR EL USO DE ARMA EN PERJUICIO DE VERONICA ELIZABETH SANCHEZ Y HURTO EN CONCURSO REAL</t>
    </r>
  </si>
  <si>
    <t>188766/24</t>
  </si>
  <si>
    <t>Dra. Maria del Rosario Lunda Wierna MP 7616</t>
  </si>
  <si>
    <t xml:space="preserve">PLAZA, SEBASTIAN RAMIRO POR LESIONES LEVES EN PERJUICIO DE CRUZ, FACUNDO NAHUEL </t>
  </si>
  <si>
    <t>188952/24</t>
  </si>
  <si>
    <t>188950/24</t>
  </si>
  <si>
    <t xml:space="preserve">CALLE, VICTOR ABRAHAM POR EL DELITO DE DAÑOS. ROBO SIMPLE EN PERJUICIO DE </t>
  </si>
  <si>
    <t>188675/24</t>
  </si>
  <si>
    <t xml:space="preserve">REINOSO, JOAQUIN HERNAN POR EL DELITO DE HURTO CALIFICADO EN PERJUICIO DE </t>
  </si>
  <si>
    <t xml:space="preserve">Prisión Preventiva y remisión al plan piloto antidroga </t>
  </si>
  <si>
    <t xml:space="preserve">Juicio Abreviado. Condena 1 mes efectiva </t>
  </si>
  <si>
    <t>Arresto Domiciliario y reglas de conductas</t>
  </si>
  <si>
    <t xml:space="preserve">Juicio Abreviado. Condena 1 mes y 15 días condicional </t>
  </si>
  <si>
    <t xml:space="preserve">Juicio Abreviado. Condena 1 año condicional </t>
  </si>
  <si>
    <r>
      <rPr>
        <b/>
        <sz val="10"/>
        <color theme="2" tint="-0.89999084444715716"/>
        <rFont val="Arial"/>
        <family val="2"/>
      </rPr>
      <t>Prisión Preventiva</t>
    </r>
    <r>
      <rPr>
        <b/>
        <sz val="10"/>
        <color rgb="FFFF0000"/>
        <rFont val="Arial"/>
        <family val="2"/>
      </rPr>
      <t xml:space="preserve"> </t>
    </r>
  </si>
  <si>
    <t>Juicio Abreviado. Condena 2 meses efectiva. Unificando a 7 meses</t>
  </si>
  <si>
    <t>Juicio Abreviado. Condena 3 años y 2 meses efectiva</t>
  </si>
  <si>
    <t>Suspendida. Por imposibilidad de la Fiscalía (demora por otra anterior)</t>
  </si>
  <si>
    <t>Libertad con Probation</t>
  </si>
  <si>
    <t>Libertad por no concurrir la Fiscalía Penal</t>
  </si>
  <si>
    <t>Juicio Abreviado. Condena 2 años y 3 meses efectiva. Reincidente por 1ra vez</t>
  </si>
  <si>
    <t>Juicio Abreviado. Condena 6 meses efectiva</t>
  </si>
  <si>
    <t>Juicio Abreviado. Condena 4 meses efectiva para ambos</t>
  </si>
  <si>
    <t>Prisión Preventiva para uno y Libertad con medidas sustitutivas</t>
  </si>
  <si>
    <t xml:space="preserve">Juicio Abreviado. Condena 9 meses Condicional </t>
  </si>
  <si>
    <r>
      <rPr>
        <sz val="10"/>
        <color rgb="FFFF0000"/>
        <rFont val="Arial"/>
        <family val="2"/>
      </rPr>
      <t>VIRTUAL VICTIMAS EN FISCALIA -</t>
    </r>
    <r>
      <rPr>
        <sz val="10"/>
        <rFont val="Arial"/>
        <family val="2"/>
      </rPr>
      <t xml:space="preserve"> MEDINA Rodolfo Exequiel por Robo Agrafado por el Uso de Arma Impropia - Daños y Resistencia a la Autoridad todo en Concurso Real  en perj. De Bejerano, Luis Fernando y Vaca Dario Armando</t>
    </r>
  </si>
  <si>
    <t>Licencias</t>
  </si>
  <si>
    <t xml:space="preserve">CASASOLA MORENO, MATIAS ALBERTO POR ROBO CALIFICADO DE VEHICULO DEJADO EN LA VÍA PÚBLICA EN PERJUICIO DE FLORES, GABRIEL SEBASTIAN </t>
  </si>
  <si>
    <t xml:space="preserve">ABAN, ALEXIS SEBASTIAN POR EL DELITO DE ROBO SIMPLE EN NGRADO DE TENTATIVA, LESIONES LEVES Y RESISTENCIA A LA AUTORIDAD EN CONCURSO IDEAL Y EN CONCURSO REAL EN PERJUICIO DE FREGAL, RODRIGO MANUEL </t>
  </si>
  <si>
    <t>VARGAS, TITO GABRIEL POR EL DELITO DE ROBO CALIFICADO EN POBLADO Y EN BANDA EN PERJUICIO DE PACHECO, OMAR EXEQUIEL</t>
  </si>
  <si>
    <t>GARCIA, MARIO EXEQUIEL Y CEJAS, MARIA MAGDALENA POR ROBO SIMPLE EN PERJUICIO DE SANDOVAL, JAVIER RAMIRO</t>
  </si>
  <si>
    <t>WAYAR, CRISTIAN ERNESTO POR EL DELITO DE HURTO SIMPLE Y ESTAFA EN CONCURSO REAL EN PERJUICIO DE CARDOZO, LUISA LILIANA</t>
  </si>
  <si>
    <t>PAISSANDIS, PALMA CONSTANTINA POR HURTO EN PERJUICIO DE ANDRADE, JONATAN ALEXIS</t>
  </si>
  <si>
    <t>CAÑIZARES, ANTONIO FACUNDO POR EL DELITO DE ABUSO SEXUAL CON ACCESO CARNAL AGRAVADO POR LA GUARDA Y POR LA SITUACIÓN DE CONVIVENCIA CON MENOR DE 18 AÑOS EN PERJUICIO DE AMMT</t>
  </si>
  <si>
    <t xml:space="preserve">RAMOHA, JOSE ALBERTO ARMANDO Y QUINTEROS, CARLOS DAMIAN POR EL DELITO DE ROBO SIMPLE EN PERJUICIO DE </t>
  </si>
  <si>
    <t>189063/24</t>
  </si>
  <si>
    <t>188120/23</t>
  </si>
  <si>
    <t>VIRTUAL VICTIMAS EN FISCALIA - OLIMA, DIEGO POR EL DELITO DE HURTO SIMPLE, VIOLACION DE DOMICILIO Y DAÑOS EN PERJUICIO DE VILLACORTA, ARIEL EDUARDO Y ZAMORA, ALBERTO JESUS</t>
  </si>
  <si>
    <t>188527/24</t>
  </si>
  <si>
    <t>VIVEROS, EMANUEL ALAN - QUIPILDOR, MARCELO FRANCISCO Y CASTILLO, FEDERICO FLORENCIO - POR LESIONES GRAVES; EN PERJUICIO DE GUANUCO, LEANDRO GABRIEL - A.P. 38/24 Y 47/24 COM. 7 (EX 108) - FISCAL ROSARI</t>
  </si>
  <si>
    <t>188904/24</t>
  </si>
  <si>
    <t>RIVAS, AXEL ESTEBAN POR ROBO SIMPLE EN PERJUICIO DEL SR. VALDEZ, JUAN JULIO</t>
  </si>
  <si>
    <t>189033/24</t>
  </si>
  <si>
    <t>188434/24</t>
  </si>
  <si>
    <t>ROMERO, MIGUEL ALEJNADRO POR ABUSO SEXUAL CON ACCESO CARNAL AGRAVADO POR LA PARTICIPACIN DE MAS DE DOS PERSONAS EN PERJUICIO DE J.A.Z.N.</t>
  </si>
  <si>
    <t>188980/24</t>
  </si>
  <si>
    <t>LUNA, DARIO RUBEN POR EL DELITO DE VIOLACION DE DOMICILIO, DESOBEDIENCIA JUDICIAL - DOS HECHOS EN CONCURSO REAL EN PERJUICIO DE VACA, SUSANA ISABEL</t>
  </si>
  <si>
    <t>188913/24</t>
  </si>
  <si>
    <t>ARDILES PEREYRA, SOFIA VICTORIA LUCIANA POR EL DELITO DE PRIVACIÓN ILEGITIMINA DE LA LIBERTAD EN CONCURSO DIDEL CON ABUSO SEXUAL GRAVEMENTE ULTRAJANTE - TRES HECHOS EN PERJUICIO DE ROQUE JORGE MAXIMILIANO RAMIREZ</t>
  </si>
  <si>
    <t>188935/24</t>
  </si>
  <si>
    <t xml:space="preserve">VAZQUEZ LISANDRO POR EL DELITO LESIONES LEVES AGRAVADAS POR EL VINCULO Y LA VIOLENCIA DE GÉNERO Y DESOBEDIENCIA JUDICIAL EN PERJUICIO DE </t>
  </si>
  <si>
    <t>Preventivas</t>
  </si>
  <si>
    <r>
      <rPr>
        <sz val="10"/>
        <color rgb="FFFF0000"/>
        <rFont val="Arial"/>
        <family val="2"/>
      </rPr>
      <t>Posible victima virutal en Güemes ---</t>
    </r>
    <r>
      <rPr>
        <sz val="10"/>
        <rFont val="Arial"/>
        <family val="2"/>
      </rPr>
      <t xml:space="preserve">AGUILAR, ANGEL JESUS POR EL DELITO DE ROBO SIMPLE - TRES HECHOS Y DAÑOS CALIFICADOS EN CONCURSO REAL EN PERJUICIO DE </t>
    </r>
  </si>
  <si>
    <t>188781/24</t>
  </si>
  <si>
    <t>CARDOZO, MIGUEL ALEJANDRO Y MAIDANA, NICOLAS ENRIQUE POR EL DELITO DE HOMICIDIO EN PERJUICIO DE</t>
  </si>
  <si>
    <t>Jucio abreviado - 45 dias efectiva - c/ avergiaciones 1060/23 y 1783/23 en cuerda floja --- desde fiscalía solicita que se suspenda la audiencia  el dia 15/02/2024</t>
  </si>
  <si>
    <r>
      <t xml:space="preserve">Se mantiene arresto domiciliario y se devuelve expte al juzgado de origen para que resuleva el eventual pedido de reveldia - </t>
    </r>
    <r>
      <rPr>
        <b/>
        <sz val="10"/>
        <rFont val="Arial"/>
        <family val="2"/>
      </rPr>
      <t>Exp. Con Leg. Original en cuerda floja-</t>
    </r>
    <r>
      <rPr>
        <sz val="10"/>
        <rFont val="Arial"/>
        <family val="2"/>
      </rPr>
      <t>-- Arresto domiciliario</t>
    </r>
  </si>
  <si>
    <t>Libertad con sustttutivas</t>
  </si>
  <si>
    <t>Abreviado - 9 meses condicional</t>
  </si>
  <si>
    <t>Prisión domiciliaria</t>
  </si>
  <si>
    <t>Juicio abreviado 2 meses condicional</t>
  </si>
  <si>
    <t>Suspendido por pedido del defensorc/ abreviado inicial.-</t>
  </si>
  <si>
    <t>LACCE, LUCAS RENATO POR EL DELITO DE ROBO SIMPLE EN GRADO DE TENTATIVA EN PERJUICIO DE ARANDIA BALDERRAMA, RAMBERT FERNANDO C/ EXP ACUMULADO GAR 169773/21</t>
  </si>
  <si>
    <t>Dr. Anguita Larrecheda, Gaspar Cristian MP 6366</t>
  </si>
  <si>
    <t>ARAMAYO, JOSE LINO POR ABUSO SEXUAL SIMPLE AGRAVADO POR LA CONVIVENCIA PRE EXISTENTE CON UNA MENOR DE 18 AOS</t>
  </si>
  <si>
    <t>MOREL, CAMILA DANIELA EMILSE POR DESOBEDIENCIA JUDICIAL (2 HECHOS), COACCION CON ARMA Y AMENAZAS CON ARMA EN CONCURSO REAL</t>
  </si>
  <si>
    <t>188931/24</t>
  </si>
  <si>
    <t xml:space="preserve">ANGELO, CESAR DANIEL POR LESIONES CULPOSAS AGRAVADAS, DAÑOS AGRAVADO Y RESISTENCIA A LA AUTORIDAD </t>
  </si>
  <si>
    <t>Dr. Barrionuevo Rodriguez, Roberto  MP 6317</t>
  </si>
  <si>
    <t>el Juzgado de Garatías 4ta, informa que el imputado ha recuperado su libertad en fecha 16/02/2024</t>
  </si>
  <si>
    <t>el imputado se encuentra en libertad</t>
  </si>
  <si>
    <t>el Juzgado de origen declaró la incompetencia territorial</t>
  </si>
  <si>
    <t>186091/24</t>
  </si>
  <si>
    <t>MARQUEZ, HECTOR ROLANDO POR ROBO CALIFICADO POR LA PARTICIPACIÓN DE UN MENOR en perjuciocio --- con exp acumulado GAR 188651/24 y Legajo de Investigación Original</t>
  </si>
  <si>
    <t>VILTE, OSCAR ALFREDO POR TENENCIA DE ESTUPEFACIENTES CON FINES DE COMERCIALIZACIÓN</t>
  </si>
  <si>
    <t>se le ha otorgado la libertad en fecha 22/02/2024</t>
  </si>
  <si>
    <t>188940/24</t>
  </si>
  <si>
    <t xml:space="preserve">CORO, OSCAR ALEJANDRO POR EL DELITO DE DESOBEDIENCIA JUDICIAL, AMENAZAS Y COACCIÓN EN PERJUICIO DE </t>
  </si>
  <si>
    <t>188930/24</t>
  </si>
  <si>
    <t xml:space="preserve">CORDOBA, RAUL ALBERTO POR EL DELITO DE DESOBEDIENCIA JUDICIAL Y VIOLACION DE DOMICILIO EN CONCURSO REAL EN PERJUICIO DE </t>
  </si>
  <si>
    <t>188953/24</t>
  </si>
  <si>
    <t xml:space="preserve">PALACIOS, TAMARA ELIZABETH Y PABLO EXEQUIEL VERON POR EL DELIT ODE ROBO AGRAVADO POR EL USO DE ARMA EN PERJUICIO DE </t>
  </si>
  <si>
    <t>remite al juzgado de origen 19/02/2024---a la espera del informe psiquiatrico --- Audiencia suspendida hasta incorporar examenes mèdicos el expediente se encuentra en OFIJU</t>
  </si>
  <si>
    <t>se acepto pero el juzgado informó telefonicamente de la posible libertad --- EL JUZGADO DE ORIGEN REALIZÓ UN JUICIO ABREVIADO EN FEHCA 22/02/2024</t>
  </si>
  <si>
    <t>Juciio abreviado - 1 año y 6 meses efectiva</t>
  </si>
  <si>
    <t>Juicio abreviado - 5 meses efectiva</t>
  </si>
  <si>
    <t>Juicio abreviado - 2 mesese condicional</t>
  </si>
  <si>
    <t>Prisión preventiva - vic menor-- se remite a la mesa pupilar 07/02/2024 -- asesoria de menores 8</t>
  </si>
  <si>
    <t>Juicio abreviado 1 año y 6 meses efectiva</t>
  </si>
  <si>
    <t>Juicio abreviado - 2 meses efectiva para Arroyo y 1 mese efectiva para Orquera</t>
  </si>
  <si>
    <t>Juicioa abreviado - 1 año y 4 meses efectiva, 6 meses efectiva para Veleizan</t>
  </si>
  <si>
    <t>Revision de preventiva - En fecha 23/02 se otorgo la libertad al imputado en el juzgado de Origen</t>
  </si>
  <si>
    <t xml:space="preserve">VIRTUAL CON VICTIMA - BURGOS, FRANCISCO TENTATIVA DE HOMICIDIO AGRAVADO POR ALEVOSIA EN PERJUICIO DE JAIRO IVAN CABANA </t>
  </si>
  <si>
    <t>Dr. Ricardo Espinosa Nº 7003</t>
  </si>
  <si>
    <t>188888/24</t>
  </si>
  <si>
    <t>VILTE, OSCAR ALFREDO POR EL DELITO DE ROBO CALIFICADO POR SER COMETIDO CON EL USO DE ARMA DE FUEGO Y EN POBLADO Y EN BANDA EN PERJUICIO DE LA SRA. SORIA TERESA MILAGRO --- c/ expediente acumulado GAR 188884/24</t>
  </si>
  <si>
    <t>188946/24</t>
  </si>
  <si>
    <t>NINA, PABLO EMANUEL POR EL DELITO LESIONES LEVES AGRAVADAS POR LA RELACIÓN DE PAREJA PREEXISTENTE Y POR MEDIAR VIOLENCIA DE GENERO EN PERJUICIO DE IBAÑEZ, GISELA ABIGAIL</t>
  </si>
  <si>
    <t>El juzgado declaro la incompetencia territorial - remitida a la provincia de Jujuy</t>
  </si>
  <si>
    <t>188955/24</t>
  </si>
  <si>
    <t xml:space="preserve">KALUZA, PABLO NICOLAS POR EL DELITO DE DESOBEDIENCIA JUDICIAL, LESIONES LEVES AGRAVADAS POR LA RELACION DE PAREJA Y EL GÉNERO </t>
  </si>
  <si>
    <r>
      <rPr>
        <sz val="10"/>
        <color rgb="FFFF0000"/>
        <rFont val="Arial"/>
        <family val="2"/>
      </rPr>
      <t xml:space="preserve">Virtual con aux. fiscal Dra. Saravia--- </t>
    </r>
    <r>
      <rPr>
        <sz val="10"/>
        <rFont val="Arial"/>
        <family val="2"/>
      </rPr>
      <t>CORREA, CRISTIAN JESUS POR ROBO SIMPLE; EN PERJUICIO DE PLAZA, JOSE MIGUEL - A.P. 60/24, COM. 4 (EX 19) - FISCAL DELEG. EL CARRIL</t>
    </r>
  </si>
  <si>
    <t>Suspendida por pedido del Dr. Maggio</t>
  </si>
  <si>
    <t>188939/24</t>
  </si>
  <si>
    <t>FABIAN CARLOS LEONARDO POR LESIONES LEVES, AMENAZAS EN PERJUICIO DE FABIAN, MARÍA EUGENIA</t>
  </si>
  <si>
    <t>188941/24</t>
  </si>
  <si>
    <t>GIMENEZ, EDUARDO FRANCISCO POR LESIONES CULPOSOS EN ACCIDENTE DE TRANSITO, HOMICIDIO CULPOSO EN PERJUICIO DE VERA MURGUIA GLORIA ELSA Y TEDIN</t>
  </si>
  <si>
    <t>NAVARRO, JOSE DAVID POR ROBO CALIFICADO POR EFRACCION EN PERJUIDIO DE CHIRI CAYO, GLADYS ANGELICA</t>
  </si>
  <si>
    <t>188960/24</t>
  </si>
  <si>
    <t>189093/24</t>
  </si>
  <si>
    <t xml:space="preserve">TOLABA, PEDRO ISAIAS EMANUEL POR EL DELITO DE ROBO SIMPLE </t>
  </si>
  <si>
    <t>ingreso la solicitud de PP el día 26/02/24 y el juzgado de origen le otorgo la libertad el día 26/02/2024</t>
  </si>
  <si>
    <t>ingreso la solicitud de PP el día 23/02/24 y el juzgado de origen le otorgo la libertad el día 21/02/2024</t>
  </si>
  <si>
    <t>PEREYRA, LUCIANO FEDERICO POR LESIONES LEVES, HURTO SIMPLE EN GRADO DE TENTATIVA Y AMENAZAS EN PERJUICIO DE SALVA, MARIA</t>
  </si>
  <si>
    <t>Juciio abreviado - 6 meses condicional</t>
  </si>
  <si>
    <t>Juicio abreviado - Sobreseimiento para Plaza y 2 meses efectiva para Diaz</t>
  </si>
  <si>
    <t xml:space="preserve">Juicio abreviado - 7 meses efectiva </t>
  </si>
  <si>
    <t>C/ ACTUACIONES VARIAS - Rechazo revisión preventiva</t>
  </si>
  <si>
    <t>Libertad con sustitutivas para ambos imputados</t>
  </si>
  <si>
    <t>Suspendida por cambio e defensa en audiencia - Asesoria 9 --- Victima menor --- vista a la mesa pupilar 08/02/2024</t>
  </si>
  <si>
    <t>Arresto domiciliario para todos los imputados - Dr. Arnedo x Cruz, Luis; Dra. Cocha x Naranjo, Diego --- Dr. Palmier y Vakdez Aguilar como querellante</t>
  </si>
  <si>
    <t>Suspendida por imposibilidad de notificar a la asesoria de incapaces interviniente - DIFERER EL PEDIDO DE PREVENTIVA HASTA LA REALIZACION DE JUNTA MEDICA PSIQUIATRICA AL IMPUTADO A REALIZARSE X TRES PROFESIONALES  Y PEDIDO DE INTERVENCIÓN A LA ASESORA DE INCAPACES EN FERIA Defensor en Feria Dr. Nicolas Anuch</t>
  </si>
  <si>
    <t>Jucio abreviado - 1 mes efectiva</t>
  </si>
  <si>
    <t>Reprogramda del ai 16/02 - Juicio abreviado 2 meses efectiva</t>
  </si>
  <si>
    <r>
      <t xml:space="preserve">Juicio abreviado - 3 años condicional - INCAPACES Nº 4 - EN FECHA 30/01 SE REMITE A mesa pupilar --- asesoria 10 --- </t>
    </r>
    <r>
      <rPr>
        <sz val="10"/>
        <color rgb="FFFF0000"/>
        <rFont val="Arial"/>
        <family val="2"/>
      </rPr>
      <t xml:space="preserve">reprogramada en el 16/02/2024 </t>
    </r>
  </si>
  <si>
    <t>Prisión preventiva - vic menor --- Asesoria 7 - se remite a mesa pupilar 15/02/2024</t>
  </si>
  <si>
    <t>Juicio abreviado - 4 años efectiva unificando a 4 añs y 4 meses modalidad UADME</t>
  </si>
  <si>
    <r>
      <t xml:space="preserve">Juicio abreviado - 4 años efectiva - </t>
    </r>
    <r>
      <rPr>
        <sz val="10"/>
        <color rgb="FFFF0000"/>
        <rFont val="Arial"/>
        <family val="2"/>
      </rPr>
      <t>c/ abreviado inicial ---</t>
    </r>
    <r>
      <rPr>
        <sz val="10"/>
        <rFont val="Arial"/>
        <family val="2"/>
      </rPr>
      <t>DOP 15 y Dr. D'andrea, Martin - Suspendida y reprogramada del dia 19/02</t>
    </r>
  </si>
  <si>
    <t>Juicio abreviado - 2 años y 6 meses efectiva</t>
  </si>
  <si>
    <t>189032/24</t>
  </si>
  <si>
    <t>GARCIA ANALIA POR AMENAZAS Y DESOBENDIENCIA JUDICIAL (A.P. Nº. 71/23 DE LA SUBCRIA LOS ALAMOS DUR-11)</t>
  </si>
  <si>
    <t>la fiscalía pide la libertad el día 27/02/2024</t>
  </si>
  <si>
    <t>Dr. Orfeo Maggio  - Juicio abreviado - 4 años efectiva para Rodriguez y 3 años condicional para Panelo</t>
  </si>
  <si>
    <t>Suspendida el 26/2 por cambio e defensa en audiencia - Asesoria 9 --- Victima menor --- vista a la mesa pupilar 08/02/2024</t>
  </si>
  <si>
    <t>188910/24</t>
  </si>
  <si>
    <t xml:space="preserve">ACOSTA ESQUIVEL MILTON IGNACIO POR LESIONES LEVES, DESOBEDIENCIA JUDICIAL EN PERJUICIO DE FERNANDEZ, SELENA BETZABET DEL MILAGRO- </t>
  </si>
  <si>
    <t>188945/24</t>
  </si>
  <si>
    <t>189034/24</t>
  </si>
  <si>
    <t>ALEJO, JUAN DANIEL POR HURTO SIMPLE Y VASQUEZ, MAURICIO NAHUEL POR HURT SIMPLE - DOS HECHOS Y ROBO SIMPLE EN CONCURSO REAL EN PERJUICIO DE MANUEL CORNEJO, LOPOLDO RUBEN VEGA Y MARGARITA VIVEROS</t>
  </si>
  <si>
    <t>Requerimientos ingresados promedios x quincena</t>
  </si>
  <si>
    <t>TOTAL AUDIENCIAS REALIZADAS</t>
  </si>
  <si>
    <t>Fecha ingreso a plan piloto</t>
  </si>
  <si>
    <t>Procentaje</t>
  </si>
  <si>
    <t>189046/24</t>
  </si>
  <si>
    <t xml:space="preserve">CORTEZ, GASTÓN SANTIAGO POR EL DELITO DE DESOBEDIENCIA JUDICIAL, LESIONES LEVES AGRAVADDAS POR EL VINCULO Y PRIVACIÓN ILEGITIMA DE LA LIBERTAD AGRAVADA </t>
  </si>
  <si>
    <t>189130/24</t>
  </si>
  <si>
    <r>
      <rPr>
        <sz val="10"/>
        <color rgb="FFFF0000"/>
        <rFont val="Arial"/>
        <family val="2"/>
      </rPr>
      <t xml:space="preserve">virtual fiscal --- </t>
    </r>
    <r>
      <rPr>
        <sz val="10"/>
        <rFont val="Arial"/>
        <family val="2"/>
      </rPr>
      <t>RODRIGUEZ, HORACIO HERNAN Y LIENDRO, GONZALO NAHUEL por hurto simple y robo</t>
    </r>
  </si>
  <si>
    <t>188938/24</t>
  </si>
  <si>
    <t>LUNA. KEVIN GASTÓN Y GARECA, SERGIO EXEQUIEL POR EL DELITO DE ROBO SIMPLE EN GRADO DE TENTATIVA EN PERJUICIO DE AGUAS DEL NORTE</t>
  </si>
  <si>
    <r>
      <rPr>
        <sz val="10"/>
        <color rgb="FFFF0000"/>
        <rFont val="Arial"/>
        <family val="2"/>
      </rPr>
      <t>Virtual con victimas</t>
    </r>
    <r>
      <rPr>
        <sz val="10"/>
        <rFont val="Arial"/>
        <family val="2"/>
      </rPr>
      <t xml:space="preserve"> - ANGELO, CESAR DANIEL POR LESIONES CULPOSAS AGRAVADAS, DAÑOS AGRAVADO Y RESISTENCIA A LA AUTORIDAD </t>
    </r>
  </si>
  <si>
    <t>Preventiva por 45 dias</t>
  </si>
  <si>
    <t>189029/24</t>
  </si>
  <si>
    <t>189126/24</t>
  </si>
  <si>
    <t>QUIROGA, RAMON ESTEBAN POR ROBO CALIFICADO ( A.P. Nº 827/24 DE SUB - COMISARIA 2DA).-</t>
  </si>
  <si>
    <t>Prisión Preventiva por 15 días (vence el 12 de marzo)</t>
  </si>
  <si>
    <t>189097/24</t>
  </si>
  <si>
    <t>CRUZ, NAHUEL POR ROBO CON ARMAS EN GRADO DE TENTATIVA</t>
  </si>
  <si>
    <t>DEL CARLO</t>
  </si>
  <si>
    <t>ZABALA, EMANUEL - ESCALADA, JUAN POR ROBO CALIFICADO (</t>
  </si>
  <si>
    <t>189167/24</t>
  </si>
  <si>
    <r>
      <rPr>
        <sz val="10"/>
        <color rgb="FFFF0000"/>
        <rFont val="Arial"/>
        <family val="2"/>
      </rPr>
      <t>fiscalía virutal Dr. Costello---</t>
    </r>
    <r>
      <rPr>
        <sz val="10"/>
        <rFont val="Arial"/>
        <family val="2"/>
      </rPr>
      <t>FERNANDEZ SALAZAR, EXEQUIEL ROLANDO Y MORALES, MARTA LILIANA POR TENENCIA DE ESTUPEFACIENTES CON FINES COMERCIALIZACION; EN PERJUICIO DE SALUD PUBLICA - A.P. 297/23 Y 347/23, G.D. 5A - FISCAL UFINAR -</t>
    </r>
  </si>
  <si>
    <t xml:space="preserve">JUI 5 </t>
  </si>
  <si>
    <t>Virtual con FiscaliaRAMIREZ, MICHEL SAMUEL Y ORTIZ, ROSARIO ANABEL POR ROBO SIMPLE; EN PERJUICIO DE TORRES, LUCIA ELIZABETH - A.P. 01/24, G.I.S. 3 - FISCAL 6 - SOLICITA ALLANAMIENTO Y SECUESTRO</t>
  </si>
  <si>
    <t>Abreviado - 8 meses efectiva unificando a 1 año y 2 meses efectiva</t>
  </si>
  <si>
    <t>Abreviado - 4 años efectiva</t>
  </si>
  <si>
    <t>Abreviado - 3 años condicional - Asesoria 1 --- vic retraso maduratuivo --- vista a la mesa pupilar en fecha 14/02/2024</t>
  </si>
  <si>
    <r>
      <t xml:space="preserve">Suspendida por falta de comparendo a menores - </t>
    </r>
    <r>
      <rPr>
        <b/>
        <sz val="10"/>
        <color rgb="FFFF0000"/>
        <rFont val="Arial"/>
        <family val="2"/>
      </rPr>
      <t xml:space="preserve"> Asesorias 2, 4 y 5 por los Imputados Menores-- </t>
    </r>
    <r>
      <rPr>
        <sz val="10"/>
        <rFont val="Arial"/>
        <family val="2"/>
      </rPr>
      <t>se remite a la mesa pupilar 08/02/2024 -- con actuaciones complementarias. Dr. Ricardo Poclava por Sarapura, Mario Guillermo y DOP 2</t>
    </r>
  </si>
  <si>
    <t>Vic. fiscalía del estado - Libertad con sustitutivas</t>
  </si>
  <si>
    <r>
      <t>Juicio abreviado 1 año y 6 meses condiciona</t>
    </r>
    <r>
      <rPr>
        <b/>
        <sz val="10"/>
        <color rgb="FFFF0000"/>
        <rFont val="Arial"/>
        <family val="2"/>
      </rPr>
      <t xml:space="preserve">l - CON SOLICITUD DE JUICIO ABREVIADO </t>
    </r>
    <r>
      <rPr>
        <sz val="10"/>
        <rFont val="Arial"/>
        <family val="2"/>
      </rPr>
      <t xml:space="preserve">Vic menor ---Asesora 9 - Dra. Bustos - vista a la mesa pupilar en fecha 15/02/2024 --- </t>
    </r>
  </si>
  <si>
    <t>Mantenimiento de preventiva - Dr. Escudero Marcelo MP 1466 - Actor civil y Querellante</t>
  </si>
  <si>
    <t xml:space="preserve">Prision preventiva por 20 dias </t>
  </si>
  <si>
    <t xml:space="preserve">Abreviado 6 meses efectiva - asesoria 8 ---Victima menor --- vista a la mesa pupilar 08/02/2024 </t>
  </si>
  <si>
    <t>FARFAN, SEBASTIAN FERNANDO POR EL DELITO ABUSO SEXUAL GRAVEMENTE ULTRAJANTE AGRAVADO POR EL USO DE ARMA EN PERJUICIO DE VERONICA ELIZABETH SANCHEZ Y HURTO EN CONCURSO REAL</t>
  </si>
  <si>
    <t>187666/23</t>
  </si>
  <si>
    <t>VIC MENOR Asesor 9 - Suspendido por pedido de la Juez por temas personales</t>
  </si>
  <si>
    <t>Suspendida por Juez se pasa para el 4/03 a espera de verificacion de motocicleta secuestrada</t>
  </si>
  <si>
    <t>Arresto domiciliario - Asesoria 10 --- VIC. MENOR -- vista a mesa pupilar 14/02/2024</t>
  </si>
  <si>
    <t>Suspendida por ausencia de la DOP 2</t>
  </si>
  <si>
    <t>Juciio abreviado - 1 año efectiva para Aguirre unificando a pena de 1 año y 6 meses, 4 meses efectiva villavicencio unificando a 1 año y 4 meses efectiva y 8 meses condicional para Aguirre Carlos</t>
  </si>
  <si>
    <t>Suspendida por incomparencia del defensor particular Dr. Magno - Dr. Federico Ruiz Matei por Guaymás Ruben Antonio; Dr. Ricardo Poclava por José Luis Alarcón;  Dra. Sandra Liliana Monje de Nsser por María Indes Méndez; Dr. Estrada Arnaldo por Patricia Flores; Dr. Riardo Poclava por Raul Arjona; Dr. Maria Florencia Maggio por Chaju, Yanina; Dr. Adriana Soria por Francisco Bisceglia; Dr. Martín Gimenez MP 6490 por Marcos Bucotich García; Dra. Adriana Soria por Luis Roberto Castaño; Dr. Gimenez Martín MP 6490 por JOsue Joel Valencia; DOP Nº 10 por Silavana Avendaño; Dra. Marina Bouhid por Nicole Luna; Dr. Poclava por Sergio Moya</t>
  </si>
  <si>
    <t>Prision preventiva - Qte. Dr. Vedia, Nicolás - CUARTO INT DEL 29-12 AL 01-03</t>
  </si>
  <si>
    <t>JUICIO abreviado - 3 años condicional - VIC MENOR--- Asesoria Nº2 -  SE REMITE A LA MESA PUPILAR EN FECHA 14/02/2024</t>
  </si>
  <si>
    <t>Juciio abreviado - 5 años efectiva para Fernandez, 2 años y 8 meses condicional para Morales</t>
  </si>
  <si>
    <r>
      <t xml:space="preserve">Prorrogar de la detención 390 </t>
    </r>
    <r>
      <rPr>
        <sz val="10"/>
        <rFont val="Arial"/>
        <family val="2"/>
      </rPr>
      <t xml:space="preserve"> Abreviado 8 meses condicional</t>
    </r>
  </si>
  <si>
    <t>Jucio abreviado 8 meses condicional - se adelanta de hs. 13 a hs. 09 por pedido de las partes</t>
  </si>
  <si>
    <t>Prorroga de la audiencia a 5 dias por disposicion de la Jueza</t>
  </si>
  <si>
    <t>Juicio abreviado - 1 mes efectiva unificando a 2 años y 1 mes</t>
  </si>
  <si>
    <t>PP es para Ludueña laxi - Abreviado - 2 años y 8 meses</t>
  </si>
  <si>
    <r>
      <t xml:space="preserve">Suspendida por pedido de las partes - c/ exp acumulados GAR 186968/23, gar 186927/23 e incidente de Actoria  Civil y Querellante a cargo del Dr. Dra. Paz Krylov </t>
    </r>
    <r>
      <rPr>
        <sz val="10"/>
        <color rgb="FFFF0000"/>
        <rFont val="Arial"/>
        <family val="2"/>
      </rPr>
      <t xml:space="preserve">--- SE REMITE AL JUZGADO QUE DICTO LA MEDIDA PRIMERAMENTE -- GAR 1 --- </t>
    </r>
  </si>
  <si>
    <t>189062/24</t>
  </si>
  <si>
    <t xml:space="preserve">ESTRADA, DAMARIS ALEXIA POR DAÑOS, AMENAZAS, ROBO </t>
  </si>
  <si>
    <t>189094/24</t>
  </si>
  <si>
    <t>ALBIS, JONATHAN WILFREDO POR HURTO DOBLEMENTE CALIFICADO POR HACER USO DE LLAVE SIMILAR Y TRATARSE DE VEHICULO DEJADO EN LA VÍA PÚBLICA, RETENCION INDEBIDA ( A.P. Nº 413/24 Y A.P. Nº 414/24 DE SUB - COMISARIA DE LOLA MIORA).-</t>
  </si>
  <si>
    <t>189054/24</t>
  </si>
  <si>
    <t>RUIZ, HECTOR CEFERINO POR ABUSO SEXUAL CON ACCESO CARNAL EN PERJUICIO DE GONZALEZ, MARCELA INÉS</t>
  </si>
  <si>
    <t>189199/24</t>
  </si>
  <si>
    <t>CAUCOTA PUCA, FACUNDO POR ABUSO SEXUAL CON ACCESO CARNAL CONTINUADO AGRAVADO POR LA CONVIVENCIA</t>
  </si>
  <si>
    <t>176716/22</t>
  </si>
  <si>
    <t>PEREZ VALDEZ, OCTAVIO POR ROBO SIMPLE; EN PERJUICIO DE AHUMADA, GRISELDA PATRICIA</t>
  </si>
  <si>
    <t>188819/24</t>
  </si>
  <si>
    <t>FERNANDEZ, MIGUEL ANGEL POR EL DELITO DE PRIVACION ILEGITIMA DE LA LIBERTAD AGRAVADA, COACCION CON ARMA, AMENAZAS DOS HECHOS Y LESIONES LEVES AGRAVADAS POR LA RELACION DE PAREJA EN CONCURSO REAL</t>
  </si>
  <si>
    <t>PACHECO RAFAEL GERONIMO Y CECILIA MERCEDES GUTIERREZ POR TENENCIA DE ESTUPEFACIENTES CON FINES DE COMERCIALIZACIÓN EN PERJUICIO DE LA SALUD PUBLICA</t>
  </si>
  <si>
    <t>189204/24</t>
  </si>
  <si>
    <t>189064/24</t>
  </si>
  <si>
    <t>189284/24</t>
  </si>
  <si>
    <t xml:space="preserve">LERA, PABLO EZEQUIEL POR HOMICIDIO SIMPLE </t>
  </si>
  <si>
    <t>185952/23</t>
  </si>
  <si>
    <t xml:space="preserve">MAMANI, MATIAS ULICES Y CALIVA, ROMINA MACARENA POR EL DELITO DE TENENCIA DE ESTUPEFACIENTES CON FINES DE COMERCIALIZACIÓN EN PERJUICIO DE LA SALUD PUBLICA </t>
  </si>
  <si>
    <t>188961/24</t>
  </si>
  <si>
    <t xml:space="preserve">CORIA, ELIO DOMINGUEZ POR EL DELITO DE HURTO SIMPLE EN GRADO DE TENTATIVA EN PERJUICIO DE </t>
  </si>
  <si>
    <t>Juicio abreviado - 2 meses efectiva para Garcia unificando a 3 meses efectiva y Sobreceimiento para Cejas</t>
  </si>
  <si>
    <t>Vic menor -Asesoria Nº 3 -  vista a la mesa pupilar en fecha 15/02/2024 - Prisión preventiva</t>
  </si>
  <si>
    <t xml:space="preserve">C/ informe de cambio de fiscalía - Juicio abreviado años condicional </t>
  </si>
  <si>
    <r>
      <rPr>
        <b/>
        <sz val="10"/>
        <color rgb="FFFF0000"/>
        <rFont val="Arial"/>
        <family val="2"/>
      </rPr>
      <t xml:space="preserve">Con solicitud de JUICIO ABREVIADO CONDICIONAL </t>
    </r>
    <r>
      <rPr>
        <sz val="10"/>
        <rFont val="Arial"/>
        <family val="2"/>
      </rPr>
      <t>Qte. Y Actor Civil Dr. Cisnero, Facundo Nicolás   - Libertad con sustitutivas</t>
    </r>
  </si>
  <si>
    <t>Juciio abreviado 1 mes efectiva</t>
  </si>
  <si>
    <t>Asesoria 2 -- vic menor -- se remite a la mesa pupilar en fecha 23/02/24 - Prisión preventiva188686</t>
  </si>
  <si>
    <r>
      <rPr>
        <sz val="10"/>
        <color rgb="FFFF0000"/>
        <rFont val="Arial"/>
        <family val="2"/>
      </rPr>
      <t>Virtual con Fiscalia</t>
    </r>
    <r>
      <rPr>
        <sz val="10"/>
        <rFont val="Arial"/>
        <family val="2"/>
      </rPr>
      <t xml:space="preserve"> - CONDORI, OSCAR NELSON POR LESIONES, DAÑOS, DESOBEDIENCIA JUDICIAL Y AMENAZAS (A.P. Nº 154/24 DE LA CRIA 5 LA MERCED DUR, ANDRES ALFREDO POR ROBO </t>
    </r>
  </si>
  <si>
    <t>LUNA, RODRIGO SAMUEL POR AMENAZAS CON ARMAS, DESOBEDIENCIA JUDICIAL, ROBO SIMPLE EN PERJUICIO DE LUNA, ADELMA BEATRIZ</t>
  </si>
  <si>
    <t>189333/24</t>
  </si>
  <si>
    <t xml:space="preserve">ALDERETE, MIGUEL ANGEL POR ROBO SIMPLE; CHAPARRO, JUAN IGNACIO POR ROBO SIMPLE EN PERJUICIO DE ARNEZ MALDONADO, BRISA AGUSTINA </t>
  </si>
  <si>
    <t>189340/24</t>
  </si>
  <si>
    <t>189306/24</t>
  </si>
  <si>
    <t>LLANES, HECTOR ARNALDO POR ROBO SIMPLE EN PERJUICIO DE ROJAS GLADYS BEATRIZ (A.P. 547/24 DE SUB-CRIA. CAMPO CASTAÑARES)</t>
  </si>
  <si>
    <t>189207/24</t>
  </si>
  <si>
    <t>RUEDA, HUMBERTO NICOLAS; ROJAS, DAMIAN EZEQUIEL POR EL DELITO DE HURTO SIMPLE</t>
  </si>
  <si>
    <t>Suspendida para resolverse en audiencia del 07/03 en Causa 161782</t>
  </si>
  <si>
    <t>Se va a resolver en audiencia del 07/03 en causa 161782/19</t>
  </si>
  <si>
    <t>Dr. Cisnero se presenta como Querellante y Actor Civil - Arresto domiciliario</t>
  </si>
  <si>
    <t>Suspensión de juicio a prueba - DOP Nº 2 por Rivera. c/ solicitud de suspensión de proceso a pruebas para Flores</t>
  </si>
  <si>
    <t>Suspendida por inimputabilidad del acusado</t>
  </si>
  <si>
    <t>Juicio abreviado - 1 año condicional - Revisiòn a espera de junta medica --- pedir con antelación</t>
  </si>
  <si>
    <t>Juicio abreviado - 2 meses efectiva para Condorí y sobreseimiento para Gudiño</t>
  </si>
  <si>
    <t>Juciio abreviado - 3 meses efectiva</t>
  </si>
  <si>
    <t>Prisión preventiva por 15 dias para Bonifacio y Guzman y Libertad condicional para Altamirano</t>
  </si>
  <si>
    <t>Prisión preventiva - Qte. Dr. Sosa, Alberto Raymundo</t>
  </si>
  <si>
    <t xml:space="preserve">Atraso: Problemas con orion </t>
  </si>
  <si>
    <t>SOSA NELSON FACUNDO POR ROBO DOBLEMENTE CALIFICADO POR SER EN POBLADO Y BANDA Y USO DE ARMA.</t>
  </si>
  <si>
    <t>virtual fiscal --- RODRIGUEZ, HORACIO HERNAN Y LIENDRO, GONZALO NAHUEL por hurto simple y robo</t>
  </si>
  <si>
    <t>189342/24</t>
  </si>
  <si>
    <t xml:space="preserve">LAMAS, CRISTIAN DAMIAN POR LESIONES LEVES, PRIVACION ILEGITIMA DE LA LIBERTAD EN PERJUICIO DE ZEGARRA CHOQUE, MARIO ALFREDO </t>
  </si>
  <si>
    <t xml:space="preserve">ARANCIBIA CHAILE, JORGE DANIEL POR ABUSO SEXUAL CON ACCESO CARNAL </t>
  </si>
  <si>
    <t>189331/24</t>
  </si>
  <si>
    <t>189312/24</t>
  </si>
  <si>
    <t xml:space="preserve">SUICA, JORGE ALEJANDRO POR EL DELITO DE HURTO SIMPLE EN GRADO DE TENTATIVA </t>
  </si>
  <si>
    <t xml:space="preserve"> 08.23</t>
  </si>
  <si>
    <t>189197/24</t>
  </si>
  <si>
    <t xml:space="preserve">LOPEZ, WALTER MAXIMILIANO POR EL DELITO DE ROBO EN GRADO DE TENTATIVA Y HURTO CON ESCALAMIENTO EN PERJUICIO DE </t>
  </si>
  <si>
    <r>
      <rPr>
        <sz val="10"/>
        <color rgb="FFFF0000"/>
        <rFont val="Arial"/>
        <family val="2"/>
      </rPr>
      <t xml:space="preserve">Virtual fiscal --- </t>
    </r>
    <r>
      <rPr>
        <sz val="10"/>
        <rFont val="Arial"/>
        <family val="2"/>
      </rPr>
      <t xml:space="preserve">COLQUE, JESUS ALBERTO POR ROBO CON ESCALAMIENTO EN PERJUICIO DE </t>
    </r>
  </si>
  <si>
    <r>
      <rPr>
        <sz val="10"/>
        <color rgb="FFFF0000"/>
        <rFont val="Arial"/>
        <family val="2"/>
      </rPr>
      <t xml:space="preserve">Virtual fiscal -- </t>
    </r>
    <r>
      <rPr>
        <sz val="10"/>
        <rFont val="Arial"/>
        <family val="2"/>
      </rPr>
      <t>FRIAS, DANIEL FERNANDO POR EL DELITO DE HURTO Y DESOBEDIENCIA JUDICIAL EN PERJUICIO DE ALICIA GRACIELA LIENDRO Y DAÑOS, AMENAZAS Y RESISTENCIA A LA AUTORIDAD</t>
    </r>
  </si>
  <si>
    <t>MAURIN, JESUS NICOLAS - ORTUÑO FLORES, LAUTARO CATRIL - ORTUÑO FLORES, GUSTAVO GASTON POR ROBO DOBLEMENTE CALIFICADO POR SER CON ESCALAMIENTO Y EN POBLADO Y EN BANDA</t>
  </si>
  <si>
    <t>189051/24</t>
  </si>
  <si>
    <t>189209/24</t>
  </si>
  <si>
    <t>CRUZ, EMANUEL LEONEL POR EL DEITO DE LESIONES LEVES AGRAVADAS POR LA RELACIÓN DE PAREJA PREEXISTENTE Y CONSTITUIR VIOLENCIA DE GÉNERO, AMENAZAS (CUATRO HECHOS) Y VIOLACION DE DOMICILIO EN CONCURSO REAL EN PERJUICIO DE MARCELA SONIA ELIZABETH NAVARRO Y AMENAZAS - DOS HECHOS EN PERJUICIO DE ALVARO LUCIANO JOAQUIN VEGA</t>
  </si>
  <si>
    <t>189127/24</t>
  </si>
  <si>
    <t xml:space="preserve">GUERRA, MAXIMILIANO POR LESIONES - DOS HECHOS- EN PERJUICIO DE GOMEZ. EZEQUIEL LEONEL </t>
  </si>
  <si>
    <t>189338/24</t>
  </si>
  <si>
    <t>DAVID RICARDO LOPEZ, ERIKA DEL VALLE HERRERA, JUAN LUIS FACUNDO ARAMAYO ORTEGA, JONATHAN NOEL CHAPARRO, GABRIEL ALEJANDRO RAMOS y JOSÉ ARMANDO MALDONADO POR COMERCIALIZACIÓN DE ESTUPEFACIENTES AGRAVADA POR LA PARTICIPACIÓN DE TRES O MAS PERSONAS</t>
  </si>
  <si>
    <t>MORALES, DARIO SEBASTIAN  POR GROOMING</t>
  </si>
  <si>
    <t xml:space="preserve">RIVERO, FACUNDO GABRIEL POR EL DELITO DE ABUSO SEXUAL CON ACCESO CARNAL EN PERJUICIO DE </t>
  </si>
  <si>
    <t>Dr. Guillero Lizarraga MP 372</t>
  </si>
  <si>
    <r>
      <rPr>
        <sz val="10"/>
        <color rgb="FFFF0000"/>
        <rFont val="Arial"/>
        <family val="2"/>
      </rPr>
      <t>Virtual victima en Fiscalia</t>
    </r>
    <r>
      <rPr>
        <sz val="10"/>
        <rFont val="Arial"/>
        <family val="2"/>
      </rPr>
      <t xml:space="preserve"> - REYES, ROBERTO OSCAR POR ABUSO SEXUAL CON ACCESO CARNAL AGRAVADO Y ABUSO SEXUAL SIMPLE AGRAVADO POR LA CONVIVENCIA EN CONCURSO REAL EN PERJUICIO DE LA MENOR L.P.R. AP Nº 109/24 DE LA CRIA 16 CAMPO SANTO</t>
    </r>
  </si>
  <si>
    <t>189143/24</t>
  </si>
  <si>
    <t>ROMERO, RAÚL ESTEBAN X ABUSO SEXUAL SIMPLE EN PERJUICIO DE M.J.R.</t>
  </si>
  <si>
    <t>189237/24</t>
  </si>
  <si>
    <t xml:space="preserve">JUAREZ, JOSE HORACIO POR EL DELITO DE HURTO CALIFICADO POR ESCALAMIENTO EN GRADO DE TENTATIVA </t>
  </si>
  <si>
    <t>189378/24</t>
  </si>
  <si>
    <t xml:space="preserve">CRUZ, JOSE ANTONIO POR AMENAZAS Y VIOLACIÓN DE DOMICILIO EN PERJUICIO DE ARICOMA ALDANA, LIDIA BALBINA </t>
  </si>
  <si>
    <t>189362/24</t>
  </si>
  <si>
    <t xml:space="preserve">SOSA, WILSON ENRIQUE POR PORTACION DE ARMA DE FUEGO EN PERJUICIO DE ORDEN PUBLICO </t>
  </si>
  <si>
    <t>189263/24</t>
  </si>
  <si>
    <t>189337/24</t>
  </si>
  <si>
    <t>LAMAS. ISAIAS ISMAEL POR EL DELITO DE ROBO CALIFICADO POR EL USO DE ARMA EN PERJUICIO DE VELEIZAN, RICARDO ALEJANDRO</t>
  </si>
  <si>
    <r>
      <rPr>
        <sz val="10"/>
        <color rgb="FFFF0000"/>
        <rFont val="Arial"/>
        <family val="2"/>
      </rPr>
      <t xml:space="preserve">Vic. En güemes --- </t>
    </r>
    <r>
      <rPr>
        <sz val="10"/>
        <rFont val="Arial"/>
        <family val="2"/>
      </rPr>
      <t>CHAPARRO, LUIS FERNANDO POR EL DELITO DE RESISTENCIA A LA AUTORIDAD, ROBO CALIFICADO POR ESCALAMIENTO Y HURTO CALIFICADO DE VEHICULO DEJADO EN LA VÍA PÚBLICA EN CONCURSO REAL</t>
    </r>
  </si>
  <si>
    <t>Jui 3</t>
  </si>
  <si>
    <t>189372/24</t>
  </si>
  <si>
    <t>SANCHEZ DIAZ, MARCELO SAMUEL POR ROBO SIMPLE, DAÑOS EN PERJUICIO DE DIAZ, ANA JESUS</t>
  </si>
  <si>
    <t>Suspendida por incomparencia de la defensoria 4 - Dr. Clark</t>
  </si>
  <si>
    <t>189055/24</t>
  </si>
  <si>
    <t>TORRES NIEVA, ALAN GABRIEL - OCAÑA DAVALOS, MARCOS EXEQUIEL Y PUNTANO, NAHUEL SAMUEL POR TENTATIVA DE HURTO; EN PERJUICIO DE CESPEDES, GERARDO -</t>
  </si>
  <si>
    <t>189105/24</t>
  </si>
  <si>
    <t>BURGOS, RICARDO LEONEL Y BURGOS, NAHUEL ENZO RICARDO POR TENENCIA DE ESTUPEFACIENTES CON FINES DE COMERCIALIZAICÓN EN PERJUICIO DE LA SALUD PUBLICA</t>
  </si>
  <si>
    <t>189080/24</t>
  </si>
  <si>
    <t>MAMANI CERON, ENZO LEON CRISTIAN  POR EL DELITO DE DESOBEDIENCIA JUDICIAL, AMENAZAS, COACCION , AMENAZAS Y DESOBEDIENCIA JUDICIAL EN CONCURSO REAL EN PERJUICIO DE ANDREA SILVANA CERON</t>
  </si>
  <si>
    <t>189128/24</t>
  </si>
  <si>
    <t xml:space="preserve">MARTINEZ, MATIAS LEONARDO POR EL DELITO DE ABUSO SEXUAL GRAVEMENTE ULTRAJANTE AGRAVAD POR LA CONVIVENCIA CON UN MENOR DE 18 AÑOS EN CONCURSO REAL CON ABUSO SEXUAL ACON ACCESO CARNAL AGRAVADO POR LA CONVIVENCIA CON ENOR DE 18 AÑOS EN PERJUICIO DE </t>
  </si>
  <si>
    <t>189158/24</t>
  </si>
  <si>
    <t xml:space="preserve">DIAZ, JUAN GABRIEL POR EL DELITO DE ROBO SIMPLE EN PERJUICIO DE </t>
  </si>
  <si>
    <t>Suspendida por cambio de defensa, escrito presentado el dia 08/03 a hs 08:00</t>
  </si>
  <si>
    <t>Suspendida por designación de defensor particular en eudiencia con Dr. Bonetto prisente - VIC MENOR --- asesoria 6</t>
  </si>
  <si>
    <r>
      <rPr>
        <sz val="10"/>
        <color rgb="FFFF0000"/>
        <rFont val="Arial"/>
        <family val="2"/>
      </rPr>
      <t>AUDIENCIA VIRTUAL CON FISCAL</t>
    </r>
    <r>
      <rPr>
        <sz val="10"/>
        <rFont val="Arial"/>
        <family val="2"/>
      </rPr>
      <t xml:space="preserve"> - RIOS DIEGO POR RESISTENCIA A LA AUTORIDAD AGRAVADA POR EL USO DE ARMA, AMENAZAS CON ARMA Y AMENAZAS EN CONCURSO REAL EN PERJUICIO DE LAPENE</t>
    </r>
  </si>
  <si>
    <r>
      <rPr>
        <sz val="10"/>
        <color rgb="FFFF0000"/>
        <rFont val="Arial"/>
        <family val="2"/>
      </rPr>
      <t xml:space="preserve">AUDIENCIA VIRTUAL CON FISCAL </t>
    </r>
    <r>
      <rPr>
        <sz val="10"/>
        <rFont val="Arial"/>
        <family val="2"/>
      </rPr>
      <t>- SALVA, LEONEL GONZALO POR DESOBEDIENCIA JUDICIAL ( A.P. Nº 732/24 DE COMISARIA DE SOLIDARIDAD).-</t>
    </r>
  </si>
  <si>
    <t>Suspendida Por pedido de medidas sutitutivas presentadas por la fiscalia en jzugado de origen, se devuelve el expediente a GAR 4</t>
  </si>
  <si>
    <r>
      <rPr>
        <sz val="10"/>
        <color rgb="FFFF0000"/>
        <rFont val="Arial"/>
        <family val="2"/>
      </rPr>
      <t>Virtual con victima en Gûemes</t>
    </r>
    <r>
      <rPr>
        <sz val="10"/>
        <rFont val="Arial"/>
        <family val="2"/>
      </rPr>
      <t xml:space="preserve"> - CASTILLO, SERGIO RAUL POR DESOBEDIENCIA JUDICIAL EN PERJUICIO DE ANAQUIN, DANIELA PAOLA (A.P. 369/24 DE COMISARIA NRO. 3 DUR-7)</t>
    </r>
  </si>
  <si>
    <t>189205/24</t>
  </si>
  <si>
    <t>MARTINEZ, EDGAR WILFREDO POR LESIONES LEVES (DOS HECHOS), AMENAZAS, AMENAZAS CON ARMA Y DAÑOS, TODO EN CONCURSO REAL (A.P. Nº 790/24 DE COMISARIA DE SOLIDARIDAD)</t>
  </si>
  <si>
    <t>189079/24</t>
  </si>
  <si>
    <t>189061/24</t>
  </si>
  <si>
    <t>ARIAS, MIGUEL ANGEL POR AMENAZAS, AGRESION CON ARMA AGRAVADA POR LA RELACION DE PAREJA Y GENERO Y ABUSO SEXUAL CON ACCESO CARNAL, TODO EN CONCURSO REAL (A.P. Nº 263/24 DE LA SUBCRIA AUTODROMO DUR-1)</t>
  </si>
  <si>
    <t>189103/24</t>
  </si>
  <si>
    <t>CHOCOBAR, ANALIA ABIGAIL POR TENENCIA DE ESTUPEFACIENTES CON FINES DE COMERCIALIZACIÓN  ( A.P. Nº 458/23 DE SINAR 5B).-</t>
  </si>
  <si>
    <t>Preventiva por 30 dias - c/ actuaciones varias</t>
  </si>
  <si>
    <t xml:space="preserve">Juicio abreviado - 3 años condicional </t>
  </si>
  <si>
    <t>Juicio abreviado - 2 meses efectiva - unificando a 10 meses</t>
  </si>
  <si>
    <t>Mantenimiento de preventiva - Revision de preventiva</t>
  </si>
  <si>
    <t>Libertad con sustitutitvas</t>
  </si>
  <si>
    <r>
      <t xml:space="preserve">Prorroga de la Detencion 390 </t>
    </r>
    <r>
      <rPr>
        <b/>
        <sz val="10"/>
        <rFont val="Arial"/>
        <family val="2"/>
      </rPr>
      <t>- Suspension de juicio a prueba</t>
    </r>
  </si>
  <si>
    <t>Abreviado - 2 meses efectiva - Prorroga de la audiencia a 5 dias por disposicion de la Jueza</t>
  </si>
  <si>
    <t>Abreviado - 2 meses condicional</t>
  </si>
  <si>
    <t>Preventiva - Asesoria 7 ---vic menor --- se remite a la mesa pupilar en fecha 15/02/2024</t>
  </si>
  <si>
    <t>Prisión preventiva - dop 2 y Dr. Diaz Zabalaga</t>
  </si>
  <si>
    <t>Abreviado - 3 años y 5 meses efectiva unificando a 5 años y 11 mesese efectiva</t>
  </si>
  <si>
    <t>Prision preventiva - Asesoría Nº 9 ---Vic. Menor - en vista a la mesa pupilar en fecha 21/02/2024 -- qte. Dr. Gorritti MP 5669</t>
  </si>
  <si>
    <t>Suspendida por ausencia del doctor Maggio - Reprogramada del 27/02/2024</t>
  </si>
  <si>
    <t>Se resuelven las causa 188912/24 y 188914/24 - Anreviado 8 meses efecvtiva para Ramoha y 8 meses condicional para Quinteros</t>
  </si>
  <si>
    <t>Prision preventiva - Dr. Ricardo Palmier</t>
  </si>
  <si>
    <t>Suspension de juicio a prueba - Dr. Salinas Leonardo co- defensor</t>
  </si>
  <si>
    <t>Anreviado - 8 meses efetiva - Imputado MENOR - se remite al mesa pupilar en fecha 22/02/2024  --- La Asesoria no tomará intervención en autos</t>
  </si>
  <si>
    <t xml:space="preserve">Asesoría de Menores 8 - Mantenimiento de preventiva </t>
  </si>
  <si>
    <t>Abreviado - 3 años condicional</t>
  </si>
  <si>
    <t>Juicio abreviado - condcional - preguntar a Arevalo - Reprogramada del dia 06/03 - Dr. Victor Esteban Alarcón por Quipildor y Castillo</t>
  </si>
  <si>
    <r>
      <t xml:space="preserve">Abreviado 8 meses efectiva - Asesoria Nº3 - imp menor, remisión a la mesa pupilar 23/02/2024 --- </t>
    </r>
    <r>
      <rPr>
        <sz val="10"/>
        <color rgb="FFFF0000"/>
        <rFont val="Arial"/>
        <family val="2"/>
      </rPr>
      <t xml:space="preserve">reprogramada del 07/03/2024 --- c/ fiscalía de menores Nº 1 y Defensoría de Menores Nº 2 Dr. Sánchez Alegre. </t>
    </r>
  </si>
  <si>
    <t>ANUCH</t>
  </si>
  <si>
    <t>GUIDO</t>
  </si>
  <si>
    <t>Arresto domiciliario - Asesoria 1 - Se devuelve al juzgado de Origen por pedido del juzgado atento a la revocación del arresto domiciliario por falta de recibimiento de parte d ela familia</t>
  </si>
  <si>
    <t>Dr. Rául Avila MP 7303</t>
  </si>
  <si>
    <t>189183/24</t>
  </si>
  <si>
    <t>MARTINEZ, NAHUEL POR ROBO EN GRADO DE TENTATIVA EN PERJUICIO DE TOCONAS, CARLOS RAMIRO</t>
  </si>
  <si>
    <t>Total real</t>
  </si>
  <si>
    <t>Suspendida por incomparencia del defensor oficial 4</t>
  </si>
  <si>
    <t>189096/24</t>
  </si>
  <si>
    <t>GUZMAN, PABLO SEBASTIAN POR DESOBEDIENCIA JUDICIAL, VIOLACION DE DOMICILIO ( A.P. Nº 195/24 DE COMISARIA 102).-</t>
  </si>
  <si>
    <t>GARCIA, LUCAS VICTOR POR ROBO SIMPLE EN PERJUICIO DE AROYO, FACUNDO DAVID</t>
  </si>
  <si>
    <t>189092/24</t>
  </si>
  <si>
    <t>DELGADO, GUILLERMO RODRIGO POR ROBO CALIFICADO POR EL USO DE ARMA EN GRADO DE TENTATIVA</t>
  </si>
  <si>
    <t>189182/24</t>
  </si>
  <si>
    <t xml:space="preserve">CATAN CAMPOS, CESAR EMMANUEL POR EL DELITO DE LESIONES Y ROBO EN PERJUICIO DE GONZALEZ, JUAN ESTEBAN </t>
  </si>
  <si>
    <t>GABRIS, MATIAS GONZALO POR ROBO AGRAVADO POR EL USO DE ARMA EN PERJUICIO DE ANTO, ANABEL ESTER ( A.P. Nº 613/24 DE COMISARIA 2 DUR 10).-</t>
  </si>
  <si>
    <t>189174/24</t>
  </si>
  <si>
    <t>189160/24</t>
  </si>
  <si>
    <t>REYES, HECTOR JAIRO - CRUZ, GRANDOL VIDAL POR HURTO Y ROBO ( A.P. Nº 924/24 Y A.P. Nº 1027/24 DE COMISARIA 1ERA).-</t>
  </si>
  <si>
    <t>189206/24</t>
  </si>
  <si>
    <t>Suspendida por pedido del Dr. Diaz Sabalaga</t>
  </si>
  <si>
    <t>No sortear a GAR 8</t>
  </si>
  <si>
    <t>Suspendid apor cambio de defensa en audiencia - Asesoria 7 -</t>
  </si>
  <si>
    <t>189083/24</t>
  </si>
  <si>
    <t>SUAREZ, MICHEL JESUS Y CHAVEZ HERRERA, JOSÉ MARÍA ENRIQUE POR HOMICIDIO CALIFICADO POR EL VINCULO Y CRIMINIS CAUSAE EN PERJUICIO DE ROBERTO GABRIEL SUAREZ Y CRIMINIS CAUSAE EN PERJUICIO DE NESTOR MART</t>
  </si>
  <si>
    <t>189243/24</t>
  </si>
  <si>
    <t>MARTINEZ OSAN, DANIEL ANGEL POR LESIONES GRAVES ( A.P. Nº 379/24 DE COMISARIA 102).-</t>
  </si>
  <si>
    <t>APARICIO, RODRIGO NAHUEL POR ROBO SIMPLE; CARI, LUCIANO GABRIEL POR ROBO SIMPLE EN PERJUICIO DE AGUERO, ESTEBAN FRANCISCO; MORALES RODRIGUEZ, MATIAS FERNANDO (A.P. 761/24 Y 762/24 DE COMISARIA 3RA)</t>
  </si>
  <si>
    <t>189439/24</t>
  </si>
  <si>
    <t>189428/24</t>
  </si>
  <si>
    <t>QUIROGA, ROBERTO MAURICIO POR ROBO AGRAVADO EN PERJUICIO DE ORTEGA GARNICA NATIVIDAD(A.P. 321/24 DE SUB-CRIA. VILLA EL SOL)</t>
  </si>
  <si>
    <t>ONESTI, VICTOR FACUNDO POR ROBO SIMPLE; OSORIO DO VALLE, JACY POR ROBO SIMPLE EN PERJUICIO DE BARRIOS, ADRIANA RAQUEL (A.P. 533/24 DE CRIA. 5TA. DUR-1)</t>
  </si>
  <si>
    <t>189403/24</t>
  </si>
  <si>
    <t>189239/24</t>
  </si>
  <si>
    <t xml:space="preserve">RODRIGUEZ, MANUEL RODOLFO JUAN NORMANDO POR ESTAFA - 5 HECHOS Y HURTO EN CONCURSO REAL </t>
  </si>
  <si>
    <t>189059/24</t>
  </si>
  <si>
    <t>189426/24</t>
  </si>
  <si>
    <t xml:space="preserve">NAVARRO, CAMILA ALEJANDRA POR ROBO AGRAVADO POR EL USO DE ARMA Y EN POBLADO Y EN BANDA EN PERJUIICIO DE </t>
  </si>
  <si>
    <r>
      <rPr>
        <sz val="10"/>
        <color rgb="FFFF0000"/>
        <rFont val="Arial"/>
        <family val="2"/>
      </rPr>
      <t>Virtual en Fiscalía ---</t>
    </r>
    <r>
      <rPr>
        <sz val="10"/>
        <rFont val="Arial"/>
        <family val="2"/>
      </rPr>
      <t>OGANEKU, ANDRES ALFREDO POR ROBO ( A.P. Nº 253/24 DE SUB - COMISARIA DE VILLA LAVALLE).-, JOSE RODRIGO POR EXHIBICIONES OBSCENAS  AGRAVADAS ( A.P. Nº 403/22 DE COMISARIA 104).-</t>
    </r>
  </si>
  <si>
    <t>FP 2 - Aux. Dr. Carrizo</t>
  </si>
  <si>
    <t>Dr. Anachuri</t>
  </si>
  <si>
    <t>189430/24</t>
  </si>
  <si>
    <t>CARRILLO, LUCAS NICOLAS ALBERTO por lesiones leves, resistencia a ala autoridad, encubrimiento en perjuicio de Benzavidez, Marcelo Andres</t>
  </si>
  <si>
    <t>jui 5</t>
  </si>
  <si>
    <t>En fecha 13/03 se devolvio al juzgado de Garantias originario por pedido del secretario</t>
  </si>
  <si>
    <t xml:space="preserve"> 14:00</t>
  </si>
  <si>
    <t>189431/24</t>
  </si>
  <si>
    <t>189198/24</t>
  </si>
  <si>
    <t>RALDES, FRANCO - HERRERA SARMIENTO, MARIA POR TENENCIA DE ESTUPEFACIENTES CON FINES COMERCIALIZ. (A.P. Nº 80/24 DE UFINAR)</t>
  </si>
  <si>
    <t>189131/24</t>
  </si>
  <si>
    <t>QUIROGA, JULIO VICTOR POR VIOLACION DE DOMICILIO Y DESOBEDIENCIA JUDICIAL (A.P. Nº 241/24) - DESOBEDIENCIA JUDICIAL (2 HECHOS), AMENAZAS Y COACCION (A.P. Nº 149/24) - DESOBEDIENCIA JUDICIAL (A.P. Nº 0</t>
  </si>
  <si>
    <t>189265/24</t>
  </si>
  <si>
    <t>FRANCO, FERNANDO AGUSTIN POR ROBO SIMPLE EN CONCURSO REAL CON HURTO CALIFICADO POR SER VEHICULO DEJADO EN LA VIA PUBLICA EN GRADO DE TENTATIVA (A.P. Nº 822/24 DE COMISARIA 5TA)</t>
  </si>
  <si>
    <t>189478/24</t>
  </si>
  <si>
    <t>BALTAZAR, JAIRO FERNANDO POR DAÑOS, AMENAZAS, DESOBEDIENCIA JUDICIAL EN PERJUICIO DE MARISCAL, NADIA  EMILSE (A.P. 114/24 DE COMISARIA NRO. 3 CHICOANA)</t>
  </si>
  <si>
    <t>189351/24</t>
  </si>
  <si>
    <t>GIMENEZ DURAN, FRANCO HERNAN POR ROBO AGRAVADO POR EL USO DE ARMA DE FUEGO; BERNABE, JUAN CARLOS POR ROBO AGRAVADO POR EL USO DE ARMA DE FUEGO; SEGOVIA, MARIA FLORENCIA POR ROBO AGRAVADO POR EL USO DE</t>
  </si>
  <si>
    <t>VELA, ESTEBAN MANUEL Y RIVERO, ALEJANDRO ALBERTO POR ROBO EN GRADO DE TENTATIVA EN PERJUICIO DE LUNA, EDUARDO HECTOR EN RELACION A LA AP Nº 594/24 DE LA COMISARIA 7º STA. LUCIA</t>
  </si>
  <si>
    <t>189453/24</t>
  </si>
  <si>
    <t>189095/24</t>
  </si>
  <si>
    <t>ALARCON, BRUNO DAVID - LIZONDO, JULIO ALFREDO POR HURTO SIMPLE (A.P. Nº 187/24 DE COMISARIA DE SANTA ANA)</t>
  </si>
  <si>
    <t>Dr. Julio Cesar Jerez</t>
  </si>
  <si>
    <t>GUIDO/ROMERO</t>
  </si>
  <si>
    <r>
      <rPr>
        <sz val="10"/>
        <color rgb="FFFF0000"/>
        <rFont val="Arial"/>
        <family val="2"/>
      </rPr>
      <t xml:space="preserve">Fiscal virtual --- </t>
    </r>
    <r>
      <rPr>
        <sz val="10"/>
        <rFont val="Arial"/>
        <family val="2"/>
      </rPr>
      <t>GOMEZ, OMAR ARMANDO POR AMENAZAS, COACCION (A.P. N1 234/24 DE LA SUBCRIA PINARES DUR-10)</t>
    </r>
  </si>
  <si>
    <t>189339/24</t>
  </si>
  <si>
    <t>OVEJERO IBAÑEZ, RAÚL OSVALDO POR AMENAZAS, DESOBEDIENCIA JUDICIAL, RESISTENCIA A LA AUTORIDAD EN PERJUICIO DE OLIVERA, DEBORA DEL CARMEN</t>
  </si>
  <si>
    <t>188031/24</t>
  </si>
  <si>
    <r>
      <rPr>
        <sz val="10"/>
        <color rgb="FFFF0000"/>
        <rFont val="Arial"/>
        <family val="2"/>
      </rPr>
      <t xml:space="preserve">Audiencia virtual fiscal --- </t>
    </r>
    <r>
      <rPr>
        <sz val="10"/>
        <rFont val="Arial"/>
        <family val="2"/>
      </rPr>
      <t>TOLABA, NICOLAS HORACIO POR HURTO CALIFICADO; FARFAN SEGURA, RAMIRO DANIEL POR HURTO CALIFICADO EN PERJUICIO DE ROMERO, MERCEDES NOEMI</t>
    </r>
  </si>
  <si>
    <t>Jui 2</t>
  </si>
  <si>
    <t>la fiscalía pidio la libertad en el día de la fecha 14/03/2024</t>
  </si>
  <si>
    <t xml:space="preserve">Dr. Vaca Martín </t>
  </si>
  <si>
    <t>CHOQUE, SERGIO RAUL POR LESIONES LEVES, AMENAZAS EN PERJUICIO DE LIENDRO MARIEL MAGDALENA (A.P. 303/24 DE CRIA. 13 VILLA ASUNCION)</t>
  </si>
  <si>
    <t>189334/24</t>
  </si>
  <si>
    <t>189042/24</t>
  </si>
  <si>
    <t>ROMERO, GUILLERMO JOSE POR TENENCIA DE ESTUPEFACIENTES CON FINES DE COMERCALIZACION (A.P. 305/23 DE GRUPO DE DROGAS SECTOR 71-72)</t>
  </si>
  <si>
    <t>JUAREZ MIRANDA, DARIO GONZALO POR AMENAZAS EN PERJUICIO DE RUEDA, ESTELA VIRGINIA (A.P. 343/24 DE SUB-CRIA. VILLA LAVALLE DUR10)</t>
  </si>
  <si>
    <t>189468/24</t>
  </si>
  <si>
    <t>189242/24</t>
  </si>
  <si>
    <t>SOLIS, DARIO FERNANDO POR ROBO EN GRADO DE TENTATIVA ( A.P. Nº 206/24 DE COMISARIA DE SANTA ANA).</t>
  </si>
  <si>
    <t>GARCIA GUTIERREZ, LUIS CARLOS POR ROBO ( A.P. Nº 695/24 DE COMISARIA 10MA).-</t>
  </si>
  <si>
    <t>189264/24</t>
  </si>
  <si>
    <t>189175/24</t>
  </si>
  <si>
    <t>189241/24</t>
  </si>
  <si>
    <t>LEZCANO, MARTIN; CEJAS, ULISES POR ROBO DOBLEMENTE CALIFICADO POR EL USO DE ARMA Y POR SER EN POBLADO Y EN BANDA EN GRADO DE TENTATIVA EN PERJUICIO DE ROMERO, CECILIA BEATRIZ Y AMENAZAS, TODO EN CONCU</t>
  </si>
  <si>
    <t>189180/24</t>
  </si>
  <si>
    <t xml:space="preserve">GONZALEZ. LUCIANO LEANDRO POR EL DELITO DE HURTO SIMPLE EN CONCURSO REAL CON ESTELIONATO EN PERJUICIO DE </t>
  </si>
  <si>
    <t>189318/24</t>
  </si>
  <si>
    <t>CRUZ, MAURO GASTON Y RODRIGUEZ, RODRIGO EMANUEL POR EL DELITO DE ROBO SIMPLE</t>
  </si>
  <si>
    <t>189267/24</t>
  </si>
  <si>
    <t>TOLEDO, JOSE MARIA POR ROBO EN GRADO DE TENTATIVA ( A.P. Nº590/24 DE SUB - COMISARIA DE SAN REMO).-</t>
  </si>
  <si>
    <t>Dr. Ahuerma, fidel Alfredo MP 6358</t>
  </si>
  <si>
    <t>189253/24</t>
  </si>
  <si>
    <t>LOBO, MELISA BEATRIZ Y GUTIERREZ, ORIANA JAZMIN POR ROBO (A.P. Nº 129/24 DE CRIA 13 ASUNCION DUR-1)</t>
  </si>
  <si>
    <t>189469/24</t>
  </si>
  <si>
    <t>ALAVILA, EDUARDO FRANCO POR DESOBEDIENCIA JUDICIAL, LESIONES LEVES, ROBO SIMPLE, DAÑOS, AMENAZAS EN PERJUICIO DE PEREZ, CLAUDIA ELIZABETH (A.P. 175/24 DE COMISARIA NRO. 2 DUR-7)</t>
  </si>
  <si>
    <t>HECTOR ELIBERTO MARIN Ó JUAN ROLANDO SUICA Ó FERNANDO LINDOR SUICA; Y UBALDO ALEJANDRO MARIN Ó ALEJANDRO UBALDO MARIN POR ROBO SIMPLE ( A.P. Nº 1688/23 DE COMISARIA 2DA. Y A.P. Nº 12/23 DEL GRUPO INVE</t>
  </si>
  <si>
    <t>185473/23</t>
  </si>
  <si>
    <t>189332/24</t>
  </si>
  <si>
    <t>ALVAREZ, ERIKA FABIANA POR ROBO SIMPLE EN PERJUICIO DE CEBALLOS, MARIA ALEJANDRA; DIAZ, PABLO MAXIMILIANO; AGUIRRE, CARLA ELIANA ARACELI (A.P. 273/24, 274/24 Y 275/24 DEL DESTACAMENTO POLICIAL VILLA P</t>
  </si>
  <si>
    <t>189335/24</t>
  </si>
  <si>
    <t xml:space="preserve">LOPEZ, FRANCISCO POR FEMICIDIO EN GRADO DE TENTATIVA EN PERJUCIO DE MEDRANO NORMA BEATRIZ </t>
  </si>
  <si>
    <t>FLORES, GUSTAVO DANIEL POR COACCION AGRAVAD POR EL USO DE ARMA - DOS HECHOS EN CONCURSO REAL CON ABUSO SEXUAL SIMPLE AGRAVADO POR EL USO DE ARMA Y AMENAZAS CON ARMA EN CONCURSO REAL</t>
  </si>
  <si>
    <t>PEREYRA, NESTOR GABRIEL POR HURTO CALIFICADO POR ESCALAMIENTO ( A.P. Nº 465/24 DE COMISARIA 5TA).</t>
  </si>
  <si>
    <t>189346/24</t>
  </si>
  <si>
    <t>RODRIGUEZ, MAURICIO EDUARDO POR EL DELITO DE ROBO SIMPLE EN PERJUICIO DEL HIPER LIBERTAD</t>
  </si>
  <si>
    <t>189513/24</t>
  </si>
  <si>
    <t>JUAREZ, JORGE APOLINAR POR HURTO SIMPLE EN PERJUICIO DE PEREZ, NORMA ESTELA (A.P. 414/24 DE COMISARI 3RA. LA BANDA)</t>
  </si>
  <si>
    <t>189512/24</t>
  </si>
  <si>
    <t>PEDRAZA, OSCAR FRANCO NAHUEL POR HURTO SIMPLE EN PERJUICIO DE FANZAGO GUIDO, NICOLAS (A.P. 575/24 DE COMISARIA 7MA. DUR-1)</t>
  </si>
  <si>
    <t>189162/24</t>
  </si>
  <si>
    <t>GUTIERREZ,  OMAR ALBERTO POR DESOBEDIENCIA JUDICIAL Y LESIONES LEVES AGRAVADAS POR LA RELACION DE PAREJA PREEXISTENTE Y POR MEDIAR VIOLENCIA DE GENERO EN CONCURSO REAL ( A.P. Nº 300/24 DE COMISARIA DE CAMPO SANTO).</t>
  </si>
  <si>
    <t>189380/24</t>
  </si>
  <si>
    <t>PACHECO ANGEL ALBANO POR ROBO; URZAGASTI KEVIN LEONARDO POR ROBO EN PERJUICIO DE VEGA NOEMI ELIZABETH (A.P. 161/24 DE COMISARIA SEGUNDA DUR-7)</t>
  </si>
  <si>
    <t>189273/24</t>
  </si>
  <si>
    <t>DIAZ, LAUTARO CARLOS ALBERTO POR TENENCIA DE ESTUPEFACIENTES CON FINES DE COMERCIALIZACION ( A.P. Nº 483/23 DE SINAR 1B).-</t>
  </si>
  <si>
    <t>189476/24</t>
  </si>
  <si>
    <t>PAZ BURGOS, FRANCISCO JAVIER por el delito de ROBO SIMPLE EN PERJUICIO DE VIÑUALES SAIEG, FRANCISCO JAVIER</t>
  </si>
  <si>
    <t>PASAR ESTA AUDIENCIA A LAS NO REALIZADAS YA QUE SE DEVOLVIO EL EXPEDIENTE PORQUE LE VAN A DAR UNA MEDIDA DE SEGURIDAD URGENTE</t>
  </si>
  <si>
    <t>Virtual victima en Fiscalia - REYES, ROBERTO OSCAR POR ABUSO SEXUAL CON ACCESO CARNAL AGRAVADO Y ABUSO SEXUAL SIMPLE AGRAVADO POR LA CONVIVENCIA EN CONCURSO REAL EN PERJUICIO DE LA MENOR L.P.R. AP Nº 109/24 DE LA CRIA 16 CAMPO SANTO</t>
  </si>
  <si>
    <t>PARRON BALDONI, FRANCO EXEQUIEL - AGUIRRE, MAXIMILIANO ALEJANDRO - BARRIOS, LUCIANO MAURO - CAYATA PORTELA, FRANCO MICAEL - COPA, NICOLAS AARON - DAUD, JORGE ALFREDO Y GONZALEZ, AXEL GASTON - POR ROBO</t>
  </si>
  <si>
    <t>189427/24</t>
  </si>
  <si>
    <t>COLQUE, JOAQUIN AMADO POR LESIONES AGRAVADAS EN PERJUICIO DE ORELLANA KAREN LEONELA (A.P. 325/24 DE VILLA LAVALLE)</t>
  </si>
  <si>
    <r>
      <rPr>
        <sz val="10"/>
        <color rgb="FFFF0000"/>
        <rFont val="Arial"/>
        <family val="2"/>
      </rPr>
      <t xml:space="preserve">Victima en fiscalía ---- </t>
    </r>
    <r>
      <rPr>
        <sz val="10"/>
        <rFont val="Arial"/>
        <family val="2"/>
      </rPr>
      <t>LAZARTE, CLAUDIO ALEJANDRO POR AMENAZAS EN PERJUICIO DE SULLCA BEATRIZ VERONICA (A.P. 532/24 DE COMISARIA 1RA. GRAL. GUEMES)</t>
    </r>
  </si>
  <si>
    <t>182749/24</t>
  </si>
  <si>
    <t>189084/24</t>
  </si>
  <si>
    <t>GUAYMAS ARROYO, LEONARDO AGUSTIN POR GROOMING EN PERJUICIO DE M.C.F.L.</t>
  </si>
  <si>
    <t xml:space="preserve">SERRUDO, SANDRA ELIZABETH, ROSA ALBA THIZ, RAÚL FEDERICO SUMBAINE Y EXEQUIEL ALFREDO THIZ POR TENENCIA DE ESTUPEFACIENTES CONFINES DE COMERCIALIZACIÓN AGRAVADO POR LA PARTICIPACIÓN ORGANIZADA DE TRES O MAS PERSONAS EN PERJUICIO DE LA SALUD PUBLICA </t>
  </si>
  <si>
    <t>189269/24</t>
  </si>
  <si>
    <t xml:space="preserve">ESPINOZA, LEANDRO NICOLAS POR ABUSO SEXUAL CON ACCESO CARNAL EN PERJUICIO DE LA MENOR C.A.S. </t>
  </si>
  <si>
    <t>189087/24</t>
  </si>
  <si>
    <t>GERONIMO, MAXIMO FERNANDO POR DIFUSIÓN Y PRODUCCION DE MATERIAL DE ABUSO SEXUAL Y/O EXPLOTACIÓN SEXUAL INFANTIL AGRAVADO POR LA PARTICIPACIÓN DE MENORES</t>
  </si>
  <si>
    <t>189102/24</t>
  </si>
  <si>
    <t>CALPANCHAY, HEBER ALEXIS; SORAIRE, CRISTIAN ALBERTO POR ROBO DOBLEMENTE CALIFICADO POR SER EN POBLADO Y EN BANDA Y POR EL USO DE ARMA ( A.P. Nº 5/24 DE COMISARIA 4TA.).-</t>
  </si>
  <si>
    <t>G03 185533/23</t>
  </si>
  <si>
    <r>
      <t>RODRIGUEZ, LEANDRO NICOLAS POR AMENAZAS CON ARMAS Y</t>
    </r>
    <r>
      <rPr>
        <sz val="10"/>
        <color rgb="FFFF0000"/>
        <rFont val="Arial"/>
        <family val="2"/>
      </rPr>
      <t xml:space="preserve"> RODRIGUEZ, JUAN JOSE </t>
    </r>
    <r>
      <rPr>
        <sz val="10"/>
        <rFont val="Arial"/>
        <family val="2"/>
      </rPr>
      <t>POR ROBO AGRAVADO POR EL USO DE ARMA EN GRADO DE TENTATIVA Y AMENAZAS CON ARMA, EN CONCURSO REAL</t>
    </r>
  </si>
  <si>
    <t>189524/24</t>
  </si>
  <si>
    <t>MASSOLA, ESTEBAN GABRIEL POR HURTO SIMPLE EN PERJUICIO DE CUELLAR, JESICA DAIANA</t>
  </si>
  <si>
    <t>189509/24</t>
  </si>
  <si>
    <t>OLLARZON, OSCAR FERNANDO POR ROBO AGRAVADO EN GRADO DE TENTATIVA POR EL USO DE ARMAS EN PERJUICIO DE GUTIERREZ, ROSA PATRICIA  (A.P. 582/24 DE COMISARIA 4TA VILLA MITRE DUR-1)</t>
  </si>
  <si>
    <t>ARRESTO DOMICILIARIO (ART. 382 DEL C.P.P.)</t>
  </si>
  <si>
    <t>Comenzo retrasada por demora del imptuado</t>
  </si>
  <si>
    <t>MANTENER PRISION PREVENTIVA</t>
  </si>
  <si>
    <t>Demora del Fiscal y tambien por compulsa del expediente por parte de la defensa.</t>
  </si>
  <si>
    <t>Revision de preventiva - MANTENER LA PRISION PREVENTIVA</t>
  </si>
  <si>
    <t>ABREVIADO: CUATRO AÑOS EFECTIVA</t>
  </si>
  <si>
    <t>ABREVIADO: SEIS MESES CONDICIONAL</t>
  </si>
  <si>
    <t>Demora porque las partes llegaron fuera de hora. Luego Tratativas entre las partes.</t>
  </si>
  <si>
    <t>Demora en inicio por llegada tarde de defensoria y asesoria - Control remotr del tv ledesa sin carga en las pilas ( estan colocadas pero no funciona el control) - La ficha adpatadora del auricular en ele amplificador no estaba</t>
  </si>
  <si>
    <r>
      <rPr>
        <b/>
        <sz val="10"/>
        <rFont val="Arial"/>
        <family val="2"/>
      </rPr>
      <t xml:space="preserve">SUSPENSIÓN DE AUDIENCIA POR PEDIDO DE LA DEFENSA ELLO POR FALTA DE AUDIENCIA DE IMPUTACION </t>
    </r>
    <r>
      <rPr>
        <sz val="10"/>
        <color rgb="FFFF0000"/>
        <rFont val="Arial"/>
        <family val="2"/>
      </rPr>
      <t>C/ nueva solicitud de PP -- se amplia el Decreto de citación a audiencia</t>
    </r>
  </si>
  <si>
    <t>Demora por audiencia Anterio y por Acuerdo entre las partes.</t>
  </si>
  <si>
    <t>gar 7</t>
  </si>
  <si>
    <t xml:space="preserve">Gar 5 </t>
  </si>
  <si>
    <t>189060/24</t>
  </si>
  <si>
    <t>BERMUDEZ, PABLO POR LESIONES (A.P. Nº 62/24 DE LA CRIA 4 EL BORDO DUR-7)</t>
  </si>
  <si>
    <t>FERNANDEZ, DELFOR DARIO POR DAÑOS, AGRESIONES CON ARMA Y DESOBEDIENCIA JUDICIAL.</t>
  </si>
  <si>
    <r>
      <rPr>
        <sz val="10"/>
        <color rgb="FFFF0000"/>
        <rFont val="Arial"/>
        <family val="2"/>
      </rPr>
      <t xml:space="preserve">victimas virtual --- </t>
    </r>
    <r>
      <rPr>
        <sz val="10"/>
        <rFont val="Arial"/>
        <family val="2"/>
      </rPr>
      <t>REARTE, MATIAS POR AMENAZAS, HURTO CALIFICADO, RESISTENCIA A LA AUTORIDAD ( A.P. Nº 246/24 DE LA COMISARIA DE GUEMES).-</t>
    </r>
  </si>
  <si>
    <t>189200/24</t>
  </si>
  <si>
    <t>GOMEZ, ISMAEL POR DESOBEDIENCIA JUDICIAL, COACCION CON ARMA ( A.P. Nº 462/24 DE COMISARIA 4TA).-</t>
  </si>
  <si>
    <t>189056/24</t>
  </si>
  <si>
    <t>CRUZ, RICARDO FLORENCIO POR LESIONES, AMENAZAS, DESOBEDIENCIA JUDICIAL Y RESISTENCIA A LA AUTORIDAD (A.P. Nº 394/24, 395/24 Y 396/24 DE LA CRIA 4 UDR-1)</t>
  </si>
  <si>
    <t xml:space="preserve">EL JZUGADO DE ORIGEN PRESTA CONFORMIDAD CON LO SOLICITADO POR EL Dr. Orfeo Maggio </t>
  </si>
  <si>
    <r>
      <rPr>
        <sz val="10"/>
        <color rgb="FFFF0000"/>
        <rFont val="Arial"/>
        <family val="2"/>
      </rPr>
      <t xml:space="preserve">virtual víctimas en güemes --- </t>
    </r>
    <r>
      <rPr>
        <sz val="10"/>
        <rFont val="Arial"/>
        <family val="2"/>
      </rPr>
      <t>MAMANI, HORACIO EDUARDO POR HURTO SIMPLE (A.P. Nº 335/24 DE BRIGADA DE INVESTIGACIONES Nº 7)</t>
    </r>
  </si>
  <si>
    <t>SANCHEZ, LORENA ESTER  POR AMENAZAS Y DESOBEDIENCIA JUDICIAL, EN CONCURSO IDEAL EN PERJUICIO DE ROMANO, SANDRA ELIZABETH , EN CONCURSO REAL CON AMENAZAS Y RESISTENCIA A LA AUTORIDAD EN PERJUICIO DE PERJUICIO DE  Y JUAN ESTABAN  DOMINGUEZ POR ROBO DEBLEMENTE CALIFICADO POR SER PERPETRADO EN POBLADO Y EN BANDAM HACIENDO USO DE UN ARMA</t>
  </si>
  <si>
    <t>189534/24</t>
  </si>
  <si>
    <t>VACA, CRISTIAN ALFREDO ANDRES POR LESIONES LEVES, AMENAZAS EN PERJUICIO DE VACA, FANY MARIA BELEN; VACA, GABRIEL DOMINGO EXEQUIEL (A,P. 1002/24 Y 1005/24 DE COMISARIA 5TA)</t>
  </si>
  <si>
    <t>189541/24</t>
  </si>
  <si>
    <t>VIVAS IRIBARREN, ERNESTINA VERONICA POR HURTO SIMPLE EN PERJUICIO DE PRIETO, CASANDRA YOHANA (A.P. 1155/24 DE COMISARIA 2DA)</t>
  </si>
  <si>
    <t>189505/24</t>
  </si>
  <si>
    <t>LOZANO BARJA, CRISTIAN JONATHAN POR AMENAZAS, DAÑOS EN PERJUICIO DE CHOCOBAR, ROMINA MACARENA (A.P. 287/24 DE COMISARIA NRO. 12 PALERMO)</t>
  </si>
  <si>
    <t>GUIDO / ROMERO</t>
  </si>
  <si>
    <t>SOBRESEIMIENTO + PROHIBICION DE ACERCAMIENTO</t>
  </si>
  <si>
    <t xml:space="preserve">MOTIVO DE LA DEMORA: LA SRTA. AUXILIAR FISCAL SE ENCONTRABA EN OTRA AUDIENCIA EN OTRO JUZGADO - SE REABRIÓ UNA AUDIENCIA ANTERIOR POR UN ACUERDO DE ABREVIADO POR DECISIÓN DE LAS PARTES, MOTIVO POR EL CUAL CUANDO LLEGÓ LA SRA. AUXILIAR FISCAL SE ENCONTRABA LA SALA OCUPADA, ENTONCES TUVO QUE ESPERAR AFUERA HASTA QUE TERMINARA LA MISMA - LA AUDIENCIA INICIÓ A LA HORA QUE INGRESÓ SU S.S. </t>
  </si>
  <si>
    <t>ABREVIADO: 1 AÑO EFECTIVA</t>
  </si>
  <si>
    <t>SE REABRE LA AUDIENCIA POR PEDIDO DE LAS PARTES PARA UN ACUERDO DE JUICIO ABREVIADO, SE REVOCA LA CONDICIONALIDAD RESUELTA ANTERIORMENTE</t>
  </si>
  <si>
    <t>SUSPENDIDA. SE REPROGRAMA PARA EL DIA 27/03/2024</t>
  </si>
  <si>
    <t>ABREVIADO: OCHO MESES CONDICIONAL</t>
  </si>
  <si>
    <t>Demora por retraso de audiencia anterior - Estado de la sala: el control de volumen del rack de audio continúa sin funcionar, hay audio en el circuito pero no se puede aumentar o bajar - La pc del audiencista está instalando actualizaciones.-</t>
  </si>
  <si>
    <t>COMENZO RETRASADA POR TERMINAR CON POSTERIORIDAD LA AUDIENCIA ANTERIOR EN ESTA SALA- CON CUARTO INTERMEDIO</t>
  </si>
  <si>
    <r>
      <rPr>
        <b/>
        <sz val="10"/>
        <rFont val="Arial"/>
        <family val="2"/>
      </rPr>
      <t xml:space="preserve">SE SUSPENDE HASTA TANTO SE REVISEN LOS VIDEOS </t>
    </r>
    <r>
      <rPr>
        <sz val="10"/>
        <rFont val="Arial"/>
        <family val="2"/>
      </rPr>
      <t>- Oprotunamente Suspendida del dia 11/03</t>
    </r>
  </si>
  <si>
    <t>Demora por acuerdo entre las partes</t>
  </si>
  <si>
    <r>
      <rPr>
        <b/>
        <sz val="10"/>
        <rFont val="Arial"/>
        <family val="2"/>
      </rPr>
      <t xml:space="preserve">ABREVIADO: TRES AÑOS Y SEIS MESES EFECTIVA ---  </t>
    </r>
    <r>
      <rPr>
        <sz val="10"/>
        <rFont val="Arial"/>
        <family val="2"/>
      </rPr>
      <t>ASESORIA 9 --- Vic menor en vista a la Mesa Pupilar en fecha 07/03/2024</t>
    </r>
  </si>
  <si>
    <t>ABREVIADO: UN AÑO EFECTIVA</t>
  </si>
  <si>
    <t>COMENZO DEMORADA POR RETRASO DE LA AUDIENCIA ANTERIOR</t>
  </si>
  <si>
    <r>
      <rPr>
        <b/>
        <sz val="10"/>
        <rFont val="Arial"/>
        <family val="2"/>
      </rPr>
      <t xml:space="preserve">MANTENER EL ARRESTO DOMICILIARIO BAJO LA MODALIDAD QUE SE VENIA CUMPLIENDO AUTORIZANDOSE A SALIR DEL DOMCILCILIO DE 8 A 14 A EFECTS LABORALES </t>
    </r>
    <r>
      <rPr>
        <sz val="10"/>
        <rFont val="Arial"/>
        <family val="2"/>
      </rPr>
      <t>Suspendida del dia 12/03 por pedido del Dr. Diaz Sabalaga</t>
    </r>
  </si>
  <si>
    <t>Demora por llegada tarde de DOP 7 y luego tratativas entre las partes</t>
  </si>
  <si>
    <t xml:space="preserve"> 08:20 </t>
  </si>
  <si>
    <t>DOP 16 - Sec. Lucia Arrieta</t>
  </si>
  <si>
    <t>ABREVIADO: CUATRO MESES EFECTIVA</t>
  </si>
  <si>
    <t>SUSPENDIDA por ausencia del Abogado Defensor Dr. Sola Garrido</t>
  </si>
  <si>
    <t xml:space="preserve">SE SUSPENDE LA AUDIENCIA POR AUSENCIA DEL ABOGADO DEFENSOR (DR. SOLA GARRIDO). Se insiste con las llamadas telefonicas al mismo, pero no atiende. </t>
  </si>
  <si>
    <r>
      <rPr>
        <b/>
        <sz val="10"/>
        <rFont val="Arial"/>
        <family val="2"/>
      </rPr>
      <t>TORRES NIEVA, ALAN GABRIEL, TRES (3) MESES DE PRISIÓN DE EJECUCIÓN CONDICIONAL ACCESORIOS Y COSTAS CON DOS AÑOS DE REGLAS DE CONDUCTAS, Y SOBRESEIMIENTO PARA LOS IMPUTADOS OCAÑA DAVALOS, MARCOS EXEQUIEL Y PUNTANO, NAHUEL SAMUEL</t>
    </r>
    <r>
      <rPr>
        <sz val="10"/>
        <rFont val="Arial"/>
        <family val="2"/>
      </rPr>
      <t xml:space="preserve"> c/ exp acumulado GAR 188656/24, GAR 183242/23, GAR 181585/22 Y GAR Y G01 182070/22</t>
    </r>
  </si>
  <si>
    <t xml:space="preserve">MOTIVO DE LA DEMORA: HABÍA OTRA AUDIENCIA ANTERIORMENTE - EL SR DEFENSOR NICOLAS ANUCH YA SE ENCONTRABA EN UNA AUDIENCIA ANTERIORMENTE EN ESTA MISMA SALA DE GARANTIAS N° 4 </t>
  </si>
  <si>
    <t>DEMORA POR ARREGLO ENTRE LAS PARTES</t>
  </si>
  <si>
    <t>ABREVIADO: DOS AÑOS Y DOS MESES EFECTIVA</t>
  </si>
  <si>
    <t>DEMORA POR ARREGLO ENTRE LAS PARTES - El Defensor se encontraba en otra audiencia.</t>
  </si>
  <si>
    <t>Dr. Tomas Burgos MP 6963</t>
  </si>
  <si>
    <r>
      <rPr>
        <b/>
        <sz val="10"/>
        <rFont val="Arial"/>
        <family val="2"/>
      </rPr>
      <t xml:space="preserve">PRISION PREVENTIVA  </t>
    </r>
    <r>
      <rPr>
        <sz val="10"/>
        <rFont val="Arial"/>
        <family val="2"/>
      </rPr>
      <t>Reprogramada del dia 14/03 por pedido de la asesoria - Asesoria Nº 3 --- vic menor vista a la mesa pupilar en fecha 05/03/2024</t>
    </r>
  </si>
  <si>
    <t>Demora en llegada de las partes</t>
  </si>
  <si>
    <r>
      <rPr>
        <b/>
        <sz val="10"/>
        <rFont val="Arial"/>
        <family val="2"/>
      </rPr>
      <t xml:space="preserve">PRISION PREVENTIVA (REVISION)  </t>
    </r>
    <r>
      <rPr>
        <sz val="10"/>
        <rFont val="Arial"/>
        <family val="2"/>
      </rPr>
      <t>Asesor de incapaces Nº 2 Dra. Florencia Larsen.</t>
    </r>
  </si>
  <si>
    <t>Demora por audiencia anterior - Demora del Fiscal</t>
  </si>
  <si>
    <t xml:space="preserve"> 09:51 </t>
  </si>
  <si>
    <t>UDIS 2 - Aux. Sofia Carpi</t>
  </si>
  <si>
    <r>
      <rPr>
        <b/>
        <sz val="10"/>
        <rFont val="Arial"/>
        <family val="2"/>
      </rPr>
      <t>SUSPENDIDA hasta tanto se resuelva la causa en el Juzgado de Origen</t>
    </r>
    <r>
      <rPr>
        <sz val="10"/>
        <rFont val="Arial"/>
        <family val="2"/>
      </rPr>
      <t xml:space="preserve"> Asesoria 3.- vic. Menor vista a la mesa pupilar en fecha 04/03/2024</t>
    </r>
  </si>
  <si>
    <t>MOTIVO DE LA DEMORA: HABIA OTRA AUDIENCIA ANTERIORMENTE - TODAS LAS PARTES LLEGARON DESPUÉS DE HORA - LA AUDIENCIA INICIÓ A LA HORA QUE INGRESÓ S.S.</t>
  </si>
  <si>
    <t>Dr. Enzo Paolo Muratore</t>
  </si>
  <si>
    <r>
      <rPr>
        <b/>
        <sz val="10"/>
        <rFont val="Arial"/>
        <family val="2"/>
      </rPr>
      <t>PRISION PREVENTIVA</t>
    </r>
    <r>
      <rPr>
        <sz val="10"/>
        <rFont val="Arial"/>
        <family val="2"/>
      </rPr>
      <t xml:space="preserve"> Vic menor-- asesoria 1</t>
    </r>
  </si>
  <si>
    <t>MOTIVO DE LA DEMORA: DEMORA DE TODAS LAS PARTES - 4TO INTERMEDIO 08:53 - REINICIÓ LA AUDIENCIA A LAS 08:58 - FINALIZO 09:30</t>
  </si>
  <si>
    <t>Demora por llegada tarde del fiscal y tratativas con la DOP - El cable del auricular está suelto en la ficha de entrada al rack de audio.-</t>
  </si>
  <si>
    <r>
      <rPr>
        <b/>
        <sz val="10"/>
        <rFont val="Arial"/>
        <family val="2"/>
      </rPr>
      <t xml:space="preserve">ABREVIADO: DOS AÑOS Y OCHO MESES CONDICIONAL </t>
    </r>
    <r>
      <rPr>
        <sz val="10"/>
        <rFont val="Arial"/>
        <family val="2"/>
      </rPr>
      <t>c/ leg original --- la PP es por Maldonado</t>
    </r>
  </si>
  <si>
    <t>GARAMENDI, MOISES ALEJANDRO POR GROOMING EN PERJUICIO DE V.D.M.L. Y V.D.J. (A.P. 1029/24 DE COMISARIA 2DA DUR-1)</t>
  </si>
  <si>
    <t>189400/24</t>
  </si>
  <si>
    <t>AIBAR, DANIELA POR ESTAFAS REITERADA -3H- Y DEFRAUDACIÓN POR EL USO DE TARJETA DE CRÉDITO TODO EN CONCURSO REAL</t>
  </si>
  <si>
    <t>189202/24</t>
  </si>
  <si>
    <t>RUIZ, ROBERTO ARIEL POR ROBO ( A.P. Nº 314/24 Y A.P. Nº 315/24 DE COMISARIA DE GUEMES).-</t>
  </si>
  <si>
    <t>189288/24</t>
  </si>
  <si>
    <t>PINTO, NATALIA ANAHI POR ROBO EN GRADO DE TENTATIVA ( A.P. Nº 604/24 Y A.P. Nº 605/24 DE SUB - COMISARIA DE SAN REMO).-</t>
  </si>
  <si>
    <t>CALIGARI VIA MIGUEL ALEJANDRO P/ROBO SIMPLE</t>
  </si>
  <si>
    <t>189553/24</t>
  </si>
  <si>
    <t>MAIDANA, ISMAEL GASTON POR DESOBEDIENCIA JUDICIAL Y AMENAZAS EN PERJUICIO DE GALLARDO, ALICIA DEL VALLE - A.P. 942/24 Y 957/24 COMISARIA 2 SANTA CECILIA - FISCAL VFG 4</t>
  </si>
  <si>
    <t>189461/24</t>
  </si>
  <si>
    <t>CRUZ, FERNANDO AGUSTIN POR ROBO CALIFICADO EN GRADO DE TENTATIVA EN PERJUICIO DE BULACIO, JUAN MARTIN EN RELACIONA LA AP Nº 1358/24 DE LA COMISARIA 1 DUR 1</t>
  </si>
  <si>
    <t>Prision Preventiva x 45 dias c/ audiencia para el día 26/04/2024 a hs. 08:00 Asesoría de incapaces 4</t>
  </si>
  <si>
    <t xml:space="preserve"> 13:11</t>
  </si>
  <si>
    <t>Dr. Cruz Duran Nicolas</t>
  </si>
  <si>
    <t>ABREVIADO: UN MES Y QUINCE DIAS CONDICIONAL</t>
  </si>
  <si>
    <t>FISCAL LLEGO DESPUES DE HORA</t>
  </si>
  <si>
    <t>ABREVIADO: TRES MESES CONDICIONAL</t>
  </si>
  <si>
    <t>DEMORA EN LA LLEGADA DE LAS PARTES Y DETENIDOS</t>
  </si>
  <si>
    <t>DEMORA POR AUDIENCIA ANTERIOR</t>
  </si>
  <si>
    <r>
      <rPr>
        <b/>
        <sz val="10"/>
        <rFont val="Arial"/>
        <family val="2"/>
      </rPr>
      <t>PRISION PREVENTIVA POR 30 DIAS</t>
    </r>
    <r>
      <rPr>
        <sz val="10"/>
        <rFont val="Arial"/>
        <family val="2"/>
      </rPr>
      <t xml:space="preserve"> Asesoria 5 --Vic/ menor vista a la mesa pupilar en fecha 11/03/2024</t>
    </r>
  </si>
  <si>
    <t>LA PRESENTE SE LLEVO A CABO EN GARANTIAS 6</t>
  </si>
  <si>
    <t>Dra. Mara Reyes</t>
  </si>
  <si>
    <t>UDIS 4 - Aux. Esteban Martearena</t>
  </si>
  <si>
    <t>PRISION PREVENTIVA - NO SE HACE LUGAR A LA REVISION</t>
  </si>
  <si>
    <t>DEMORA EN LLEGADA DEL IMPUTADO</t>
  </si>
  <si>
    <t>DEMORA DE LOS IMPUTADOS</t>
  </si>
  <si>
    <t>ABREVIADO: DOS MESES EFECTIVA</t>
  </si>
  <si>
    <t xml:space="preserve"> 11:41</t>
  </si>
  <si>
    <t>ABREVIADO: TRES AÑOS EFECTIVA</t>
  </si>
  <si>
    <t>ABREVIADO: UN AÑO Y DOS MESES EFECTIVA</t>
  </si>
  <si>
    <t xml:space="preserve"> 12:47</t>
  </si>
  <si>
    <t>DEMORA DEL FISCAL Y LUEGO ARREGLO ENTRE LAS PARTES</t>
  </si>
  <si>
    <t>LA FISCAL SE ENCUENTRA EN OTRA AUDIENCIA EN GARANTIAS 8 DEMORADA - ACUERDO ENTRE LAS PARTES - LA AUDIENCIA INICIÓ A LA HORA QUE INGRESÓ S.S.</t>
  </si>
  <si>
    <t>ARRESTO DOMICILIARIO CON PROHIBICION DE ACERCAMIENTO</t>
  </si>
  <si>
    <t xml:space="preserve">MOTIVO DE LA DEMORA: ACUERDO ENTRE LAS PARTES - EL FISCAL SE ENCUENTRA DIALOGANDO CON EL JUEZ - LA AUDIENCIA INICIÓ A LA HORA QUE INGRESÓ S.S - INICIÓ CUARTO INTERMEDIO 10:25 HS - REINICIÓ 10:32 HS </t>
  </si>
  <si>
    <t>ABREVIADO: CINCO MESES EFECTIVA</t>
  </si>
  <si>
    <t>COMENZO RETRASADA POR TERMINAR CON POSTERIORIDAD LA AUDIENCIA ANTERIOR EN ESTA SALA</t>
  </si>
  <si>
    <r>
      <rPr>
        <b/>
        <sz val="10"/>
        <rFont val="Arial"/>
        <family val="2"/>
      </rPr>
      <t>PRISION PREVENTIVA</t>
    </r>
    <r>
      <rPr>
        <sz val="10"/>
        <rFont val="Arial"/>
        <family val="2"/>
      </rPr>
      <t xml:space="preserve"> asesoria 6 reprograma el día 08/03/2024 --- se presenta el Dr.  Jeremias Emanuel Fernandez Ocampo MP 7100</t>
    </r>
  </si>
  <si>
    <t>PRISION PREVENTIVA POR 23 DIAS - SE FIJA NUEVA AUDIENCIA PARA EL 05/04/2024</t>
  </si>
  <si>
    <t>demora en subir los detenidos</t>
  </si>
  <si>
    <t>DEMORA POR ACUERDO ENTRE LAS PARTES</t>
  </si>
  <si>
    <t xml:space="preserve">  08:41</t>
  </si>
  <si>
    <r>
      <rPr>
        <b/>
        <sz val="10"/>
        <rFont val="Arial"/>
        <family val="2"/>
      </rPr>
      <t xml:space="preserve">PRISION PREVENTIVA </t>
    </r>
    <r>
      <rPr>
        <sz val="10"/>
        <rFont val="Arial"/>
        <family val="2"/>
      </rPr>
      <t>Dr. Nelson Mamani --- Suspendida del dia 07/03 - Suspendida el 26/2 por cambio e defensa en audiencia - Asesoria 9 --- Victima menor --- vista a la mesa pupilar 08/02/2024</t>
    </r>
  </si>
  <si>
    <t>ABREVIADO: DOS MESE EFECTIVA PARA RUEDA Y CONDICIONAL POARA ROJAS</t>
  </si>
  <si>
    <t>ABREVIADO: TRES AÑO CONDICIONAL -- se hizo una separación de causa</t>
  </si>
  <si>
    <t>ABREVIADO: CUATRO AÑOS EFECTIVA PARA MAMANI Y SOBRESEIMIENTO PARA CALIVA</t>
  </si>
  <si>
    <t>ABREVIADO 6 MESES CONDICIONAL PARA MAMANI Y 3 AÑOS CONDICIONAL PARA EL RESTO 4 AÑOS EFECTIVA - Y MAMANI CALIVA ABSUELTA Asesorias 2, 4 y 5 por los Imputados Menores-- se remite a la mesa pupilar 08/02/2024 -- con actuaciones complementarias. Dr. Ricardo Poclava por Sarapura, Mario Guillermo y DOP 2</t>
  </si>
  <si>
    <r>
      <rPr>
        <b/>
        <sz val="10"/>
        <rFont val="Arial"/>
        <family val="2"/>
      </rPr>
      <t xml:space="preserve">ABREVIADO: SEIS MESES EFECTIVA </t>
    </r>
    <r>
      <rPr>
        <sz val="10"/>
        <rFont val="Arial"/>
        <family val="2"/>
      </rPr>
      <t>Suspendida del dia 08/03</t>
    </r>
  </si>
  <si>
    <r>
      <rPr>
        <b/>
        <sz val="10"/>
        <rFont val="Arial"/>
        <family val="2"/>
      </rPr>
      <t xml:space="preserve">PRISION PREVENTIVA </t>
    </r>
    <r>
      <rPr>
        <sz val="10"/>
        <rFont val="Arial"/>
        <family val="2"/>
      </rPr>
      <t>Reprogramada del 27/02/2024 y el día 07/03/2024</t>
    </r>
  </si>
  <si>
    <t>DEMORA PORA AUDIENCIA ANTERIOR</t>
  </si>
  <si>
    <t>ABREVIADO 1 AÑO EFECTIVA</t>
  </si>
  <si>
    <t>DEMORA EN SUBIR EL DETENIDO</t>
  </si>
  <si>
    <t>DEMORA POR TRATATIVAS ENTRE LAS PARTES</t>
  </si>
  <si>
    <t>FISCAL LLEGO FUERA DE HORARIO</t>
  </si>
  <si>
    <r>
      <rPr>
        <b/>
        <sz val="10"/>
        <rFont val="Arial"/>
        <family val="2"/>
      </rPr>
      <t xml:space="preserve">ABREVIADO: SEIS MESES EFECTIVA </t>
    </r>
    <r>
      <rPr>
        <sz val="10"/>
        <rFont val="Arial"/>
        <family val="2"/>
      </rPr>
      <t>Defensa Dr. Daniela Freytes - Dr. Roberto Tesyra</t>
    </r>
  </si>
  <si>
    <t>ABREVIADO OCHO MESES CONDICIONAL</t>
  </si>
  <si>
    <t>Dermora por audiencia anteriror</t>
  </si>
  <si>
    <t>DEMORA PORQUE HABIA OTRA AUDIENCIA CON ATERIORIDAD</t>
  </si>
  <si>
    <r>
      <rPr>
        <b/>
        <sz val="10"/>
        <rFont val="Arial"/>
        <family val="2"/>
      </rPr>
      <t xml:space="preserve">JUICIO ABREVIADO CONDENANDO A LIENDRO A LA PENA DE UN AÑO DE CONDICIONALIDAD Y RODRIGUEZ LA PENA DE UNA AÑO Y OCHO MESES DE PRISION DE EJECUCION EFECTIVA </t>
    </r>
    <r>
      <rPr>
        <b/>
        <sz val="10"/>
        <color rgb="FFFF0000"/>
        <rFont val="Arial"/>
        <family val="2"/>
      </rPr>
      <t>llego requerimiento para el exp. gar 186968---</t>
    </r>
    <r>
      <rPr>
        <sz val="10"/>
        <rFont val="Arial"/>
        <family val="2"/>
      </rPr>
      <t xml:space="preserve"> Suspendida del dia 01/03- c/ exp acumulados GAR 186968/23, gar 186927/23 e incidente de Actoria  Civil y Querellante a cargo del Dr. Dra. Paz Krylov --- SE REMITE AL JUZGADO QUE DICTO LA MEDIDA PRIMERAMENTE -- GAR 1 --- </t>
    </r>
  </si>
  <si>
    <r>
      <rPr>
        <b/>
        <sz val="10"/>
        <rFont val="Arial"/>
        <family val="2"/>
      </rPr>
      <t xml:space="preserve">ABREVIADO: DOS MESES EFECTIVA </t>
    </r>
    <r>
      <rPr>
        <sz val="10"/>
        <rFont val="Arial"/>
        <family val="2"/>
      </rPr>
      <t>El Dr. Escalante reemplaza a Dr. Ruiz de los Llanos</t>
    </r>
  </si>
  <si>
    <t>PRISION PREVENTIVA POR 10 DIAS</t>
  </si>
  <si>
    <t>ABREVIADO: UN AÑO Y TRES MESES CONDICIONAL</t>
  </si>
  <si>
    <r>
      <rPr>
        <b/>
        <sz val="10"/>
        <rFont val="Arial"/>
        <family val="2"/>
      </rPr>
      <t xml:space="preserve">ABREVIADO: TRES AÑOS CONDICIONAL </t>
    </r>
    <r>
      <rPr>
        <sz val="10"/>
        <rFont val="Arial"/>
        <family val="2"/>
      </rPr>
      <t>Asesoria 5 -- vic/ con capacidades deferentes - vista a la mesa pupilar en fecha 26/02/2024</t>
    </r>
  </si>
  <si>
    <t>LIBERTAD CON SUSITTUTIVAS</t>
  </si>
  <si>
    <t>ABREVIADO: UN AÑO Y DOS MESES CONDICIONAL</t>
  </si>
  <si>
    <r>
      <rPr>
        <b/>
        <sz val="10"/>
        <rFont val="Arial"/>
        <family val="2"/>
      </rPr>
      <t xml:space="preserve">SUSPENSIÓN DE JUICIO A PRUEBA Y LIBERTAD </t>
    </r>
    <r>
      <rPr>
        <sz val="10"/>
        <rFont val="Arial"/>
        <family val="2"/>
      </rPr>
      <t>---- Cuarto intermedio del 11/03</t>
    </r>
  </si>
  <si>
    <r>
      <rPr>
        <b/>
        <sz val="10"/>
        <rFont val="Arial"/>
        <family val="2"/>
      </rPr>
      <t>LIBERTAD CON CAUCION REAL</t>
    </r>
    <r>
      <rPr>
        <sz val="10"/>
        <rFont val="Arial"/>
        <family val="2"/>
      </rPr>
      <t xml:space="preserve"> VIC MENOR Asesor 9 - Suspendido por pedido de la Juez por temas personales</t>
    </r>
  </si>
  <si>
    <t>ABREVIADO: SEIS MESES Y QUINCE DIAS EFECTIVA</t>
  </si>
  <si>
    <t>ABREVIADO: SEIS MESES EFECTIVA</t>
  </si>
  <si>
    <t>ABREVIADO: 28 DIAS CONDICIONAL</t>
  </si>
  <si>
    <t>GARANTIAS</t>
  </si>
  <si>
    <t>JUZGADOS</t>
  </si>
  <si>
    <t>1 al 16 de Junio 2023</t>
  </si>
  <si>
    <t>1 al 15 de Octubre de 2023</t>
  </si>
  <si>
    <t>1 al 16 de Enero 2024</t>
  </si>
  <si>
    <t>17 al 31 de Junio 2023</t>
  </si>
  <si>
    <t>16 al 31 Octubre 2023</t>
  </si>
  <si>
    <t>17 al 31 Enero 2024</t>
  </si>
  <si>
    <t>1 al 16 de Marzo 2023</t>
  </si>
  <si>
    <t>1 al 15 de Julio 2023</t>
  </si>
  <si>
    <t>1 al 14 de Noviembre 2023</t>
  </si>
  <si>
    <t>1 al 15 Febrero 2024</t>
  </si>
  <si>
    <t>16 al 30 de Julio 2023</t>
  </si>
  <si>
    <t>15 al 30 de Noviembre 2023</t>
  </si>
  <si>
    <t>1 al 15 Agosto 2023</t>
  </si>
  <si>
    <t>1 al 14 Diciembre 2023</t>
  </si>
  <si>
    <t>1 al 16 Marzo 2024</t>
  </si>
  <si>
    <t>16 al 31 Agosto 2023</t>
  </si>
  <si>
    <t>15 al 31 diciembre 2023</t>
  </si>
  <si>
    <t>16 al 31 Marzo 2024</t>
  </si>
  <si>
    <t>1 al 15 Mayo 2023</t>
  </si>
  <si>
    <t>1 al 15 Septiembre 2023</t>
  </si>
  <si>
    <t>16 al 29 Febrero 2024</t>
  </si>
  <si>
    <r>
      <t xml:space="preserve">INGRESO ESTIMADO DURANTE EL TURNO DE </t>
    </r>
    <r>
      <rPr>
        <b/>
        <sz val="14"/>
        <color rgb="FF006100"/>
        <rFont val="Calibri"/>
        <family val="2"/>
        <scheme val="minor"/>
      </rPr>
      <t>GARANTIAS 2</t>
    </r>
  </si>
  <si>
    <r>
      <t xml:space="preserve">INGRESO ESTIMADO DURANTE EL TURNO DE </t>
    </r>
    <r>
      <rPr>
        <b/>
        <sz val="14"/>
        <color rgb="FF006100"/>
        <rFont val="Calibri"/>
        <family val="2"/>
        <scheme val="minor"/>
      </rPr>
      <t>GARANTIAS 4</t>
    </r>
  </si>
  <si>
    <r>
      <t xml:space="preserve">INGRESO ESTIMADO DURANTE EL TURNO DE </t>
    </r>
    <r>
      <rPr>
        <b/>
        <sz val="14"/>
        <color rgb="FF006100"/>
        <rFont val="Calibri"/>
        <family val="2"/>
        <scheme val="minor"/>
      </rPr>
      <t>GARANTIAS 8</t>
    </r>
  </si>
  <si>
    <r>
      <t xml:space="preserve">INGRESO ESTIMADO DURANTE EL TURNO DE </t>
    </r>
    <r>
      <rPr>
        <b/>
        <sz val="14"/>
        <color rgb="FF9C6500"/>
        <rFont val="Calibri"/>
        <family val="2"/>
        <scheme val="minor"/>
      </rPr>
      <t>GARANTIAS 3</t>
    </r>
  </si>
  <si>
    <t>TOTAL EXPEDIENTES INGRESADOS</t>
  </si>
  <si>
    <r>
      <t xml:space="preserve">EXPEDIENTES INGRESADOS DESDE EL INICIO DEL PLAN PILOTO JUZGADO 2-3-4-8 PERIODO DE </t>
    </r>
    <r>
      <rPr>
        <b/>
        <sz val="11"/>
        <rFont val="Arial"/>
        <family val="2"/>
      </rPr>
      <t>15/02/2023 AL 18/06/2023</t>
    </r>
  </si>
  <si>
    <r>
      <t xml:space="preserve">EXPEDIENTES INGRESADOS DESDE LA INCORPORACION DE LOS JUZGADOS 1 - 5 - 6 - 7 </t>
    </r>
    <r>
      <rPr>
        <b/>
        <sz val="11"/>
        <rFont val="Arial"/>
        <family val="2"/>
      </rPr>
      <t xml:space="preserve">19/06/2023 </t>
    </r>
  </si>
  <si>
    <t>EXPEDIENTES INGRESADOS</t>
  </si>
  <si>
    <t>audiencias resueltas al 21/03/2024</t>
  </si>
  <si>
    <t>FERIA JULIO 23</t>
  </si>
  <si>
    <t>FERIA ENERO 24</t>
  </si>
  <si>
    <t>PERIODO SIN FERIA</t>
  </si>
  <si>
    <t>TOTAL EN FERIA JULIO 23</t>
  </si>
  <si>
    <t>TOTAL EN FERIA ENERO24</t>
  </si>
  <si>
    <t>189271/24</t>
  </si>
  <si>
    <t>189554/24</t>
  </si>
  <si>
    <t>SEGOVIA, JUAN RAMON POR EL DELITO DE ROBO EN GRADO DE TENTATIVA Y AMENAZAS (DOS HECHOS)</t>
  </si>
  <si>
    <t>TOTAL FUERA DE FERIA</t>
  </si>
  <si>
    <t>189569/24</t>
  </si>
  <si>
    <t>FIGUEROA Carlos Exequiel por HURTO SIMPEL - DESOBEDIENCIA JUDICIAL - LESIONES LEVES en perj. De FIGUEROA Cinthia Ayelen</t>
  </si>
  <si>
    <t>189570/24</t>
  </si>
  <si>
    <t>HEREDIA CHAMORRO Ignacio Ramon por LESIONES LEVES AGRAVADAS POR LA RELACION DE PAREJA Y POR MEDIAR VIOLENCIA DE GENERO Y AMENAZAS EN CONCURSO REAL en perj. De ELENA JAZMIN VIOLETA LOPEZ</t>
  </si>
  <si>
    <t>188740/24</t>
  </si>
  <si>
    <t>ANTEZANA Adolfo por ABUSO SEXUAL CON ACCESO CARNAL AGRAVADO POR EL VINCULO Y LA CONVIVENCIA CONTINAUDO en perj. De la menor ABA</t>
  </si>
  <si>
    <t>188932/24</t>
  </si>
  <si>
    <t>FERNANDEZ BARTTOLOTTO Ignacio Nicolas por TENTATIVA DE HOMICIDIO AGRAVADO POR LA RELACION DE PAREJA Y POR VIOLENCIA DE GENERO Y DESOBEDIENCIA JUDICIAL - AMENAZAS Y ROBO SIMPLE</t>
  </si>
  <si>
    <t xml:space="preserve">ASESORA DE INCAPACES 4 - DRA. PEREZ GONZALEZvic menor se remite a la mesa pupilar el 19/03/2024 </t>
  </si>
  <si>
    <r>
      <rPr>
        <b/>
        <sz val="10"/>
        <rFont val="Arial"/>
        <family val="2"/>
      </rPr>
      <t>Abreviado: pena unica de dos años y dos meses efectiva</t>
    </r>
    <r>
      <rPr>
        <sz val="10"/>
        <rFont val="Arial"/>
        <family val="2"/>
      </rPr>
      <t>c/AP VARIAS</t>
    </r>
  </si>
  <si>
    <t>Audiencia demorada por audiencia anterior</t>
  </si>
  <si>
    <t>ABREVIADO: MARIN UVALDO 5 MESES EFECTIVA,MARIN HECTOR 4 MESES EFECTIVA</t>
  </si>
  <si>
    <t>Demora de los imputados y luego arreglo entre las partes</t>
  </si>
  <si>
    <t>Demorada por audiencia anterior con cuarto intermedio</t>
  </si>
  <si>
    <r>
      <rPr>
        <b/>
        <sz val="10"/>
        <rFont val="Arial"/>
        <family val="2"/>
      </rPr>
      <t xml:space="preserve">ABREVIADO: PARA ALARCÓN UN (UNO) MES Y UN (1) DÍA DE PRISIÓN DE EJECUCIÓN EFECTIVA Y COSTAS - PARA LIZONDO UN MES DE PRISIÓN DE EJECUCIÓN CONDICIONAL </t>
    </r>
    <r>
      <rPr>
        <sz val="10"/>
        <rFont val="Arial"/>
        <family val="2"/>
      </rPr>
      <t>Dr. Casimiro Alonso MP 5433 como abogado particular del investigado Lizondo, Julio Cesar</t>
    </r>
  </si>
  <si>
    <t>MOTIVO DE LA DEMORA: LOS IMPUTADOS LLEGARON DESPUES DE HORA PORQUE SE CAMBIÓ LA SALA DE JUICIO - LA AUDIENCIA INICIÓ A LA HORA QUE INGRESÓ S.S.</t>
  </si>
  <si>
    <r>
      <rPr>
        <b/>
        <sz val="10"/>
        <rFont val="Arial"/>
        <family val="2"/>
      </rPr>
      <t xml:space="preserve">ABREVIADO: UN AÑO EFECTIVA </t>
    </r>
    <r>
      <rPr>
        <sz val="10"/>
        <rFont val="Arial"/>
        <family val="2"/>
      </rPr>
      <t xml:space="preserve">reprogramada del día 20/03/2024 por acuerdo entre las partes </t>
    </r>
  </si>
  <si>
    <t>DEMORA POR ARREGLO ENTRE LAS PARTES - CUARTO INTERMEDIO</t>
  </si>
  <si>
    <r>
      <rPr>
        <b/>
        <sz val="10"/>
        <rFont val="Arial"/>
        <family val="2"/>
      </rPr>
      <t>PRISION PREVENTIVA</t>
    </r>
    <r>
      <rPr>
        <b/>
        <sz val="10"/>
        <color rgb="FFFF0000"/>
        <rFont val="Arial"/>
        <family val="2"/>
      </rPr>
      <t xml:space="preserve">        el Juzgado de origen solicita que el expediente permanezca en el juzgado </t>
    </r>
    <r>
      <rPr>
        <sz val="10"/>
        <rFont val="Arial"/>
        <family val="2"/>
      </rPr>
      <t>Dr. Federico Ruiz Matei por Guaymás Ruben Antonio; Dr. Ricardo Poclava por José Luis Alarcón;  Dra. Sandra Liliana Monje de Nsser por María Indes Méndez; Dr. Estrada Arnaldo por Patricia Flores; Dr. Riardo Poclava por Raul Arjona; Dr. Maria Florencia Maggio por Chaju, Yanina; Dr. Adriana Soria por Francisco Bisceglia; Dr. Martín Gimenez MP 6490 por Marcos Bucotich García; Dra. Adriana Soria por Luis Roberto Castaño; Dr. Gimenez Martín MP 6490 por JOsue Joel Valencia; DOP Nº 10 por Silavana Avendaño; Dra. Marina Bouhid por Nicole Luna; Dr. Poclava por Sergio Moya</t>
    </r>
  </si>
  <si>
    <t>Imputados fuera de hora - Conectividad Audiencia Remota</t>
  </si>
  <si>
    <r>
      <rPr>
        <b/>
        <sz val="10"/>
        <rFont val="Arial"/>
        <family val="2"/>
      </rPr>
      <t xml:space="preserve">PRISION PREVENTIVA </t>
    </r>
    <r>
      <rPr>
        <sz val="10"/>
        <rFont val="Arial"/>
        <family val="2"/>
      </rPr>
      <t>Cuarto intermedio del 14/03 para el día 21/03/2024</t>
    </r>
  </si>
  <si>
    <t>Demora por retraso de la Jueza</t>
  </si>
  <si>
    <t>LIBERTAD con SUSTITUTIVA</t>
  </si>
  <si>
    <t>Demora en la llegada de la Fiscalia y luego del Juez</t>
  </si>
  <si>
    <t>Demora porque habia otra audiencia anterior</t>
  </si>
  <si>
    <r>
      <rPr>
        <b/>
        <sz val="10"/>
        <rFont val="Arial"/>
        <family val="2"/>
      </rPr>
      <t xml:space="preserve">PRISION PREVENTIVA </t>
    </r>
    <r>
      <rPr>
        <sz val="10"/>
        <rFont val="Arial"/>
        <family val="2"/>
      </rPr>
      <t>Asesoria 1</t>
    </r>
  </si>
  <si>
    <t>Demora del abogado defensor</t>
  </si>
  <si>
    <t>MOTIVO DE LA DEMORA: ARREGLO ENTRE LAS PARTES</t>
  </si>
  <si>
    <t>ORELLANA Carlos Alberto por LESIONES en perj. De CACERES Irma Jaquelina</t>
  </si>
  <si>
    <t>189648/24</t>
  </si>
  <si>
    <t>189496/24</t>
  </si>
  <si>
    <t>189610/24</t>
  </si>
  <si>
    <t>189605/24</t>
  </si>
  <si>
    <t>189609/24</t>
  </si>
  <si>
    <t xml:space="preserve"> 164797/21</t>
  </si>
  <si>
    <t>189535/24</t>
  </si>
  <si>
    <t>189460/24</t>
  </si>
  <si>
    <t xml:space="preserve">SOTO Carlos Damian por LESIONES LEVES AGRAVADAS POR LA RELACION DE PAREJA PREVIA Y POR EL GENERO - AMENAZAS - DESOBEDIENCIA JUDICIAL TOODO EN CONCURSO REAL  en pejr. </t>
  </si>
  <si>
    <t>186519/23</t>
  </si>
  <si>
    <t>JIMENEZ, RAMIRO LUCIANO POR ROBO SIMPLE - y acum. GAR 189344/24 (JIMENEZ Luciano Ramiro por Hurto Simple - Rodriguez Francisco Alejandro por Hurto Simple en perj. De MAMANI RICHARD ROSIER)</t>
  </si>
  <si>
    <t>Dr. Medina Esper Maria Elsa MP 3085</t>
  </si>
  <si>
    <t>189266/24</t>
  </si>
  <si>
    <t>189566/24</t>
  </si>
  <si>
    <t>COPA Benjamin Agustin por LESIONES LEVES - AMENAZAS - DAÑOS en perj TITO Mariela Raquel</t>
  </si>
  <si>
    <t>189587/24</t>
  </si>
  <si>
    <t>AGUAYSOL CRUZ Yazael Naim por DAÑOS</t>
  </si>
  <si>
    <t>189651/24</t>
  </si>
  <si>
    <t>GUTIERREZ Dardo Ruben Alejandro por ROBO SIMPLE EN GRADO DE TTVA. EN PERJ DE CASTRO Mario Ariel</t>
  </si>
  <si>
    <t>ALBARRACIN Marcos Alberto por AMENAZAS y ROBO CALIFICADO POR EL USO DE ARMA EN CONCURSO REAL en perj FERNANDEZ Miriam Beatriz</t>
  </si>
  <si>
    <t>NAVARRO Mauro Nahuel por ROBO SIMPLE en perj. De CHAUQUI Sergio</t>
  </si>
  <si>
    <t>MAMANI Maximliano Jose por LESIONES DOBLEMENTE AGRAVADA POR EL GENERO Y POR LA RELACION DE PAREJA PREEXISTENTE (dos hechos) COACCION - DESOBEDIENCIA JUDICIAL - RESISTENCIA A LA AUTORIDAD EN CONCURSO REAL en perj. De CALLE Elizabeth Roxana</t>
  </si>
  <si>
    <t>NAVARRO Virgilio por COACCION - DESOBEDIENCIA JUDIAL en perj. De MAITA Carmen Milena</t>
  </si>
  <si>
    <t>PASTRANA Axel Emanuel por ROBO Y DESOBEDIENCIA JUDICIAL - AMENAZAS - DAÑOS - LESIONES LEVES AGRAVADAS POR LA RELACION DE PAREJA PREVAI Y POR CONSTITUTIR VIOLENCIA DE GENERO Y DESOBEDIENCIA JUDICIAL EN CONCURSO REAL en perj. De LOPEZ Soledad Maria de los Angeles</t>
  </si>
  <si>
    <t xml:space="preserve"> 13:55</t>
  </si>
  <si>
    <t>DEMORA por arreglo entre las partes</t>
  </si>
  <si>
    <r>
      <rPr>
        <b/>
        <sz val="10"/>
        <rFont val="Arial"/>
        <family val="2"/>
      </rPr>
      <t xml:space="preserve">PRISION PREVENTIVA </t>
    </r>
    <r>
      <rPr>
        <sz val="10"/>
        <color rgb="FFFF0000"/>
        <rFont val="Arial"/>
        <family val="2"/>
      </rPr>
      <t xml:space="preserve">reprogramada del día 20/03/2024 por acuerdo entre las partes --- Qte. Dr. Rubial --- </t>
    </r>
  </si>
  <si>
    <t>DEMORA por audiencia anteriror la spartes ocupadas</t>
  </si>
  <si>
    <t>MOTIVO DE LA DEMORA: EL JUEZ SE ENCONTRABA VIENDO UN VIDEO DE UNA AUDIENCIA - ACUERDO ENTRE LAS PARTES - LA AUDIENCIA INICIÓ A LA HORA QUE INGRESÓ S.S.</t>
  </si>
  <si>
    <t>POR VELA SE DISPONE CONDENAR 2 MESES EFECTIVA -----Y PARA RIVERO CRITERIO DE OPORUNIDAD  (231 INC A DEL CPP) Y SOBRESEIMEINTO  Y LIBERTAD (428 INC F DEL CPP)</t>
  </si>
  <si>
    <t>DEMORA DE LA DEFENSA QUIEN SE ENCONTRABA EN OTRA AUDIENCIA - LOS DETENIDOS SUBIERON 15 MINUTOS MAS TARDE DE LA HORA DE AUDIENCIA YA QUE NO CONTABAN CON GUARDIAS</t>
  </si>
  <si>
    <r>
      <rPr>
        <b/>
        <sz val="10"/>
        <rFont val="Arial"/>
        <family val="2"/>
      </rPr>
      <t>Bonifacio: mantiene prisiòn preventiva - Guzman: Libertad con medidas sustitutivas.-pedir con antelación ---</t>
    </r>
    <r>
      <rPr>
        <sz val="10"/>
        <rFont val="Arial"/>
        <family val="2"/>
      </rPr>
      <t xml:space="preserve"> Prisión preventiva por 20 dias para bonifacio</t>
    </r>
  </si>
  <si>
    <t>DEMORA por Llegada tarde y tratativas entre las partes</t>
  </si>
  <si>
    <t>ABREVIADO: UN MES EFECTIVA</t>
  </si>
  <si>
    <t>DETENIDO LLEGO FUERA DE HORARIO</t>
  </si>
  <si>
    <t>Audiencia suspendida por falta de abogado defensor</t>
  </si>
  <si>
    <t xml:space="preserve">SUSPENDIDA POR FALTA DE ABOGADO DEFENSOR - HAY QUE REPROGRAMAR PARA EL DIA 04/04/2024 A HS. 10:30  Asesoria 5-- VIC MENOR -- VISTA A LA MESA PUPILAR EN FECHA 28/02/2024 --- El Sr. Juez solicitan que se resuelva el día de mañana 15/03/2024 después de resolver la causa de la Dra. Florencia Gonzalez </t>
  </si>
  <si>
    <t xml:space="preserve">SUSPENDIDA POR FALTA DE ABOGADO DEFENSOR Dr. Stengur - se reprograma para el dia </t>
  </si>
  <si>
    <t>suspendida por falta del abogado defensor</t>
  </si>
  <si>
    <t>DEMORA DE LA DEFENSA Y ARREGLO ENTRE LAS PARTES</t>
  </si>
  <si>
    <t xml:space="preserve">Dr. Stengurt Federico Andres </t>
  </si>
  <si>
    <t>CASTILLO, ALAN LAUTARO Y CASTILLO JONATHAN LEONEL POR EL DELITO DE ENCUBRIMIENTO AGRAVADO</t>
  </si>
  <si>
    <t>Dr. Jeremias Emanuel Fernandez Ocampo MP 7100</t>
  </si>
  <si>
    <t>189504/24</t>
  </si>
  <si>
    <t>QUISPE CEJAS, GABRIEL ALEJANDRO POR EL DELITO DE HURTO SIMPLE Y AMENAZAS CON ARMA</t>
  </si>
  <si>
    <t>189465/24</t>
  </si>
  <si>
    <t>BEJARANO, ARMANDO POR EL DELITO DE ROBO DOBLEMENTE CALIFICADO POR SER COMETIDO EN POBLADO Y EN BANDA Y POR ESCALAMIENTO EN GRADO DE TENTATIVA</t>
  </si>
  <si>
    <t>189466/24</t>
  </si>
  <si>
    <t>ELIAS, HORACIO ROMERO POR LOS DELITOS DE DESOBEDIENCIA JUDICAIL Y LESIONES EN CONCURSO REAL</t>
  </si>
  <si>
    <t>PRISION PREVENTIVA hasta el 27/03</t>
  </si>
  <si>
    <r>
      <rPr>
        <sz val="10"/>
        <color rgb="FFFF0000"/>
        <rFont val="Arial"/>
        <family val="2"/>
      </rPr>
      <t>Virtual victima en Fiscalia</t>
    </r>
    <r>
      <rPr>
        <sz val="10"/>
        <rFont val="Arial"/>
        <family val="2"/>
      </rPr>
      <t xml:space="preserve"> - CAMACHO Damian Andres por AMENAZAS en perj. De FRANCO Rocio Alejandra - Franco Jose Mario </t>
    </r>
  </si>
  <si>
    <t>Dr. Lucero, Mariano MP 6975</t>
  </si>
  <si>
    <t>Suspendida por pedido del juez, no se realiza hasta tanto no se resuelva en impugnación - preventiva con plazos - pedir con antelación al juzgado de origen</t>
  </si>
  <si>
    <t>189522/24</t>
  </si>
  <si>
    <t>189663/24</t>
  </si>
  <si>
    <t>189276/24</t>
  </si>
  <si>
    <t>ORTEGA, JESUS ANTONIO; RODAN, ROMINA MALENA por hurto</t>
  </si>
  <si>
    <t>PRESO</t>
  </si>
  <si>
    <t>SIN ELEVAR</t>
  </si>
  <si>
    <t>185126/23</t>
  </si>
  <si>
    <t>189387/24</t>
  </si>
  <si>
    <t>TABOADA, ARMANDO JOSE MIGUEL por robo agravado por el uso de armas; CHOCOBAR, BEJAMIN THIAGO YAMIL por robo agravado por el uso de armas; TABOADA, CRISTIAN JOSE LUIS por robo agrvado por el uso de armas en perjuicio de Aramayo, Cintia Yolanda</t>
  </si>
  <si>
    <t>189647/24</t>
  </si>
  <si>
    <t>lino, aldana de los angeles y ramallo monica beatriz PRO Robo en perjuicio de Poclava, Juana</t>
  </si>
  <si>
    <t>189518/24</t>
  </si>
  <si>
    <t>SARAPURA, JOSÉ GABRIEL y ARNOLD ELIO DARIO por robo simple</t>
  </si>
  <si>
    <t>189650/24</t>
  </si>
  <si>
    <t>ESPINOZA GUERRA, ISMAEL ROBERTO RAMON por amenazas en perjuicio de Guerra, Juan Carlos</t>
  </si>
  <si>
    <t>189564/24</t>
  </si>
  <si>
    <t>FLORES, PRICILA ABIGAIL Y LEANDRO MATIAS ESTEBAN por hurto en perjuicio de Vega, Cassia Jhesenia y Gomez, Martina</t>
  </si>
  <si>
    <t>186394/23</t>
  </si>
  <si>
    <t>189164/24</t>
  </si>
  <si>
    <t>ARCE MALLON IGNACIO por abuso sexual simple</t>
  </si>
  <si>
    <t>Dr. Ayala Torres, Luis Fernando MP 2161</t>
  </si>
  <si>
    <t>Suspendida por cambio de defensa en audiencia - c/ actuaciones policiales por cuerda floja</t>
  </si>
  <si>
    <t>Dr. López Escotorin, Mario César MP 1012</t>
  </si>
  <si>
    <t>189630/24</t>
  </si>
  <si>
    <t>VILLALBA, VICTOR ALBERTO por robo calificado en grado de tentativa en perjucio de Gauna Pablo Fernando</t>
  </si>
  <si>
    <t>189523/24</t>
  </si>
  <si>
    <t>MARINO, HECTOR DANIEL por hurto simple; FABIAN, CARLOS FERNANDO por hurto simple; VIVERO, FACUNDO AGUSTIN</t>
  </si>
  <si>
    <t>189684/24</t>
  </si>
  <si>
    <t>189552/24</t>
  </si>
  <si>
    <t>MIRANDA, LEONARDO EZEQUIEL por amenazas en perjuicio d eChoque, Ivana Judith y Yapura, Fernanda Guadalupe</t>
  </si>
  <si>
    <t>189714/24</t>
  </si>
  <si>
    <t>189544/24</t>
  </si>
  <si>
    <t>189492/24</t>
  </si>
  <si>
    <t>Dra. Corbalan, Julieta MP 5002</t>
  </si>
  <si>
    <t>Juicio abreviado - 2 años y 8 meses efectiva</t>
  </si>
  <si>
    <t>Jucio abreviado - 2 meses efectiva</t>
  </si>
  <si>
    <t>Libertad con medidias sustitutitvas</t>
  </si>
  <si>
    <t>Asesoría Nº 2 - Arresto domiciliario</t>
  </si>
  <si>
    <t>Libertad con medidas sustitutitvas</t>
  </si>
  <si>
    <t xml:space="preserve">Prision preventiva </t>
  </si>
  <si>
    <t>Juciioa breviado - 1 mes efectiva</t>
  </si>
  <si>
    <t>Prisión preventiva por 30 dias - Vence el 26/04</t>
  </si>
  <si>
    <t>Libertad con medidas sustituttivas</t>
  </si>
  <si>
    <t>A DEFINIR</t>
  </si>
  <si>
    <t>DRA. SOTO</t>
  </si>
  <si>
    <t>Dra. Morales,  MP 5234</t>
  </si>
  <si>
    <t>reprogramada el día 19/03/2024 - Prisión preventiva</t>
  </si>
  <si>
    <t>Mantenimiento de prisión preventiva -  LA FECHA DE AUDIENCIA ESTABA FIJADA PARA 01/04/2024 PERO AL SER UN DIA INHABIL SE CAMBIO AL 27/03/2024</t>
  </si>
  <si>
    <t xml:space="preserve">Libertad con medidas sustitutivas - Asesoria 2 -- vic menor -- se remite a la mesa pupilar en fecha 23/02/24 </t>
  </si>
  <si>
    <t>Juicio abreviado - 9 meses efectivaC/ EXP ACUMULADO GAR 188033/23</t>
  </si>
  <si>
    <t>Juicio abreviaod - 2 meses efectiva</t>
  </si>
  <si>
    <t>189516/24</t>
  </si>
  <si>
    <t>189511/24</t>
  </si>
  <si>
    <t>ESCOBEDO, SAMUEL MACIAS por producción y distribución de material de abuso y/o explotación sexual infantil</t>
  </si>
  <si>
    <t xml:space="preserve">Juicio abreviado - 4 años efectiva Suspendida del dia 12/03 </t>
  </si>
  <si>
    <t>189606/24</t>
  </si>
  <si>
    <t>189568/24</t>
  </si>
  <si>
    <t>189581/24</t>
  </si>
  <si>
    <t>189585/24</t>
  </si>
  <si>
    <t>189594/24</t>
  </si>
  <si>
    <t>Juicio abreviaod - 6 meses efectiva</t>
  </si>
  <si>
    <t>Juicio abreviado 3 años condicional - Fijada por Oga a hs 9:15 pero se realizan a hs 10:00 por pedidio de Dr. Espeche</t>
  </si>
  <si>
    <r>
      <rPr>
        <sz val="10"/>
        <color rgb="FFFF0000"/>
        <rFont val="Arial"/>
        <family val="2"/>
      </rPr>
      <t>virtual con fiscalia</t>
    </r>
    <r>
      <rPr>
        <sz val="10"/>
        <rFont val="Arial"/>
        <family val="2"/>
      </rPr>
      <t xml:space="preserve"> - GUAYMAS, RAMON ALBERTO por lesiones en perjuicio de Chocobar, Camila</t>
    </r>
  </si>
  <si>
    <t>Libertad con sustitutivas - PREVENTIVA desde el 22/03 hasta el 27/03</t>
  </si>
  <si>
    <t>189556/24</t>
  </si>
  <si>
    <t>RUIZ, NESTOR RAFAEL POR EL DELITO DE DESOBEDIENCIA JUDICIAL, AMENAZAS EN CONCURSO REAL - DESOBEDIENCIA JUDICIAL CINCO HECHOS - Y AMENAZAS HECHOS EN CONCURSO REAL EN PERJUICIO DE LORENA HAYDEE RIVERO</t>
  </si>
  <si>
    <t>189574/24</t>
  </si>
  <si>
    <t>ARAUJO, MARCELO JESUS POR ROBODOBLEMENTE CALIFICADO POR HABERSE COMETIDO CON ARMA Y POR SER VEHICULO DEJADO EN LA VÍA PÚBLICA  EN CONCURSO IDEAL EN PERJUICIO DE CARDOZO, JONATAN EZEQUIEL</t>
  </si>
  <si>
    <t>189616/24</t>
  </si>
  <si>
    <t>SUICA, JORGE ALEJANDRO POR EL DELITO DE ROBO CALIFICADO POR EL USO DE ARMA DOS HECHOS EN CONCURSO REAL EN PERJUICIO DEL MENOR GJL</t>
  </si>
  <si>
    <t>MOYA, CYNTHIA ELIZABETH DEL VALLE Y OTROS POR ESTAFAS REITERADAS Y FALSIFICACIÓN DE INSTRUMENTO PRIVADO</t>
  </si>
  <si>
    <t>189706/24</t>
  </si>
  <si>
    <t xml:space="preserve">RAMOS, JUAN CARLOS POR EL DELITO DE ROBO SIMPLE EN PERJUICIO DE </t>
  </si>
  <si>
    <t>189313/24</t>
  </si>
  <si>
    <t>184300/23</t>
  </si>
  <si>
    <t>LOPEZ, FEDERICO ARIEL POR EL DELITO DE TENENCIA DE ESTUPEFACIENTES CON FINES DE COMERCIALIZACIÓN EN PERJUICIO DE SALUD PUBLICA</t>
  </si>
  <si>
    <t xml:space="preserve">LOBO, MELISA BEATRIZ Y GUTIERREZ, ORIANA JAZMIN POR ROBO </t>
  </si>
  <si>
    <t>189709/24</t>
  </si>
  <si>
    <t>189682/24</t>
  </si>
  <si>
    <t>MAIDANA, GRABRIEL TEOFILO POR DAÑOS, AMENAZAS Y AGRESIÓN CON TODA ARMA AGRAVADA</t>
  </si>
  <si>
    <t>Dra. Salvatierram Belen Alejandra MP 7283</t>
  </si>
  <si>
    <t xml:space="preserve">ROMERO SARTINI, CARLOS SEBASTIAN POR HOMICIDIO CRIMINIS CAUSA EN GRADO DE TENTATIVA  EN PERJUICIO DE SANCHEZ PEREZ, MATIAS ATILIO </t>
  </si>
  <si>
    <t xml:space="preserve">GUTIERREZ PAZ, ORIANA JAZMIN POR EL DELITO DE TENENCIA DE ESTUPEFACIENTES CON FINES DE COMERCIALIZACIÓN </t>
  </si>
  <si>
    <t>189646/24</t>
  </si>
  <si>
    <t>VILTE, MARCELO POR HURTO Y TENTATIVA DE HURTO EN PERJUICIO DE ALVAREZ, JOSÉ ISMAEL</t>
  </si>
  <si>
    <t>CÁCERES, CRISTIAN ALBERTO POR AMENAZAS CON ARMA, DALOS, ROBO SIMPLE, RESISTENCIA A LA AUTORIDAD, DESOBEDIENCIA JUDICIAL Y LESIONES LEVES AGRAVADAS POR LA RELACIÓN DE PAREJA Y VOLENCIA DE GÉNERO</t>
  </si>
  <si>
    <t xml:space="preserve">TOLABA, ALAN RAFAEL POR ROBO SIMPLE Y COACCIÓN </t>
  </si>
  <si>
    <t>189720/24</t>
  </si>
  <si>
    <t>BONZAREFF, LEON DANIEL POR LESIONES AGRAVADAS POR LA RELACION DE PAREJA PREEXISTENTE Y POR MEDIAR VIOLENCIA DE GENERO, ROBO Y DESOBEDIENCIA JUDICIAL EN CONCURSO REAL</t>
  </si>
  <si>
    <t>189572/24</t>
  </si>
  <si>
    <t>VALDEZ, ESTEBAN NICOLAS POR HOMICIDIO CULPOSO CALIFICADO POR LA CONDUCCION IMPRUDENTE, NEGLIGENTE O ANTIREGLAMENTARIA DE VEHICULO CON MOTOR CALIFICADO POR CONDUCIR CON UN NIVEL DE ALCOHOLEMIA SUPERIOR A UN GRAMO POR LITREO DE SANGRE AL MOMENTO DEL HECHO EN PERJUICIO DE CAREAGA CASTRO, CARLA ROSARIO</t>
  </si>
  <si>
    <t>189740/24</t>
  </si>
  <si>
    <t>AGUIRRE, MATIAS Y DIAZ, FABRICIO POR ROBO SIMPLE EN PERJUICIO DE CHOQUE, HECTOR FERNANDO</t>
  </si>
  <si>
    <r>
      <rPr>
        <b/>
        <sz val="10"/>
        <color rgb="FFFF0000"/>
        <rFont val="Arial"/>
        <family val="2"/>
      </rPr>
      <t xml:space="preserve">EL JUZGADO DE ORIGEN RESOLVERA ---- </t>
    </r>
    <r>
      <rPr>
        <sz val="10"/>
        <rFont val="Arial"/>
        <family val="2"/>
      </rPr>
      <t>REVISION DE PREVENTIVA POR  Bisceglia, Francisco y Castaño, Luis   -   Dr. Federico Ruiz Matei por Guaymás Ruben Antonio; Dr. Ricardo Poclava por José Luis Alarcón;  Dra. Sandra Liliana Monje de Nsser por María Indes Méndez; Dr. Estrada Arnaldo por Patricia Flores; Dr. Riardo Poclava por Raul Arjona; Dr. Maria Florencia Maggio por Chaju, Yanina; Dr. Adriana Soria por Francisco Bisceglia; Dr. Martín Gimenez MP 6490 por Marcos Bucotich García; Dra. Adriana Soria por Luis Roberto Castaño; Dr. Gimenez Martín MP 6490 por JOsue Joel Valencia; DOP Nº 10 por Silavana Avendaño; Dra. Marina Bouhid por Nicole Luna; Dr. Poclava por Sergio Moya</t>
    </r>
  </si>
  <si>
    <t>Dr. Estrada, Arnaldo MP 376</t>
  </si>
  <si>
    <r>
      <rPr>
        <sz val="10"/>
        <color rgb="FFFF0000"/>
        <rFont val="Arial"/>
        <family val="2"/>
      </rPr>
      <t>Virtual victima en Fiscalia</t>
    </r>
    <r>
      <rPr>
        <sz val="10"/>
        <rFont val="Arial"/>
        <family val="2"/>
      </rPr>
      <t xml:space="preserve"> - ANAQUIN, SAUL SOCAR por robo simple; Medina Carlos Daniel por robo simple en perjuicio de Valdez, rolando Ruben</t>
    </r>
  </si>
  <si>
    <t>Suspendida por pedido de libertad por parte de la fiscalia - se remite el expediente al juzgado de origen</t>
  </si>
  <si>
    <t xml:space="preserve">SUSPENDIDA POR SUPERPOSICION DE AUDIENCIA CON DEBATE DEL DEFENSOR DOP4 - SUSPENDIDA EN FECHA 22/ 03/2024 POR FALTA DE ABOGADO DEFENSOR - HAY QUE REPROGRAMAR PARA EL DIA 04/04/2024 A HS. 10:30  Asesoria 5-- VIC MENOR -- VISTA A LA MESA PUPILAR EN FECHA 28/02/2024 --- El Sr. Juez solicitan que se resuelva el día de mañana 15/03/2024 después de resolver la causa de la Dra. Florencia Gonzalez </t>
  </si>
  <si>
    <t>LEGUINA, MATIAS ELIAS POR VIOLACIÓN DE DOMICILIO Y DESOBEDIENCIA JUDICIAL EN PERJUICIO DE JIMÉNEZ, RUT LAURA</t>
  </si>
  <si>
    <t>189546/24</t>
  </si>
  <si>
    <t xml:space="preserve">AVILA, LUCIO AGUSTIN POR AMENAZAS, PRIVACION ILEGITIMA DE LA LIBERTAD AGRAVADA, AMENAZAS CON ARMAS EN PERJUICIO DE FLORES, ANAHI APNº 3196/24 COM 8 Y ACUMULADAS AP Nº 4314 COM 2 AP Nº 397/24 SUB CRIA </t>
  </si>
  <si>
    <t>189718/24</t>
  </si>
  <si>
    <t>PEÑA, MAXIMILIANO JUAN JOSE POR EL DELITO DE ROBO SIMPLE EN PERJUICIO DE CASTILLA BLANCO, LAURA VANESA</t>
  </si>
  <si>
    <t>189762/24</t>
  </si>
  <si>
    <t>RODRIGUEZ, SEBASTIAN SAMUEL POR HURTO SIMPLE ENGRADO DE TENTATIVA</t>
  </si>
  <si>
    <r>
      <rPr>
        <sz val="10"/>
        <color rgb="FFFF0000"/>
        <rFont val="Arial"/>
        <family val="2"/>
      </rPr>
      <t>Virtial victima en güemes ---</t>
    </r>
    <r>
      <rPr>
        <sz val="10"/>
        <rFont val="Arial"/>
        <family val="2"/>
      </rPr>
      <t>ACUÑA, MATIAS JAVIER y VILLALON, LEANDRO MARCELO por robo simple y hurto simple en concurso real</t>
    </r>
  </si>
  <si>
    <t>Suspendida por ausencia del defensor particular Dr. Arnedo - Dr. Arnedo Daniel Y Dr. Mena, Francisco Miguel</t>
  </si>
  <si>
    <t xml:space="preserve">Prisión preventiva - ASESORA DE INCAPACES 4 - DRA. PEREZ GONZALEZvic menor se remite a la mesa pupilar el 19/03/2024 </t>
  </si>
  <si>
    <t>REYES BEJARANO, HERNAN MAXIMILIANO POR DESOBEDIENCIA JUDICIAL, AMENAZAS, ROBO Y DAÑOS EN CONCURSO REAL; REYES MARCELO CARLOS RAMÓN POR AMENAZAS Y DESOBEDIENCIA JUDICIAL, ATENTADO Y RESISTANCIA A LA AUTORIDAD PÚBLICA</t>
  </si>
  <si>
    <t>NINA RUBEN ADOLFO Y GONZALEZ, CRISTIAN POR ROBO ENPERJUICIO DE HERRERA SUAREZ,SERGIO</t>
  </si>
  <si>
    <t xml:space="preserve">VIRTUAL CON FISCAL DAVALOS - RIOS, DIEGO POR AMENAZAS CON ARMA, RESISTENCIA A LA AUTORIDAD Y AMENAZAS EN CONCURSO REAL </t>
  </si>
  <si>
    <t>189713/24</t>
  </si>
  <si>
    <t xml:space="preserve">SARAPURA, RENE LUIS POR DESOBEDIENCIA JUDICIAL EN PERJUICIO DE RAMOS, YOLANDA CAROLINA </t>
  </si>
  <si>
    <t>189611/24</t>
  </si>
  <si>
    <t>CABANA, MIGUEL NICOLAS POR ENCUBRIMIENTO EN PERJUICIO DE</t>
  </si>
  <si>
    <t>G01 187679/23</t>
  </si>
  <si>
    <t>DRA. LAMAS</t>
  </si>
  <si>
    <t>189793/24</t>
  </si>
  <si>
    <t>EGUIA, FABIO JULIAN Y LOPEZ, FRANCISCO CAYETANO POR HURTO CALIFICADO EN PERJUICIO DE LOPEZ, ROBERTO ALEJANDRO - A.P. 455/24 SUBCOM VILLA LAVALLE - FISCAL PENAL 4</t>
  </si>
  <si>
    <t>189749/24</t>
  </si>
  <si>
    <t>QUIROZ, FRANCO EMANUEL POR EL DELITO DE AMENAZAS EN PERJUICIO DE LA SRA. CUELLAR, CARMEN ROSA</t>
  </si>
  <si>
    <t>189794/24</t>
  </si>
  <si>
    <t>189821/24</t>
  </si>
  <si>
    <t>LEAL, LEONARDO NICOLAS; OSCARI, LUCAS ALBERTO POR ROBO EN GRADO DE TENTATIVA</t>
  </si>
  <si>
    <t>189814/24</t>
  </si>
  <si>
    <t>ASTORGA, GONZALO JOEL POR ROBO CALIFICADO POR EL USO DE ARMA EN GRADO DE TTVA EN PERJUICIO DE: MAIRA MARTINEZ, AMENAZAS Y DESOB JUDICIAL EN PERJUICIO DE JOAQUIN ASTORGA, Y ROBO CALIFICADO EN PERJUICIO DE LUCIANO</t>
  </si>
  <si>
    <t>189716/24</t>
  </si>
  <si>
    <t>VILLALBA, FABIANA MALENA POR EL DELITO DE HOMICIDIO AGRAVADA POR LA RELACION DE PAREJA EN PERJUICIO DE JOSE MANUEL ALVARO CÁSERES</t>
  </si>
  <si>
    <t>189819/24</t>
  </si>
  <si>
    <t>189627/24</t>
  </si>
  <si>
    <t>GARCIA, ALEXIS GUSTAVO POR HURTO SIMPLE - DEN: VELAZQUEZ, LILIA NILDA -</t>
  </si>
  <si>
    <t>189825/24</t>
  </si>
  <si>
    <t>DO SATOS, ADRIAN ELISEO POR ABUSO SEXUAL SIMPLE (CONTINUADO) AGRAVADO POR LA GUARDA Y POR LA CONVIVENCIA PREEXISTENTE Y POR EL USO DE ARMA</t>
  </si>
  <si>
    <t>189551/24</t>
  </si>
  <si>
    <t>CUELLAR, JORDANA ALDANA POR TENENCIA DE ESTUPEFACIENTES CON FINES DE COMERCIALIZACION EN PERJUICIO DE SALUD PUBLICA - A.P.59/24 SECTOR DE INVESTIGACION NARCOCRIMINAL 2 - FISCAL UFINAR</t>
  </si>
  <si>
    <t>LESDESMA ELIAS MARIO RAUL POR HURTO EN PERJ. DE LEON APARICIO ROMINA FABIOLA</t>
  </si>
  <si>
    <t>PP x JJR - Prisión preventiva</t>
  </si>
  <si>
    <t>Prisión preventiva - Fijada por Oga a hs 9:15 pero se realizan a hs 10:00 por pedidio de Dr. Espeche - Asesoria de incapaces 4 - Dra. Perez Gonzalez</t>
  </si>
  <si>
    <t>Suspención de juicio a prueba - Audiencia prorrogada del dia 03/04</t>
  </si>
  <si>
    <t>ASESOR INCAPACES 5 - Prisión preventiva</t>
  </si>
  <si>
    <t>Mantenimiento de prisión preventiva - Querella Chavez, Hctor y Dr Erazo</t>
  </si>
  <si>
    <t>Juicioa abreviado - 1 año y 6 meses condicional</t>
  </si>
  <si>
    <t>Libertad con sustitutivas - Asesoria 6</t>
  </si>
  <si>
    <t xml:space="preserve">Libertad con medidas sutitutivas - SUSPENDIDA EN FECHA 22/03/2024 POR FALTA DE ABOGADO DEFENSOR Dr. Stengur - se reprograma para el dia </t>
  </si>
  <si>
    <t xml:space="preserve">Juicio abreviado - 6 efectiva </t>
  </si>
  <si>
    <t xml:space="preserve">Prisión preventiva para todos los imputados - PARRO BALDONI por Diaz Zabalaga; Gonzalez. Axel Gastón con el Dr. Bustamante, Héctor; Dr. Orfeo Maggio por Copa, Nicolás; </t>
  </si>
  <si>
    <t xml:space="preserve">Juicio abreviado - 1 año condicional </t>
  </si>
  <si>
    <t>Libertad con medidas sutitutivas  --  Preventiva por 30 dias Pedir con antelación el expte</t>
  </si>
  <si>
    <t>Medida de seguridad de internación</t>
  </si>
  <si>
    <t>Arresto domiciliario para Ortuño, Catriel y Maurin - Libertad con sustitutivas para Ortuño Gaston</t>
  </si>
  <si>
    <t>Prision domiciliaria - Querella: Dr. Alejandro Romany - Tiene preventiva por 30 dias vence 05/04</t>
  </si>
  <si>
    <r>
      <rPr>
        <sz val="10"/>
        <color rgb="FFFF0000"/>
        <rFont val="Arial"/>
        <family val="2"/>
      </rPr>
      <t>Virtual con fiscalia</t>
    </r>
    <r>
      <rPr>
        <sz val="10"/>
        <rFont val="Arial"/>
        <family val="2"/>
      </rPr>
      <t xml:space="preserve"> - BURGOS, ANDÉS SANTIAGO POR LESIONES LEVES AGRAVADAS POR LA RELACION DE PAREJA PREEXISTENTE Y POR MEDIAR VIOLENCIA DE GENERO Y AMENAZAS EN CONCURSO REAL EN PERJUICIO DE TERÁN, ROCIO ABIGAIL</t>
    </r>
  </si>
  <si>
    <t xml:space="preserve">GOMEZ, FRANCISCO POR ABUSO SEXUAL GRAVEMENTE ULTRAJANTE POR SU DURACIÓN Y CIRCUNSTANCIA DE SU REALIZACIÓN Y ABUSO SEXUAL CON ACCESO CARNAL CONTINUADO AGTRAVADO POR EL VINCULO TODO EN CONCURSO REAL CON EXHIBICIÓN DE MATERIAL PORNOGRAFICO A MENOR DE 14 AÑOS </t>
  </si>
  <si>
    <t>189828/24</t>
  </si>
  <si>
    <t xml:space="preserve">DIAZ, NADIA DE LOS ANGELES POR ENCUBRIMIENTO </t>
  </si>
  <si>
    <t>189826/24</t>
  </si>
  <si>
    <t>QUEVEDO, WALTER NICOLAS POR EL DELITO DE ROBO SIMPLE EN PERJUICIO DE FUNES, MARIO RENE</t>
  </si>
  <si>
    <t>189144/24</t>
  </si>
  <si>
    <t xml:space="preserve">PEREYRA, GUSTAVO; MARTINEZ, JUAN EFRAIN POR TENENCIA DE ESTUPEFACIENTES CON FINES DE COMERCIALIZACION </t>
  </si>
  <si>
    <t>189715/24</t>
  </si>
  <si>
    <t xml:space="preserve">DIAZ, ARMANDO GUILLERMO POR ROBO EN PERJUICIO DE ESTRADA, ILARIO GUIDO - </t>
  </si>
  <si>
    <t>189681/24</t>
  </si>
  <si>
    <t>MARTINEZ, JUAN CARLOS POR EL DELITO DE ABUSO SEXUAL GRAVEMENTE ULTRAJANTE EN PERJUICIO DE LA SRA. CLAUDIA DEL MILAGRO CHAILE</t>
  </si>
  <si>
    <t>189797/24</t>
  </si>
  <si>
    <t>AGUILAR, ROBERTO EDUARDO POR ROBO CALIFICADO POR HABER SIDO COMETIDO EN POBLADO Y EN BANDA - ROBO SIMPLE Y HURTO SIMPLE EN PERJUICIO DE ARTEAGA, ELISA LILIANA</t>
  </si>
  <si>
    <t>134377/16</t>
  </si>
  <si>
    <t>189707/24</t>
  </si>
  <si>
    <t>CHOCOBAR, MATIAS MAXIMILIANO POR ROBO EN PERJUICIO DE GERONIMO, SEBASTIAN ESTEBAN - A.P. 654/24 COMISARIA 6 CDAD. DEL MLAGRO - F.P. 1</t>
  </si>
  <si>
    <t>189633/24</t>
  </si>
  <si>
    <t>QUIPILDOR, SANDRA LILIANA  Y IGNES, WALTER FEDERICO POR TENENCIA DE ESTUPEFACIENTES CON FINES DE COMERCIALIZACION.- A.P. Nº 141/24, GRUPO DROGAS SECTOR 2, UFINAR.-</t>
  </si>
  <si>
    <t>REYES, ROBERTO OSCAR POR ABUSO SEXUAL CON ACCESO CARNAL AGRAVADO Y ABUSO SEXUAL SIMPLE AGRAVADO POR LA CONVIVENCIA EN CONCURSO REAL EN PERJUICIO DE LA MENOR L.P.R. AP Nº 109/24 DE LA CRIA 16 CAMPO SANTO</t>
  </si>
  <si>
    <t>AVILA, CRISTIAN POR ABUSOS EXUAL GRAVEMENTE ULTRAJANTE EN PERJUICIO DE C.A.Y.D.M.</t>
  </si>
  <si>
    <t>189863/24</t>
  </si>
  <si>
    <t>SANTIAGO TOMAS SANTA CRUZ RAMOS POR EL DELITO DE ABUSO SEXUAL CON ACCESO CARNAL CONTINUADO, COACCION Y AMENZAS EN CONCURSO REAL EN PERJUICIO DE LA MENOR EAAR</t>
  </si>
  <si>
    <t>189867/24</t>
  </si>
  <si>
    <t>SULCA, JAVIER MATIAS AMENAZAS, DESOBEDIENCIA JUDICIAL Y COACCION EN CONCURSO REAL GUAYMAS, HILARIA</t>
  </si>
  <si>
    <t xml:space="preserve">Se remite en devolución al Juzgado de origen en fecha 09/04/2024 por libertad fiscal junto al Leg. </t>
  </si>
  <si>
    <t>189701/24</t>
  </si>
  <si>
    <t>LACCE, GASTON ISMAEL POR ROBO SIMPLE EN PERJUICIO DE BAEZA DE LOÑO, JESUS RICARDO.- A.P. Nº 204/24, COM100, FISCALIA DELEGACION SAN LORENZO-</t>
  </si>
  <si>
    <t>189721/24</t>
  </si>
  <si>
    <t>NIEVA, MAURICIO ALEJANDRO POR LESIONES AGRAVADAS Y AMENAZAS EN PERJUICIO DE CARDOZO, ADRIANA DEL VALLE - A.P. 500/24 SUBCOM AUTODROMO - FISCAL VFG 2</t>
  </si>
  <si>
    <t>188337/24</t>
  </si>
  <si>
    <t>RAMOS, JOAQUIN ALVARO  Y RAMOS, GASTON EMILIO POR ROBO CALIFICADO POR EL USO DE ARMA DE FUEGO.- AVP Nº 262/24 Y 266/24, COM Nº 1 - FISC. UNICROH</t>
  </si>
  <si>
    <t>189917/24</t>
  </si>
  <si>
    <t xml:space="preserve">SALINAS PABLO JAVIER POR EL DELITO DE ROBO SIMPLE EN PERJUICIO DE JOSUE EMANUEL HERRERA </t>
  </si>
  <si>
    <t>189862/24</t>
  </si>
  <si>
    <t>CUEVAS, RAMON RODRIGO POR EL DELITO DE LESIONES LEVES AGRAVADAS POR LA RELACIÓN DE PAREJA Y POR EL GÉNERO EN PERJUICIO DE LA Sra. debora sueldo</t>
  </si>
  <si>
    <t>189866/24</t>
  </si>
  <si>
    <t xml:space="preserve">REYNAGA, FERNANDO RODOLFO POR EL DELITO DE ROBO SIMPLE Y ROBO CALIFICADO POR SER EN POBLADO Y EN BANDA EN CONCURSO REAL EN PERJUICIO DE </t>
  </si>
  <si>
    <t>CANSINO, FRANCO ISMAEL Y RISSO IRENE NICOL POR ROBO CON ARMA EN POBLADO Y EN BANDA</t>
  </si>
  <si>
    <r>
      <rPr>
        <sz val="10"/>
        <color rgb="FFFF0000"/>
        <rFont val="Arial"/>
        <family val="2"/>
      </rPr>
      <t xml:space="preserve">Virtual con víctima en Güemes-- </t>
    </r>
    <r>
      <rPr>
        <sz val="10"/>
        <rFont val="Arial"/>
        <family val="2"/>
      </rPr>
      <t>BAEZ CALDERON, GASTÓN NAHIR POR ROBO DOBLEMENTE CALIFICADO POR UTILIZACIÓN DE ARMA Y POR LA GRAVEDAD DE LAS LESIONES</t>
    </r>
  </si>
  <si>
    <t>MORALES, MARCELO ALFREDO; CABANA, NELSON JAVIER; RAMOS, NELSON ROGELIO; RESINA, SABRINA FLORENCIA POR: ESTAFAS REITERADAS (489 HECHOS) Y ASOCIACION ILICITA EN CONCURSO REAL EN PERJUICIO DE: 100 DENUNCIANTES - AP 2173/22 - FISCALIA DELITOS ECONOMICOS Y COMPLEJOS</t>
  </si>
  <si>
    <t>178149/22</t>
  </si>
  <si>
    <t>Dr. Miranda, Marcos Ramón MP 5226</t>
  </si>
  <si>
    <t>Suspendida el 09/04 por pedido del Dr. Maggio por superposición de audiencia (cam. Apelaciones Federal)</t>
  </si>
  <si>
    <r>
      <rPr>
        <sz val="10"/>
        <color rgb="FFFF0000"/>
        <rFont val="Arial"/>
        <family val="2"/>
      </rPr>
      <t>Virtual con victima en Fiscalía</t>
    </r>
    <r>
      <rPr>
        <sz val="10"/>
        <rFont val="Arial"/>
        <family val="2"/>
      </rPr>
      <t xml:space="preserve"> - RUIZ, DANTE ALIGIO POR VIOLACIÓN DE DOMICILIO Y DESOBEDIENCIA JUDICIAL</t>
    </r>
  </si>
  <si>
    <r>
      <rPr>
        <sz val="10"/>
        <color rgb="FFFF0000"/>
        <rFont val="Arial"/>
        <family val="2"/>
      </rPr>
      <t>Virtual victima en Fiscalia</t>
    </r>
    <r>
      <rPr>
        <sz val="10"/>
        <rFont val="Arial"/>
        <family val="2"/>
      </rPr>
      <t xml:space="preserve"> - FARFAN, JOAQUIN ROMAN E ISAAC EDUARDO ROVIN POR EL DELITO DE ROBO SIMPLE, ESTAFA Y ROBO SIMPLE EN PERJUICIO DE </t>
    </r>
  </si>
  <si>
    <r>
      <rPr>
        <sz val="10"/>
        <color rgb="FFFF0000"/>
        <rFont val="Arial"/>
        <family val="2"/>
      </rPr>
      <t>Virtual victima en Fiscalia</t>
    </r>
    <r>
      <rPr>
        <sz val="10"/>
        <rFont val="Arial"/>
        <family val="2"/>
      </rPr>
      <t xml:space="preserve"> - CENTENO, MATIAS SANTOS POR ROBO EN PERJUICIO DE GUTIERREZ, JAVIER - A.P. 127/24 COMISARIA 4 GUEMES - FISCAL GRAL. GUEMES</t>
    </r>
  </si>
  <si>
    <t>189473/24</t>
  </si>
  <si>
    <t>189897/24</t>
  </si>
  <si>
    <t>189181/24</t>
  </si>
  <si>
    <t xml:space="preserve">CARDOZO, JOSE LUIS y GONZALEZ, EXEQUIEL ALEJANDRO por </t>
  </si>
  <si>
    <t>PACO, LUIS ALBERTO POR LESIONES GRAVISIMAS OCASIONADAS POR LA CONDUCCION IMPRUDENTE, NEGLIGENCIA O ANTIRREGLAMENTARIA DE UN VEHICULO CON MOTO, AGRAVADAS POR LA FUGA DEL CONDUCTOR T/O POR NO INTENTAR SOCORRER A LA VÌCTIMA</t>
  </si>
  <si>
    <t xml:space="preserve">18 Qte. </t>
  </si>
  <si>
    <t>189868/24</t>
  </si>
  <si>
    <t xml:space="preserve">PALACIOS, HECTOR MAXIMILIANO POR HURTO SIMPLE EN PERJUICIO </t>
  </si>
  <si>
    <t>189232/24</t>
  </si>
  <si>
    <t>189864/24</t>
  </si>
  <si>
    <t>LOPEZ GISELLE POR HURTO Y VIOLACION DE DOMICILIO Y EVASION EN PERJUICIO DE LA SRA NORA PEREYRA</t>
  </si>
  <si>
    <t>189946/24</t>
  </si>
  <si>
    <t>189870/24</t>
  </si>
  <si>
    <t>LEONARDO ALEMÁN HÉCTOR POR EL DELITO DE ROBO SIMPLE EN GRADO DE TENTATIVA EN PERJUICIO DE MORALES, DAIRA CANDELA</t>
  </si>
  <si>
    <t>185473/24</t>
  </si>
  <si>
    <t>HECTOR ELIBERTO MARIN Ó JUAN ROLANDO SUICA Ó FERNANDO LINDOR SUICA; Y UBALDO ALEJANDRO MARIN Ó ALEJANDRO UBALDO MARIN POR ROBO SIMPLE ( A.P. Nº 1688/23 DE COMISARIA 2DA. Y A.P. Nº 12/23 DEL GRUPO INVESTIGATIVO</t>
  </si>
  <si>
    <t>189766/24</t>
  </si>
  <si>
    <t>189689/24</t>
  </si>
  <si>
    <t>PARADA, JOSE ALBERTO; VILLAGRA, FELIX FRANCO ARTURO Y ALE, ANGEL SEBASTIAN POR TENENCIA DE ESTUPEFACIENTES CON FINES DE COMERCIALIZACION DE UFINAR- AP 22/24 GPO. DROGAS SECTOR 1B-</t>
  </si>
  <si>
    <t>FLORES, FRANCO EZEQUIEL Y ALMARAZ, ROSA MATILDE POR ROBO AGRAVADO DE VEHICULO DEJADO EN LA VA PUBLICA EN PERJUICIO DE PEREYRA, NORA - A.P. 417/24 SUBCOM VILLA ASUNCION - F.P. 1.- LI 48/24</t>
  </si>
  <si>
    <t>189747/24</t>
  </si>
  <si>
    <t>NIHANAD</t>
  </si>
  <si>
    <t>189856/24</t>
  </si>
  <si>
    <t>189674/24</t>
  </si>
  <si>
    <t>MARTINEZ, SEGIOD RUBEN POR EL DELITO DE ABUSO SEXUAL GRAVEMENTE ULTRAJANTE AGRAVADO POR LA GUARDA Y LA CONVIVENCIA CON UNA MENOR DE 18 AÑOS DE EDAD Y ABUSO SEXUAL CON ACCESO CARNAL AGRAVADO POR LA GUARDA Y LA CONVIVENCIA DE UNA MENOR DE 18 AÑOS CONTINUADO EN CONCURSO REAL</t>
  </si>
  <si>
    <t>Mantenimiento de preventiva - Dr. Federico Ruiz Matei por Guaymás Ruben Antonio; Dr. Ricardo Poclava por José Luis Alarcón;  Dra. Sandra Liliana Monje de Nsser por María Indes Méndez; Dr. Estrada Arnaldo por Patricia Flores; Dr. Riardo Poclava por Raul Arjona; Dr. Maria Florencia Maggio por Chaju, Yanina; Dr. Adriana Soria por Francisco Bisceglia; Dr. Martín Gimenez MP 6490 por Marcos Bucotich García; Dra. Adriana Soria por Luis Roberto Castaño; Dr. Gimenez Martín MP 6490 por JOsue Joel Valencia; DOP Nº 10 por Silavana Avendaño; Dra. Marina Bouhid por Nicole Luna; Dr. Poclava por Sergio Moya</t>
  </si>
  <si>
    <t>189910/24</t>
  </si>
  <si>
    <t>189912/24</t>
  </si>
  <si>
    <t>CAYO, WILFREDO SAUL POR EL DELITO DE RESISTENCIA A LA AUTORIDAD EN PERJUICIO DEL PERSONAL POLICIAL</t>
  </si>
  <si>
    <t>189855/24</t>
  </si>
  <si>
    <t>189736/24</t>
  </si>
  <si>
    <t xml:space="preserve">GONZALEZ, RAUL ALBETO POR EL DELITO DE HURTO EN GRADO DE TENTATIVA EN PERJUICIO DE </t>
  </si>
  <si>
    <t>189787/24</t>
  </si>
  <si>
    <t>ESCOBARES, JOSE LUIS POR AMENAZAS DOS HECHOS, DAÑOSY DESOBEDIENCIA JUDICIAL EN PERJUICIO DE ORQUERA, VILMA RITA - A.P. 716/24  COMISARÍA 11 GUEMES - FISCAL GRAL. GÜEMES</t>
  </si>
  <si>
    <t>189788/24</t>
  </si>
  <si>
    <t>RIOS, SERGIO GERARDO POR EL DELITO DE ROBO EN PERJUICIO DE QUINTO, SERGIO JAVIER</t>
  </si>
  <si>
    <t>NAHUEL ARIEL NOGALES Y RIVERA AGUSTIN EMILIANO POR EL DELITO DE ROBO EN GRADO DE TENTATIVA EN PERJUICIO DE CORNEJO RAICOPULOS, MARIA ELENA</t>
  </si>
  <si>
    <t>189858/24</t>
  </si>
  <si>
    <t xml:space="preserve">CORIMAYO, CRISTIAN ARMANDO POR EL DELITO DE LESIONES LEVES AGRAVADO POR LA RELACIÓN DE PAREJA PREEXISTENTE Y DE GENERO </t>
  </si>
  <si>
    <t>Dr. Ocaranza, Walter Esteban MP 6993</t>
  </si>
  <si>
    <t xml:space="preserve">Dr. Holver Martinez MP 1654 </t>
  </si>
  <si>
    <t>Dra. Julia Vasquez MP Nº 6304</t>
  </si>
  <si>
    <t>Se devuelve al juzgado de origen el 11/04 - la prorroga de detención seva a resolver en el juzgado de origen</t>
  </si>
  <si>
    <t>189775/24</t>
  </si>
  <si>
    <t>RODRIGUEZ, NAHUEL EZEQUIEL POR AB USO SEXUAL CON ACCESO CARNAL EN PERJUICIO DE CASIMIRO, SABRINA RUTH - A.P. 1119/24 COMISARIA 2 SANTA CECILIA - FISCAL UDIS 1</t>
  </si>
  <si>
    <r>
      <rPr>
        <sz val="10"/>
        <color rgb="FFFF0000"/>
        <rFont val="Arial"/>
        <family val="2"/>
      </rPr>
      <t>Virtual en fiscalía ----</t>
    </r>
    <r>
      <rPr>
        <sz val="10"/>
        <rFont val="Arial"/>
        <family val="2"/>
      </rPr>
      <t xml:space="preserve">CARABALLO LUNA, DANIEL CARLOS POR EL DELITO DE HURTO SIMPLE EN GRADO DE TENTATIVA EN PERJUICIO DE </t>
    </r>
  </si>
  <si>
    <t>189796/24</t>
  </si>
  <si>
    <t>YAÑEZ AGUIRRE, HÉCTOR ANDRÉS POR EL DELITO DE HURTO Y AMENAZAS EN PERJUICIO DE FLORES, FLAVIA MARÍA</t>
  </si>
  <si>
    <t>188463/24</t>
  </si>
  <si>
    <t>189773/24</t>
  </si>
  <si>
    <t>ARIAS, DELVIS IMANOL POR EL DELITO DE VIOLACION DE DOMICILIO, AMENAZAS AGRAVADAS POR EL USO DE ARMA BLANCA Y DESOBEDIENCIA JUDICIAL EN CONCURSO REAL</t>
  </si>
  <si>
    <t>189903/24</t>
  </si>
  <si>
    <t>BRISUELA, MATIAS EXEQUIEL POR EL DELITO DE ROBO SIMPLE EN GRADO DE TENTATIVA, VIOLACION DE DOMICILIO, HURTO SIMPLE EN CONCURSO REAL</t>
  </si>
  <si>
    <t>188393/24</t>
  </si>
  <si>
    <t>OLIVARES, RICARDO MANUEL POR EL DELITO DE AMENAZAS CON ARMA, AMENAZAS - DOS HECHOS EN CONCURSO REAL</t>
  </si>
  <si>
    <t xml:space="preserve">COLQUE, IVAN JONATHAN POR EL DELITO DE HURTO CALIFICADO POR ESCALAMIENTO EN PERJUICIO DE </t>
  </si>
  <si>
    <t>Suspendida por pedido de libertad en el juzgado de origen se suspende en fecha 11/04</t>
  </si>
  <si>
    <t>189907/24</t>
  </si>
  <si>
    <t>GUTIERREZ, RAMON OSVALDO POR HURTO SIMPLE EN PERJUICIO DE AJAYA AZUCENA MILAGROS NOEMI AP Nº 1980/24 DE LA UOP 1</t>
  </si>
  <si>
    <t>MAMANI, IGNACIO GABRIEL POR ROBO CALIFICADO DE VEHICULO DEJADO EN LA VIA PUBLICA EN GRADO DE TENTATIVA EN PERJUICIO DE PEREZ, JORGE</t>
  </si>
  <si>
    <t>LASCI, CLAUDIO ALEJANDRO POR EL DELITO DE HURTO SIMPLE EN GRADO DE TENTATIVA EN PERJUICIO DE CARO, XIMENA CAROLINA</t>
  </si>
  <si>
    <t>189887/24</t>
  </si>
  <si>
    <t xml:space="preserve">OYARZUN, FACUNDO AGUSTIN; MORALES, CARLOS ALBERTO POR EL DELITO DE ROBO CALIFICADO POR ESCALAMIENTO, POR SER EN POBLADO Y BANDA Y AGRAVADO POR LA PARTICIPACIÓN DE UN MENOR DE EDAD </t>
  </si>
  <si>
    <t>CASTILLO, SERGIO POR DESOBEDIENCIA JUDICIAL EN PERJUICIO DE ANAQUIN, DANIELA PAOLA</t>
  </si>
  <si>
    <t>MOLINA, RODRIGO FRANCO; VARGAS IBARRA, DAIANA MICAELA POR ROBO CALIFICADO POR USO DE ARMA EN PERJUICIO DE TOLABA, MARCOS SEBASTIAN</t>
  </si>
  <si>
    <t>Dr. Cejas, Gustavo Ramón MP 6745</t>
  </si>
  <si>
    <t>Dr. Gilabert, Patricia Soledad MP 5209</t>
  </si>
  <si>
    <t>189746/24</t>
  </si>
  <si>
    <t>ASIS, JORGE JOAQUIN ENRIQUE POR HURTO CALIFICADO POR ESCALAMIENTO (DOS HECHOS) EN CONCURSO REAL - A.P. 662/24 Y 681/24 COMISARIA 11 GUEMES - F.P. GUEMES - L.I. 69/24</t>
  </si>
  <si>
    <t>Dr. Abarza, Gabriel Esteban MP 3792</t>
  </si>
  <si>
    <t>G01 -175130/23</t>
  </si>
  <si>
    <t>189779/24</t>
  </si>
  <si>
    <t>TORRES NIEVA, ALAN GABRIEL POR ROBO SIMPLE EN PERJUICIO DE PUITA, FRANCISCO PEDRO</t>
  </si>
  <si>
    <t>GONZA, JORGE POR LESIONES LEVES AGRAVADAS POR LA RELACION DE PAREJA PREVIA Y POR EL GENERO, DESOBEDIENCIA JUDICIAL Y COACCION (DOS HECHOS), EN CONCURSO REAL</t>
  </si>
  <si>
    <t>189980/24</t>
  </si>
  <si>
    <t>RAMIREZ, MIGUEL ANGEL POR LESIONES- AMENAZAS Y PRIVACION ILEGITIMA DE LA LIBERTAD EN PERJUICIO DE TORRES, ELIZABETH ANGELICA.</t>
  </si>
  <si>
    <t>189817/24</t>
  </si>
  <si>
    <t xml:space="preserve">COLQUE, CESAR GUILLERMO POR EL DELITO DE VIOLACION DE DOMICILIO, AMENAZAS CON ARMA Y DESOBEDIENCIA JUDICIAL EN PERJUICIO DE </t>
  </si>
  <si>
    <t>189978/24</t>
  </si>
  <si>
    <t>OCHOA HERRERA, AGUSTIN JESUS POR DOBLEMENTE CALIFICADO POR SER EN POBLADO Y EN BANDA Y POR EFRACCION EN PERJUICIO DE RAMOS, NORMA GRACIELA</t>
  </si>
  <si>
    <t>189820/24</t>
  </si>
  <si>
    <t xml:space="preserve">FLORES, CRISTIAN ALEJANDRO POR EL DELITO DE LESIONES LEVES AGRAVADAS EN PERJUICIO DE </t>
  </si>
  <si>
    <t>189948/24</t>
  </si>
  <si>
    <t>189792/24</t>
  </si>
  <si>
    <t>189982/24</t>
  </si>
  <si>
    <t>RIOS, ESTEBAN CLAUDIO POR ELDELITO DE DESOBEDIENCIA JUDICIAL, VIOLACION DE DOMICILIO, AMENAZAS - DESOBEDIENCIA JUDICIAL 4 HECHOS, VIOLACION DE DOMICILIO Y AMENAZAS CON ARMA EN PERJUICIO DE MANSILLA, ALEJANDRA CLAUDIA</t>
  </si>
  <si>
    <t>189776/24</t>
  </si>
  <si>
    <t xml:space="preserve">Prision preventiva - ASESOR INCAPACES 4vic menor se remite a la mesa pupilar el 19/03/2024 </t>
  </si>
  <si>
    <t>Juciio abreviado - 2 meses efectiva</t>
  </si>
  <si>
    <t>Prision preventiva - C/ LEG de investigación se venció la PP x 90 días.-</t>
  </si>
  <si>
    <t xml:space="preserve">Juicio abreviado 7 meses efectiva </t>
  </si>
  <si>
    <t>Suspendida por pedido del juez para que vuelvan las actuaciones al juzgado de orgen para resolver una recusación previa - ATENCION. IMPUTADO EN LIBERTAD Y CON  PLANTEO DE RECUSACOIN</t>
  </si>
  <si>
    <t xml:space="preserve">Juicio abreviado - 2 años condicional -c/ abreviaod inicial condicional - Asesora de incpaces 6 - Dra. Silvia Ibarguren - vic menor se remite a la mesa pupilar el 19/03/2024 </t>
  </si>
  <si>
    <t>Suspendida por falta de designacion de defensor (falta de firma de poder) - Suspendida el dia 26/03 - c/ actuaciones policiales por cuerda floja</t>
  </si>
  <si>
    <t xml:space="preserve">Libertad con sustitutivas </t>
  </si>
  <si>
    <t>prision preventiva</t>
  </si>
  <si>
    <t>Libertad con sutitutivas</t>
  </si>
  <si>
    <t>Prision preventiva - PP por Juan Esteban Dominguez</t>
  </si>
  <si>
    <t>Juicio abreviado - 20 dias efectiva</t>
  </si>
  <si>
    <t>Juicio abreviado - 1 año y 2 meses efetiva para Pecha y 4 meses condicional para barboza</t>
  </si>
  <si>
    <t>Arresto domiciliario - Asesoria de incapaces Nº5</t>
  </si>
  <si>
    <t>Juicio abreviado 2 años condicional</t>
  </si>
  <si>
    <t>Prision preventiva -Revision de preventiva - Dr. Arancibia: Dr. Fernandez Nicolas; Dr. Sala Garrido, Agustin y Dr. Saravia Zenteno, Francisca</t>
  </si>
  <si>
    <t>Juicio abreviado - 2 meses efectiva para sarapura y 2 mes condicional para el otro</t>
  </si>
  <si>
    <t>Juicio abreviado - 8 años efectiva Asesoria 7 - Dra. Quinteros --- con solicitud de abreviado inicial 8 años de prisión efectiva</t>
  </si>
  <si>
    <t>Juicio abreviado 10 meses efectiva</t>
  </si>
  <si>
    <t>Juicio abreviado - 3 meses efectiva para Gonzalez y sobreseimiento para Nina - PREVENTIVA X GONZALEZ</t>
  </si>
  <si>
    <t>Juicio abreviado - 4 años y 8 meses efectiva para Thiz Rosa y Thiz Exequiel y 3 años efetiva para Serrudo y 2 años y 10 meses condicional para Sumbaine</t>
  </si>
  <si>
    <t>Prision preventiva - Asesoria 9 - Dra. Edith Bustos - vista a la mesa pupilar 03/04/2024</t>
  </si>
  <si>
    <t>Prisiion preventiva - Preventiva por 45 dias Pedir expediente con antelación</t>
  </si>
  <si>
    <t>Se rechaza pedido de revision de preventiva - Cuarto intermedio desde 05/04 - Se tramite por el juzgado de origen -  - Se encarga el juzgado de Origen exediente radicado en GAR 3</t>
  </si>
  <si>
    <t>Juciio abreviado 2 meses efetiva</t>
  </si>
  <si>
    <t>Prisiion preventiva para ambos imputados</t>
  </si>
  <si>
    <t>Prision preventiva - Asesoria 7 - Qte y Act Civ. Dres. Gonzalo Portela y Dr. Rodriguez Daniel</t>
  </si>
  <si>
    <t>Prisiion preventiva</t>
  </si>
  <si>
    <t>Libertad para ambos imputados - Dra. Gonzalez, Maria Silvana MP 3692</t>
  </si>
  <si>
    <t>Suspendida por incomparencia del dr Maggio que se encontraba en audiencia en el federal</t>
  </si>
  <si>
    <t>Suspendida por renuncia de defensa en audiencia - Asesoria 10 --- Revisión</t>
  </si>
  <si>
    <t>gar 8</t>
  </si>
  <si>
    <t xml:space="preserve">Suspendida por falta de notificacion de la pp al fiscal y y por pedidio de la defensa </t>
  </si>
  <si>
    <t>190007/24</t>
  </si>
  <si>
    <t>ROJAS, VICTOR FRANCISCO POR EL DELITO DE HURTO SIMPLE EN PERJUICIO DEL LOCAL COMERCIAL "MAXIMO CEL"</t>
  </si>
  <si>
    <t xml:space="preserve">CHILIGAY, SANTIAGO ELOY POR EL DELITO DE DESOBEDIENCIA JUDICIAL EN PERJUICIO DE </t>
  </si>
  <si>
    <t>PASTRANA, LEONARDO DAVID POR DAÑOS Y ROBO EN PERJUICIO DE BURGOS, HUGO SEBASTIAN - A.P. 999/24 - COMISARIA 3 TRES CERRITOS - F.P. 2</t>
  </si>
  <si>
    <t>MALDONADO, JORGE DAVID POR LESIONES LEVES</t>
  </si>
  <si>
    <t>189981/24</t>
  </si>
  <si>
    <t xml:space="preserve">RODRIGUEZ, DAIANA LORENA Y ANTONIO RODOLFO DELGADO POR EL DELITO DE HURTO CALIFICADO DE VEHICULO DEJADO EN LA VÍA PUBLICA EN GRADO DE TENTATIVA EN PERJUICIO DE </t>
  </si>
  <si>
    <t>LARRAN - NO SE CITAN VICTIMAS</t>
  </si>
  <si>
    <t>EL EXPEDIENTE NO VA INGRESAR HASTA TANTO EL TRIBUNAL DE IMPUGNACIÓN NO REMITA LOS CUERPOS RESTANTES AL JUZGADO DE ORIGEN -- EL EXPEDIENTE LO COORDINA EL JUZGADO DE ORIGEN</t>
  </si>
  <si>
    <t>ESCOBEDO, SAMUEL MACIAS POR PRODUCCIÓN Y DISTRIBUCIÓN DE MATERIAL DE ABUSO Y/O EXPLOTACIÓN SEXUAL INFANTIL</t>
  </si>
  <si>
    <t>189778/24</t>
  </si>
  <si>
    <t xml:space="preserve">LOPEZ. CARLOS HERNAN POR EL DELITODE AMENAZAS EN PEJUICIO DE </t>
  </si>
  <si>
    <t>GEREZ, DAVID NICOLAS POR EL DELITO DE ROBO SIMPLE EN PERJUCIO DE GALLARDO, MARIANA ANDREA</t>
  </si>
  <si>
    <t>189801/24</t>
  </si>
  <si>
    <t>VARGAS, LUCAS ERNESTO LUIS POR DESOBEDIENCIA JUDICIAL EN PERJUICIO DE PASTRANA, ANGELES GABRIELA - A.P. 690/24 COMISARIA 10 LA LONJA - FISCAL VFG 1</t>
  </si>
  <si>
    <t>189735/24</t>
  </si>
  <si>
    <t xml:space="preserve">c/ exp acumulado gar 189685 </t>
  </si>
  <si>
    <t>VIA LUCAS, ADRIAN POR EL DELITO DE HURTO CALIFICADO POR HABERSE COMETIDO CON ESCALAMIENTO EN PERJUICIO DE VILAPLANA, RODRIGO MARTIN</t>
  </si>
  <si>
    <t>Juicio abreviado 26 meses condicional</t>
  </si>
  <si>
    <t>Arresto domiciliario - c/ leg de investigación en dos cuerpos (aparenta ser el original)</t>
  </si>
  <si>
    <t>Prisión preventiva - Asesoria 10 - Dra. Salatin - EN FECHA 22/03/2024 SE REMITE A MESA PUPILAR PARA SORETEO DE ASESOR --- QUERELLANTE: DRA. DIANA ROMINA JUSTINIANO</t>
  </si>
  <si>
    <t xml:space="preserve">suspendida por no estar notificado el Defensor oficial DOP 4  - SUSPENDIDA POR SUPERPOSICION DE AUDIENCIA CON DEBATE DEL DEFENSOR DOP4 - SUSPENDIDA EN FECHA 22/ 03/2024 POR FALTA DE ABOGADO DEFENSOR - HAY QUE REPROGRAMAR PARA EL DIA 04/04/2024 A HS. 10:30  Asesoria 5-- VIC MENOR -- VISTA A LA MESA PUPILAR EN FECHA 28/02/2024 --- El Sr. Juez solicitan que se resuelva el día de mañana 15/03/2024 después de resolver la causa de la Dra. Florencia Gonzalez </t>
  </si>
  <si>
    <t>Audiencia suspendida por incomparencia de la defensora particular</t>
  </si>
  <si>
    <t>189748/24</t>
  </si>
  <si>
    <t xml:space="preserve">MOLINA, JOSE OMAR Y SANTIAGO GABRIEL TABOADA POR LA SUPUESTA COMISIÓN DEL DELITO DE HURTO SIMPLE EN PERJUICIO DE </t>
  </si>
  <si>
    <t>SOSA FERNANDO ERWIN POR EL DELITO DE PRIVACIÓN ILEGITIMA DE LA LIBERTAD AGRAVADA POR LA VIOLENCIA Y EL VINCULO, LESIONES LEVES AGRAVADAS POR LA VIOLENCIA DE GENERO Y LA RELACIÓN DE PAREJA, DESOBEDIENCIA JUDICIAL Y RESISTENCIA A LA AUTORIDAD EN CONCURSO REAL</t>
  </si>
  <si>
    <t>189772/24</t>
  </si>
  <si>
    <t>Realizadas</t>
  </si>
  <si>
    <t>04/04/2024</t>
  </si>
  <si>
    <t>03/04/2024</t>
  </si>
  <si>
    <t>05/04/2024</t>
  </si>
  <si>
    <t>08/04/2024</t>
  </si>
  <si>
    <t>09/04/2024</t>
  </si>
  <si>
    <t>10/04/2024</t>
  </si>
  <si>
    <t>11/04/2024</t>
  </si>
  <si>
    <t>15/04/2024</t>
  </si>
  <si>
    <t>Informe de preventivas por día 1ra Quincena</t>
  </si>
  <si>
    <t>Faltan Sortear</t>
  </si>
  <si>
    <t>Faltan remitir</t>
  </si>
  <si>
    <t>12/04/2024</t>
  </si>
  <si>
    <t>presionar F9 para actualizar</t>
  </si>
  <si>
    <t xml:space="preserve">TORRES LIZARRAGA, BRIAN NICOLAS POR EL DELITO DE ROBO SIMPLE Y HURTO EN CONCURSO REAL EN PERJUICIO DE </t>
  </si>
  <si>
    <t>Preventiva x 30 dias --- pedir con antelación al juzgado</t>
  </si>
  <si>
    <t>Elevadas</t>
  </si>
  <si>
    <t>Ingresadas</t>
  </si>
  <si>
    <t>Informe de requerimientos 1ra quincena</t>
  </si>
  <si>
    <t>16/04/2024</t>
  </si>
  <si>
    <t>17/04/2024</t>
  </si>
  <si>
    <t>18/04/2024</t>
  </si>
  <si>
    <t>19/04/2024</t>
  </si>
  <si>
    <t>22/04/2024</t>
  </si>
  <si>
    <t>23/04/2024</t>
  </si>
  <si>
    <t>24/04/2024</t>
  </si>
  <si>
    <t>25/04/2024</t>
  </si>
  <si>
    <t>26/04/2024</t>
  </si>
  <si>
    <t>29/04/2024</t>
  </si>
  <si>
    <t>Informe de preventivas por día 2da Quincena</t>
  </si>
  <si>
    <t>189872/24</t>
  </si>
  <si>
    <t>CRUZ, LUIS CARLOS POR HURTO CALIFICADO EN PERJUICIO DE NN- FISCALIA PENAL Nº 2 SOLICITA ORDEN DE ALLANAMIENTO, SECUESTRO Y DETENCION</t>
  </si>
  <si>
    <t>190034/24</t>
  </si>
  <si>
    <t xml:space="preserve">AVENDAÑO, EMANUEL ELIAS POR EL DELITO DE ROBO AGRAVADO POR EL USO DE ARMA EN GRADO DE TENTATIVA EN PERJUICIO DE </t>
  </si>
  <si>
    <r>
      <rPr>
        <sz val="10"/>
        <color rgb="FFFF0000"/>
        <rFont val="Arial"/>
        <family val="2"/>
      </rPr>
      <t xml:space="preserve">Vic virtual en guemes --- </t>
    </r>
    <r>
      <rPr>
        <sz val="10"/>
        <rFont val="Arial"/>
        <family val="2"/>
      </rPr>
      <t>ALDERETE, PATRICIO JESUS POR EL DELITO DE DESOBEDIENCIA JUDICIAL EN PERJUICIO DE COSTILLA, NESTOR ANIBAL</t>
    </r>
  </si>
  <si>
    <r>
      <rPr>
        <sz val="10"/>
        <color rgb="FFFF0000"/>
        <rFont val="Arial"/>
        <family val="2"/>
      </rPr>
      <t xml:space="preserve">vic en fiscalía --- </t>
    </r>
    <r>
      <rPr>
        <sz val="10"/>
        <rFont val="Arial"/>
        <family val="2"/>
      </rPr>
      <t>TEJERINA, EMILIO POR DESOBEDIENCIA JUDICIAL, LESIONES Y AMENAZAS  EN PERJUICIO DE CORREGIDOR, NOELIA JESICA DEL CARMEN.</t>
    </r>
  </si>
  <si>
    <t>Juicio abreviado 1 año y dos meses efectiva y expediente acumulado 183992/23 de acusación.-</t>
  </si>
  <si>
    <t>173406/21</t>
  </si>
  <si>
    <t xml:space="preserve">CHOQUE, CLUADIO FACUNDO MIGUEL POR EL DELITO DE ABUSO SEXUAL CON ACCESO CARNAL EN PERJUICIO DE </t>
  </si>
  <si>
    <t>189959/23</t>
  </si>
  <si>
    <t>CANO, CARLOS DOMINGO POR VIOLACIÓN DE DOMICILIO, PORTACIÓN ILEGITIMA DE ARMA DE FUEGO, LESIONES GRAVES AGRAVADAS POR EL USO DE ARMA DE FUEGO y AMENAZAS CON ARMA EN Concurso Real Y CANO, LEILA JOHANA POR COACCIÓN</t>
  </si>
  <si>
    <t>189951/24</t>
  </si>
  <si>
    <t>MOYA, RAMON ANGEL POR HURTO CALIFICADO EN PERJUICIO DE NN. FISCALIA PENAL Nº2 SOLICITA ALLANAMIENTO, SECUESTRO Y DETENCION</t>
  </si>
  <si>
    <t>189986/24</t>
  </si>
  <si>
    <t>MOLINA LOPEZ, PABLO MATIAS EXEQUIEL POR ABUSO SEXUAL CON ACCESO CARNAL  SEIS HECHOS EN CONCURSO REAL EN PERJUICIO DE TORRES, ABIGAIL EUGENIA</t>
  </si>
  <si>
    <t>189827/24</t>
  </si>
  <si>
    <t>TABARCACHE, NICOLAS ALBERTO POR ROBO SIMPLE EN PERJUICIO DE GARCIA, CANEDO, JULIA (AP Nº 480/24 DE LA SUB-COMISARÍA DE VILLA LAVALLE -DUR-10 DE LA FISCALIA PENAL Nº 4)</t>
  </si>
  <si>
    <t>189885/24</t>
  </si>
  <si>
    <t xml:space="preserve">NAVARRO, JOSE DAVID POR ROBO CALIFICADO POR EL USO DE ARMA EN GRADO DE TENTATIVA EN PERJUICIO DE </t>
  </si>
  <si>
    <t>190035/24</t>
  </si>
  <si>
    <t>TERCERO, ANGEL ROBERTO MANUEL POR EL DELITO DE ATENTADO A LA AUTORIDAD, RESISTENCIA A LA AUTORIDAD Y LESIONES LEVES AGRAVADAS EN CONCURSO REAL</t>
  </si>
  <si>
    <t xml:space="preserve">EL JUZGADO DE ORIGEN LE OTORGO LA LIBERTAD </t>
  </si>
  <si>
    <t>Informe de requerimientos 2Da quincena</t>
  </si>
  <si>
    <t>30/04/2024</t>
  </si>
  <si>
    <t>Pendientes de sorteo</t>
  </si>
  <si>
    <t>Pendiente de remisión</t>
  </si>
  <si>
    <t>189710/24</t>
  </si>
  <si>
    <t>LAIME, IVAN FACUNDO POR TENENCIA DE ESTUPEFACIENTES CON FINES COMERCIALIZACION Y TENENCIA ILEGÍTIMA DE ARMA DE FUEGO DE USO CIVIL, EN CONCURSO REAL; EN PERJUICIO DE SALUD PUBLICA - A.P. 39/24 Y 94/24, SECTOR 4A - FISCAL UFINAR</t>
  </si>
  <si>
    <t>189818/24</t>
  </si>
  <si>
    <t>GIL, MARLEN ANTONELLA POR LESIONES LEVES EN PERJUICIO DE SANTILLAN, FEDERICO</t>
  </si>
  <si>
    <t>Dr. Franco Gorriti MP 6272</t>
  </si>
  <si>
    <t>Juicio abreviado - 2 meses efectiva para Farfan y 1 mes condicional para Rovin - Dr. Jorge Antonio Causarano MP 2729 // Dr. Luis Ayala Torres abodado defensor de Rovin, Eduardo</t>
  </si>
  <si>
    <t>Prisiopn preventiva - Asesoria de incapaces Nº8</t>
  </si>
  <si>
    <t>Juicio abreviado - 7 meses y 15 dias efectiva</t>
  </si>
  <si>
    <t>Suspendida por El juez y Se remite al juzgado de origen para su resolucion - Asesoria 2 - Flores Larsen - En fecha 27/03 se remite a mesa pupilar</t>
  </si>
  <si>
    <t>Diferencia</t>
  </si>
  <si>
    <t>con Preso</t>
  </si>
  <si>
    <t>OFICINA JUDICIAL DE GESTION DE JUICIOS DE GARANTÍAS -   TOTAL</t>
  </si>
  <si>
    <t>NO REALIZADAS</t>
  </si>
  <si>
    <t>No Realizadas</t>
  </si>
  <si>
    <t>Total realizadas</t>
  </si>
  <si>
    <t>Pendientes</t>
  </si>
  <si>
    <t>(Devueltas al juzgado de orígen por motivo externo a OFIJU)</t>
  </si>
  <si>
    <r>
      <t xml:space="preserve">Medida de seguridad provisoria - </t>
    </r>
    <r>
      <rPr>
        <sz val="10"/>
        <color rgb="FFFF0000"/>
        <rFont val="Arial"/>
        <family val="2"/>
      </rPr>
      <t>El juez ordeno un cuarto intermedio el día 15/03/2024 y la prox audiencia es el 20/03/2024 para que asistan los asesores y la vÍcitma</t>
    </r>
    <r>
      <rPr>
        <sz val="10"/>
        <rFont val="Arial"/>
        <family val="2"/>
      </rPr>
      <t xml:space="preserve"> --- PRISION PREVENTIVA POR 3 MESES - A LA ESPERA DE JUNTA MEDICA POR POSIBLE LIBERTADAsesoria Nº 7 por al imputado- y asesoria de incapaces 10 Dra. Guadalupe Salatin por las víctimas</t>
    </r>
  </si>
  <si>
    <t>187289/24</t>
  </si>
  <si>
    <t>190033/24</t>
  </si>
  <si>
    <t xml:space="preserve">REINOSO, JOAQUIN HERNAN POR EL DELITO DE HURTO SIMPLE EN PERJUICIO </t>
  </si>
  <si>
    <t>189795/24</t>
  </si>
  <si>
    <t>MAMANI JUAN FRANCISCO POR DESOBEDIENCIA JUDICIAL Y AMENAZAS CON ARMA EN PERJUICIO DE MAMANI, CECILIA - A.P. 1049/24 COMISARIA 3 TRES CERRITOS - FISCAL VFG 1</t>
  </si>
  <si>
    <t>Dr. Jorge San Miguel Querellante reprogamada del 17/04/2024</t>
  </si>
  <si>
    <t>190044/24</t>
  </si>
  <si>
    <t>190039/24</t>
  </si>
  <si>
    <t xml:space="preserve">GONZA, MARCOS FRANCISCO POR DESOBEDIENCIA JUDICIAL - TRES HECHOS, VIOLACION DE DOMICILIO - DOS HECHOS, HURTO SIMPLE, AMENAZAS, Y AGRESION CON TODA ARMA EN CONCURSO REAL (A.P. Nº 533/24) Y OTROS </t>
  </si>
  <si>
    <t xml:space="preserve">VALLEJOS, GRILLO ISMAEL IVAN Y CARLOS ADRIAN MAXIMILIANO RIVADENEIRA POR EL DELITO DE HURTO CON ESCALAMIENTO EN GRADO DE TENTATIVA EN CALIDAD DE AUTORIES EN PERJUICIO DE </t>
  </si>
  <si>
    <t>189884/24</t>
  </si>
  <si>
    <t xml:space="preserve">VIVAS, LINO EXEQUIEN POR ELD ELITO DE AMENAZAS CON ARMAS Y RESISTENCIA A LA AUTORIDAD EN CONCURSO REAL EN PERJUICIO DE </t>
  </si>
  <si>
    <t>190068/24</t>
  </si>
  <si>
    <t>189913/24</t>
  </si>
  <si>
    <t>PLAZA, JULIO CESAR POR EL DELITO DE LESIONES LEVES AGRAVADAS POR LA RELACIÓN PREEXISTENTE Y POR MEDIAR VIOLENCIA DE GENERO, AMENAZAS, DESOBEDIENCIA JUDICIAL, LESIONES EN CONCURSO REAL EN PERJUICIO DE DIAZ, GRACIELA DEL VALLE</t>
  </si>
  <si>
    <r>
      <rPr>
        <sz val="10"/>
        <color rgb="FFFF0000"/>
        <rFont val="Arial"/>
        <family val="2"/>
      </rPr>
      <t>Virtual con Fiscalia</t>
    </r>
    <r>
      <rPr>
        <sz val="10"/>
        <rFont val="Arial"/>
        <family val="2"/>
      </rPr>
      <t xml:space="preserve"> - LIENDRO, MIRNA ARIADNA Y ESCOBAR, ERNESTO GABRIEL POR ROBO CALIFICADO EN PERJUICIO DE DIAZ RIVERO, EZEQUIEL - A.P. 1186/24 COMISARIA 5 SOLIDARIDAD - F.P. 6</t>
    </r>
  </si>
  <si>
    <t xml:space="preserve"> PRISION PREVENTIVA. Dra. Godoy por Alvarez y Dr. Mario Lopez Escotorin por Illesca - Dr. Romano Luciano por Jimenez - Dr. Rodrigo Palazzo por Sacarias -- Dra. Maria Celeste Castillo por Vilte - Prisión preventiva por treinta días para ambos imputados</t>
  </si>
  <si>
    <t xml:space="preserve">Asesoria 6 --- imp menor -- vista a la mesa pupilar en fecha 12/04/2024 </t>
  </si>
  <si>
    <t>EL JUZGADO DE OTORGA LA LIBERTADS</t>
  </si>
  <si>
    <t>Prisión preventiva - Qte.  Dr. Adrian Reyes</t>
  </si>
  <si>
    <t>Arresto domiciliario - Dra. Sandra Bonari co - Defensora</t>
  </si>
  <si>
    <t xml:space="preserve">Prision preventiva - Asesoria Nº 8 --- VIC MENOR --- vista a la mesa pupilar el día 03/04/2024 </t>
  </si>
  <si>
    <t>Libertad para ambos imputados - reprogramada del dia 09/04 por pedido del Dr. Maggio</t>
  </si>
  <si>
    <t>PRISION PREVENTIVA POR 20 DIAS Asesoria 5 --Vic/ menor vista a la mesa pupilar en fecha 11/03/2024</t>
  </si>
  <si>
    <t>Suspendido incomparencia del defensor por incomparencia del defensor particular y falta de su notificacion por ausencia de aviso por parte del juzgado de origen - Dr. Jorge San Miguel Querellante</t>
  </si>
  <si>
    <t>Juicio abreviado - 3 meses y 5 dias efectiva - Dr. Gaspar Larrecheda MP 6366 como defensor de Cancinos</t>
  </si>
  <si>
    <t>Se otorgo la libertad en juzgado de Origen  en fecha 17/04/24 -PRORROGA DE LA DETENCION X 390 DEL cpp</t>
  </si>
  <si>
    <t>Se supente por otorgarse arresto domiciliario en el Juzgado de origen en fecha 17/04 - Se remite expte al Juz GAR 3 - C/ EXP acumulado gar 188543/24</t>
  </si>
  <si>
    <t>Suspendida por pedido del Dr. Arnedo, falta de notificación por OGA</t>
  </si>
  <si>
    <t>Suspendida en fecha 18/04</t>
  </si>
  <si>
    <t>GIOVANI SCASSO, FEDERICO ANDRES Y STEGURT RIZZI, CUELLAR JONATHAN FABRICIO Y ALEJANDRO FERNANDEZ GAUNA por tenencia de estupefacientes con fines de comercializacion</t>
  </si>
  <si>
    <t xml:space="preserve">PRISION PREVENTIVA Defensa Dr. Beatti Cristian Marcelo x Campos Martin Alejandro,DR. Sola Garrido por Alejandro Gaona;Dr. Burgos tomas x Stengurt Rizzi; dop 7 x scasso, ignacio; </t>
  </si>
  <si>
    <t>190012/24</t>
  </si>
  <si>
    <t>SUAREZ, EMILIO FACUNDO POR ABUSO SEXUAL CON ACCESO CARNAL (DOS HECHOS) EN CONCURSO REAL CON ABUSO SEXUAL SIMPLE, EN PERJUICIO DE FABBRONI, CAMILA DANIELA.</t>
  </si>
  <si>
    <t>189904/24</t>
  </si>
  <si>
    <t xml:space="preserve">GUANCA VEDIA, LUIS FERNANDO POR EL DELITO DE DAÑOS Y AMENAZAS EN PERJUICIO DE </t>
  </si>
  <si>
    <t>190055/24</t>
  </si>
  <si>
    <t>MERCADO, ARIEL ARNALDO POR EL DELITO DE RESISTENCIA A LA AUTORIDAD EN PERJUICIO DEL PERSONAL POLICIAL</t>
  </si>
  <si>
    <t>162646/19</t>
  </si>
  <si>
    <t>PURAMA, JOSE IVAN POR EL DELITO DE ABUSO SEXUAL GRAVEMENTE ULTRAJANTE POR DURACIÓN AGRAVADO POR SER COMETIDO POR EL GUARDADOR Y APROVECHANDO LA SITUACIÓN DE CONVIVENCIA PREEXISTENTE EN CONCURSO REAL EN PERJUICIO DE SLZ</t>
  </si>
  <si>
    <t>Dr. Arancibia</t>
  </si>
  <si>
    <r>
      <rPr>
        <sz val="10"/>
        <color rgb="FFFF0000"/>
        <rFont val="Arial"/>
        <family val="2"/>
      </rPr>
      <t xml:space="preserve">posible audiencai virtual --- </t>
    </r>
    <r>
      <rPr>
        <sz val="10"/>
        <rFont val="Arial"/>
        <family val="2"/>
      </rPr>
      <t>GAITAN, GUSTAVO NELSON; ROQUE SUBIA, FERNANDO AGUSTIN; MARTINEZ, DIEGO ADOLFO MILAGRO; VELAZQUEZ, FERNANDO MIGUEL; RODRIGUEZ, GABRIEL MARCELO; TARIFA, ARNALDO JAVIER; JUAREZ, CLAUDIO LAUTARO; LIENDRO, MABEL ROSANA Y ESTER ALDANA MARIBEL CONTRERAS POR DAÑOS, AMEZAS, LESIONES GRAVES AGRAVADAS POR EL USO DE ARMA DE FUEGO Y ABUSO SEARMAS EN CONRUSO REAL</t>
    </r>
  </si>
  <si>
    <t>MERILES, FRANCO DANIEL POR EL DELITO DE ENCUBRIMIENT6O EN PERJUICIO DE DEONICIO MARIA CELESTE</t>
  </si>
  <si>
    <t>189860/24</t>
  </si>
  <si>
    <t>sin fichas dactilares y sin RNR -- DETENIDO EN UC1</t>
  </si>
  <si>
    <t>c/ exp acumulado gar 187145/23 PEDIR CON ANTELACIÓN</t>
  </si>
  <si>
    <t>Arresto domiciliario con medida de seguridad provisoria</t>
  </si>
  <si>
    <t xml:space="preserve">Juicio abreviado 1 año y 2 meses condicional </t>
  </si>
  <si>
    <t>Juicio abreviado 1 año condicional para Torres y 1 año efectiva para ValdezPP X Avila c/ copia de exp</t>
  </si>
  <si>
    <t>Libertad con medidas sutituivas</t>
  </si>
  <si>
    <t>Juicio abreviado 6 años y 1 mes efectiva</t>
  </si>
  <si>
    <t>Juicio abreviado - 5 meses condicional</t>
  </si>
  <si>
    <t xml:space="preserve">Suspendida porintereses contrapuestos manifiestos por la defensa - </t>
  </si>
  <si>
    <t>Prisión preventiva - Asesoria 6--- VIC MENOR --- se remite a mesa pupilar 03/04/2024</t>
  </si>
  <si>
    <t>Juicio abreviado - 3 meses efectiva para ambos imputados - Dr. Belbruno José Ricardo por Gonzalez</t>
  </si>
  <si>
    <t xml:space="preserve">Juicio abreviaodo - 3 años efectiva para Ramos, Joaquin y condicional para Ramos Gaston </t>
  </si>
  <si>
    <t xml:space="preserve">QUISPE, ANDRÉS AGUSTIN POR TENENCIA DE ESTUPEFACIENTES CON FINES DE COMERCIALIZACIÓN AGRAVADA POR LA PARTICIPACIÓN DE TRES O MÀS PERSONAS EN FORMA ORGANIZADA Y POR COMETERSE EN UN LUGAR DE DETENCION … Y OTROS INVESTIGADO </t>
  </si>
  <si>
    <t>190104/24</t>
  </si>
  <si>
    <t xml:space="preserve">OSORIO DO VALLE, DENER EMERSON POR EL DELITO DE ROBO EN PERJUICIO DE </t>
  </si>
  <si>
    <t>189859/24</t>
  </si>
  <si>
    <t>Suspendida por falta de notifiación al defensor particular -  Dr. Ricardo Poclava intervinie por Lazarte  --- c/ actuaciones complmentarias nº 1688/23 GIS 4B - La def 12 intervino por los otros 2 que fueron condenado --</t>
  </si>
  <si>
    <t>Suspendida por haber otras causas para acumular</t>
  </si>
  <si>
    <t>Suspendida por Incomparencia de la Fiscalia por enfermedad</t>
  </si>
  <si>
    <t>Dr. Trobato, José Nicolás MP 7593</t>
  </si>
  <si>
    <t>En fecha 19/04 se remite a mesa pupilar</t>
  </si>
  <si>
    <t>Preventiva por 45 dias PEDIR CON ANTELACIÓN</t>
  </si>
  <si>
    <t>REVISION de preventiva</t>
  </si>
  <si>
    <t>PP solo por Churquina</t>
  </si>
  <si>
    <t>189898/24</t>
  </si>
  <si>
    <t>SALES, NICOLÁS FABIAN por robo calificado por el uso de armas en grado de tentativa</t>
  </si>
  <si>
    <t>190119/24</t>
  </si>
  <si>
    <t>190116/24</t>
  </si>
  <si>
    <t>190120/24</t>
  </si>
  <si>
    <t>CHOCOBAR, BRUNO ALEJANDRO por desobediencia judicial en perjuicio de Yapura, Adriana</t>
  </si>
  <si>
    <t>190118/24</t>
  </si>
  <si>
    <t>189861/24</t>
  </si>
  <si>
    <t>CRUZ, DIEGO NICOLAS por Grooming</t>
  </si>
  <si>
    <t>190102/24</t>
  </si>
  <si>
    <t>189632/24</t>
  </si>
  <si>
    <t>Era Sodero hasta el 18/04/24</t>
  </si>
  <si>
    <t>FP VIFG 2 - Dra. Viazzi, Mónica Aracelli</t>
  </si>
  <si>
    <t>189920/24</t>
  </si>
  <si>
    <t>Ya no estan en OFIJU</t>
  </si>
  <si>
    <t>Dra. Márquez</t>
  </si>
  <si>
    <t>Juciio abreviado 2 meses efectiva</t>
  </si>
  <si>
    <t>Libertad con sutitutivas para Velazquez Subia y Martinez el resto con preventiva</t>
  </si>
  <si>
    <t>Juicio abreviado - 9 meses condicional</t>
  </si>
  <si>
    <t>Juicio abreviado - 6 meses condicional - Se adelanta del 23/04 - C/ ABREVIADO INICIAL CONDICIONAL</t>
  </si>
  <si>
    <t>Juicio abreviado - 2 años y 6 meses condicional</t>
  </si>
  <si>
    <t>Libertad con medidas sustitutivas - Asesoria 10 --- Revisión</t>
  </si>
  <si>
    <t>Preventiva con plazo</t>
  </si>
  <si>
    <t>190105/24</t>
  </si>
  <si>
    <t>189767/24</t>
  </si>
  <si>
    <t>189923/24</t>
  </si>
  <si>
    <t>Audiencia suspendida por falta de presencia de la Victima Las partes solicitan la presencia de la misma -  Asesor de incapaces Nº 2 Dra. Florencia Larsen.</t>
  </si>
  <si>
    <t xml:space="preserve"> Audiencia suspendida por falta de los imputados Menores, se solicita su notificaición, tanto de la defensoria y la fiscalia de menores correspondiente - Asesorias 2, 4 y 5 por los Imputados Menores-- se remite a la mesa pupilar 08/02/2024 -- con actuaciones complementarias. Dr. Ricardo Poclava por Sarapura, Mario Guillermo y DOP 2</t>
  </si>
  <si>
    <r>
      <t xml:space="preserve">Suspendida por pedido de la Fiscalia - </t>
    </r>
    <r>
      <rPr>
        <b/>
        <sz val="10"/>
        <rFont val="Arial"/>
        <family val="2"/>
      </rPr>
      <t xml:space="preserve">SE REPROGRAMA PARA EL DIA 22/03/2024 - </t>
    </r>
    <r>
      <rPr>
        <sz val="10"/>
        <rFont val="Arial"/>
        <family val="2"/>
      </rPr>
      <t xml:space="preserve">  Asesoria 5-- VIC MENOR -- VISTA A LA MESA PUPILAR EN FECHA 28/02/2024 ---</t>
    </r>
    <r>
      <rPr>
        <b/>
        <sz val="10"/>
        <rFont val="Arial"/>
        <family val="2"/>
      </rPr>
      <t xml:space="preserve"> El Sr. Juez solicitan que se resuelva el día de mañana 15/03/2024 después de resolver la causa de la Dra. Florencia Gonzalez </t>
    </r>
  </si>
  <si>
    <t>Cuarto intermedio del 14/03 para el día 21/03/2024 - Suspendida por ampliación del decreto de audiencia de imputación</t>
  </si>
  <si>
    <t>Preventiva - Asesoria 7 / c/Leg de investigación original - Suspendida por pedido de la fiscalia de reemplazo</t>
  </si>
  <si>
    <t>188747/24</t>
  </si>
  <si>
    <t xml:space="preserve">BUSTAMANTE, GUSTAVO ALEXANDER POR EL DELITO DE ESTAFA (VARIOS HECHOS) EN PERJUICIO DE </t>
  </si>
  <si>
    <t>JUAREZ, ALEJANDRO RICARDO POR ROBO CALIFICADO PO RL EUSO DE ARMA EN GRADO DE TENTATIVA</t>
  </si>
  <si>
    <t>Dr. David Le Favi MP 5117</t>
  </si>
  <si>
    <t>189673/24</t>
  </si>
  <si>
    <t xml:space="preserve">MANSILLA, NELSON ARMANDO O MONTEIRO, JUAN CARLOS POR EL DELITO DE HURTO SIETE HECHOS, ESTAFA INFORMATICA, ROBO SIMPLE - DOS HECHOS- Y HURTO CALIFICADO DE LLAVE VERDADERA SUSTRAIDA, EN CONCURSO REAL </t>
  </si>
  <si>
    <r>
      <rPr>
        <sz val="10"/>
        <color rgb="FFFF0000"/>
        <rFont val="Arial"/>
        <family val="2"/>
      </rPr>
      <t xml:space="preserve">victima en fiscalía --- </t>
    </r>
    <r>
      <rPr>
        <sz val="10"/>
        <rFont val="Arial"/>
        <family val="2"/>
      </rPr>
      <t>HUMACATA GODOY, JOSE ANDRES POR LESIONES AGRAVADAS POR LA RELACION DE PAREJA Y POR EL GENERO EN PERJUICIO DE MENDEZ, GLADYS RITA.</t>
    </r>
  </si>
  <si>
    <t>Dr. Medina, Ricardo Jesus MP 4934</t>
  </si>
  <si>
    <r>
      <rPr>
        <sz val="10"/>
        <color rgb="FFFF0000"/>
        <rFont val="Arial"/>
        <family val="2"/>
      </rPr>
      <t xml:space="preserve">Fiscal virtual --- </t>
    </r>
    <r>
      <rPr>
        <sz val="10"/>
        <rFont val="Arial"/>
        <family val="2"/>
      </rPr>
      <t xml:space="preserve">GUTIERREZ PAZ, ORIANA JAZMIN POR EL DELITO DE TENENCIA DE ESTUPEFACIENTES CON FINES DE COMERCIALIZACIÓN </t>
    </r>
  </si>
  <si>
    <t>Dr. Gualpa, Raúl Adrian MP 4183</t>
  </si>
  <si>
    <t>190142/24</t>
  </si>
  <si>
    <t>190140/24</t>
  </si>
  <si>
    <t>PADOVANI, MAXIMILIANO POR DESOBEDIENCIA JUDICIAL EN PERJUICIO DE NN</t>
  </si>
  <si>
    <t>190069/24</t>
  </si>
  <si>
    <t>190138/24</t>
  </si>
  <si>
    <t xml:space="preserve">SARAVIA, LEONARDO JESUS POR EL DELITO DE ROBO SIMPLE EN PERJUICIO DE </t>
  </si>
  <si>
    <t>ULLOA ESCRIBAS, CARLOS NICOLAS POR ROBO DOBLEMENTE CALIFICADO POR EL USO DE ARMA Y EN POBLADO Y NE BANDA</t>
  </si>
  <si>
    <t>PABLO ELISEO PEDRO POR HURTO DE VEHÍCULO DEJADO EN LA VÍA PÚBLICA DOS HECHOS</t>
  </si>
  <si>
    <t>ZERDA, ROMULO SAMUEL POR HURTO DOBLEMENTE CALIFICADO POR ESCALAMIENTO Y POR LA PARTICIPACIÓN DE UN MENOR</t>
  </si>
  <si>
    <t>190088/24</t>
  </si>
  <si>
    <t>190008/24</t>
  </si>
  <si>
    <t>JORGE ROBERTO MARIO POR EL DELITO DE HOMICIDIO AGRAVADO POR EL USO DE ARMA DE FUEGO EN PERJUICIO DE CHAILE, SEBASTIAN FERNANDO</t>
  </si>
  <si>
    <t xml:space="preserve">Juicio abreviado - 3 años efectiva - Asesoria 5-- </t>
  </si>
  <si>
    <t>Juicio abreviado - 1 efectivapara Molina y 6 meses condicional para Vargas</t>
  </si>
  <si>
    <t>Juicio abreviado 1 año y 6 meses condicional - ASESORIA 3</t>
  </si>
  <si>
    <t xml:space="preserve">Juicio abreviado - ejecucion condcional </t>
  </si>
  <si>
    <t>Juicio abreviado 2 a´ños y 8 meses condicional</t>
  </si>
  <si>
    <t>Dr. Nuñez Najle, Fabio Miguel MP 3241</t>
  </si>
  <si>
    <t>Dra. Pastrana, Sol MP 6636</t>
  </si>
  <si>
    <t>AVALOS, WALTER EXEQUIEL POR ABUSO SEXUAL AGRAVEMENTE ULTRAJANTE POR LA DURACIÓN EN EL TIEMPO EN CONCURSO REAL CON ABUSO SEXUAL GRAVEMENTE ULTRAJANTE POR LA CIRUCNSTANCIAS DE SU REALIZACIÓN AGRAVADO POR LA GUARDA Y LÓPEZ, SERGIO AGUSTÍN POR ABUSO SEXUAL GRAVEMENTE ULTRAJANTE POR LA DURACIÓN EN EL TIEMPO AGRAVADO POR EL VÍNCULO Y LA CONVIVENCIA CN UNA MENOR DE 18 AÑOS DE EDAD</t>
  </si>
  <si>
    <t>Dr. Monzo, Facundo MP 2483</t>
  </si>
  <si>
    <t>Dr. Pedro Ibarra MP 4313</t>
  </si>
  <si>
    <t>BERNABE BALMACEDA EMANUEL Y PAZ, SOLANA MARIBEL POR ROBO SIMPLE HURTO SIMPLE EN CONCURS REAL</t>
  </si>
  <si>
    <t>OCAMPO SEDAN, CLAUDIO FERNANDO POR EL DELITO DE ROBO SIMPLE</t>
  </si>
  <si>
    <t>189687/24</t>
  </si>
  <si>
    <t xml:space="preserve">CAZON ARMELLA, CAROL MARIBEL; BALTAZAR, ANA BELEN; Y HUMERES GARCIA, NAZARENA GISELA POR COMERCIALIZACION DE ESTUPEFACIENTES AGRAVADA POR LA PARTICIPACION DE TRES O MAS PERSONAS EN FORMA ORGANIZADA.- </t>
  </si>
  <si>
    <t>190141/24</t>
  </si>
  <si>
    <t>MOLINA, MIGUEL ALEJANDRO Y COLQUE, RODRIGO POR EL DELITO DE ROBO (A.P. Nº 555/24 CRIA. Vº LAVALLE)</t>
  </si>
  <si>
    <t>190165/24</t>
  </si>
  <si>
    <t xml:space="preserve">MONTENEGRO CARRIZO, CARLOS SEBASTIAN POR EL DELITO DE ROBO SIMPLE - DOS HECHOS EN PERJUICIO DE </t>
  </si>
  <si>
    <t>190160/24</t>
  </si>
  <si>
    <t xml:space="preserve">CASTILLO, ALBERTO PATRICIO POR EL DELITO DE ROBO SIMPLE EN PERJUICIO DE </t>
  </si>
  <si>
    <t>ALFARO, JUAN ANTONI POR HURTO SIMPLE</t>
  </si>
  <si>
    <t>190156/24</t>
  </si>
  <si>
    <t>CAMAÑO, DIEGO MATIAS POR LOS DELITOS DE HURTO EN GRADO DE TENTATIVA Y AMENAZAS (A.P. 969 Y 970/24 CRIA. 5TA)</t>
  </si>
  <si>
    <t>189555/24</t>
  </si>
  <si>
    <t>LOPEZ, LUCIANO NAHIR Y MAMANI SUAREZ OGANECU, AXEL FABRICIO POR HOMICIDIO SIMPLE, LESIONES GRAVES, LESIONES LEVES EN CONCURSO IDEAL - A.P. 790/24 COMISARIA SAN REMO - FISCAL UGAP 2</t>
  </si>
  <si>
    <t>Dr.  Luis Fernandez Def.. -- Qtes. Dr. Fernandez; Dr. Aramayo; Dr. Anachuri; Dr. Miguel Fernandez; Dr. Juan Herrera; Dra. Stella Sellan;</t>
  </si>
  <si>
    <t>2041</t>
  </si>
  <si>
    <t>Dr. Nelson Rivas MP 7149</t>
  </si>
  <si>
    <t xml:space="preserve">Qte. Dr. Franco Vizgarra c/ actuaciones varias en cuerda floja </t>
  </si>
  <si>
    <t>audiencia mal fijada, se pasa al area de Requerimiento</t>
  </si>
  <si>
    <t>Juicio abreviado - 1 años y 6 meses efectiva</t>
  </si>
  <si>
    <t>Juicio abreviado - 5 años efectiva</t>
  </si>
  <si>
    <t>Se resolvio soliciar al juegado de origen su resolución por escrito - se devuelve el expte a GAR 4 - Suspendida del 22/04 - Preventiva - Asesoria 7 / c/Leg de investigación original -</t>
  </si>
  <si>
    <t>Prision domiciliaria - Asesoría Nº 9 --- Qte. Dr. Gorritti MP 5669</t>
  </si>
  <si>
    <t>Juicio abreviado - 2 meses y 15 dias efectivaSuspendida del dia 19/04 -  Dr. Ricardo Poclava intervinie por Lazarte  --- c/ actuaciones complmentarias nº 1688/23 GIS 4B - La def 12 intervino por los otros 2 que fueron condenado --</t>
  </si>
  <si>
    <t>Juicio abreviado - 4 meses condicional para Nogales t 1 año condicional para Rivera - Dr. Lugones, Rolando MP 1141/ PIDO ACUMULACIÓN CON EL GAR 184492/23 DE GAR 1</t>
  </si>
  <si>
    <t>Suspendida por incomparencia de la co-imputada Almaraz, Rosa Matilde</t>
  </si>
  <si>
    <t>190137/24</t>
  </si>
  <si>
    <t xml:space="preserve">AVENDAÑO, LUIS ALBERTO POR EL DELITO DE HURTO SIMPLE, VIOLACION DE DOMICILIO Y RESISTENCIA A LA AUTORIDAD EN CONCURSO REAL EN PERJUICIO DE JULIAN SANTOS CUSSI, OLGA NICOLASA BARRIONUEVO </t>
  </si>
  <si>
    <t>C/ ABREVIADO INICIAL</t>
  </si>
  <si>
    <t>188335/23</t>
  </si>
  <si>
    <t xml:space="preserve">CACERES MALDONADO, KEVIN EDUARDO POR ABUSO SEXUAL CON ACCESO CARNAL, PRIVACION ILEGITIMA DE LA LIBERTAD Y DESOBEDIENCIA JUDICIAL EN C.R. EN PERJUICIO DE J. E. O. - L, I. 71/24 AV. 10/23 UDIS 2 Y ACUM 1070/23 DE OOYD </t>
  </si>
  <si>
    <t>1 al 15 Abril 2024</t>
  </si>
  <si>
    <t>15 al 30 de Abril 2024</t>
  </si>
  <si>
    <r>
      <t xml:space="preserve">INGRESO ESTIMADO DURANTE EL TURNO DE </t>
    </r>
    <r>
      <rPr>
        <b/>
        <sz val="14"/>
        <color rgb="FF9C6500"/>
        <rFont val="Calibri"/>
        <family val="2"/>
        <scheme val="minor"/>
      </rPr>
      <t>GARANTIAS 1 (Ing 19/06/23)</t>
    </r>
  </si>
  <si>
    <r>
      <t xml:space="preserve">INGRESO ESTIMADO DURANTE EL TURNO DE </t>
    </r>
    <r>
      <rPr>
        <b/>
        <sz val="14"/>
        <color rgb="FF9C6500"/>
        <rFont val="Calibri"/>
        <family val="2"/>
        <scheme val="minor"/>
      </rPr>
      <t>GARANTIAS 5 (Ing 19/06/23)</t>
    </r>
  </si>
  <si>
    <r>
      <t xml:space="preserve">INGRESO ESTIMADO DURANTE EL TURNO DE </t>
    </r>
    <r>
      <rPr>
        <b/>
        <sz val="14"/>
        <color rgb="FF9C6500"/>
        <rFont val="Calibri"/>
        <family val="2"/>
        <scheme val="minor"/>
      </rPr>
      <t>GARANTIAS 7 (Ing 19/06/23)</t>
    </r>
  </si>
  <si>
    <r>
      <t xml:space="preserve">INGRESO ESTIMADO DURANTE EL TURNO DE </t>
    </r>
    <r>
      <rPr>
        <b/>
        <sz val="14"/>
        <color rgb="FF006100"/>
        <rFont val="Calibri"/>
        <family val="2"/>
        <scheme val="minor"/>
      </rPr>
      <t>GARANTIAS 6 (Ing 19/06/23)</t>
    </r>
  </si>
  <si>
    <t>Desde Ing a Primer turno</t>
  </si>
  <si>
    <t>16 al 30 de Septiembre 2023</t>
  </si>
  <si>
    <t>15 al 28 de Febrero 2023</t>
  </si>
  <si>
    <t>190038/24</t>
  </si>
  <si>
    <t>GERON, ESTEBAN; MORALES, FEDERICO NAHUEL POR ROBO EN GRADO DE TENTATIVA EN PERJUICIO DE NN (A.P. Nº  1388/24 de la Comisaría 5ª)</t>
  </si>
  <si>
    <t>190157/24</t>
  </si>
  <si>
    <t>QUIROGA, MIGUEL ANGEL POR AMENAZAS, DESOBEDIENCIA JUDICIAL EN PERJUICIO DE LOPEZ, LEILA DEL VALLE  ( AP . 1500/24 Y AC.AP. 1483/24 COM5- SOLIDARIDAD  )</t>
  </si>
  <si>
    <t>190152/24</t>
  </si>
  <si>
    <t xml:space="preserve">CAMACHO, PABLO ANDRÉS POR EL DELITO DE FALSO TESTIMONIO </t>
  </si>
  <si>
    <t>Promedio x Turno</t>
  </si>
  <si>
    <t>Turnos: 2</t>
  </si>
  <si>
    <t>Turnos: 3</t>
  </si>
  <si>
    <t>Turnos: 4</t>
  </si>
  <si>
    <t>Turnos:3</t>
  </si>
  <si>
    <t>Juzgados unipersonales de Turno</t>
  </si>
  <si>
    <t>Competencia original (habilitación a feria)</t>
  </si>
  <si>
    <t>Enero (Primer turno)</t>
  </si>
  <si>
    <t>Enero (Segundo turno)</t>
  </si>
  <si>
    <t>PERIODOS SEGÚN ACORDADA 11411</t>
  </si>
  <si>
    <t>4/5</t>
  </si>
  <si>
    <t>Primer turno</t>
  </si>
  <si>
    <t>Segundo turno</t>
  </si>
  <si>
    <t xml:space="preserve">Marzo </t>
  </si>
  <si>
    <t>Año 2023</t>
  </si>
  <si>
    <t xml:space="preserve">Competencia original (Habilitación a feria) </t>
  </si>
  <si>
    <t>Asesoria 6 --- vic menor -- Vista a la mesa pupilar 22/04/24</t>
  </si>
  <si>
    <t>gar 4</t>
  </si>
  <si>
    <t>ACOSTA, ALBERTO NICOLÁS POR EL DELITO DE ROBO EN POBLADO Y EN BANDA, LESIONES EN CONCURSO REAL EN PERJUICIO DE IGNACIO FABIAN LOPEZ</t>
  </si>
  <si>
    <t xml:space="preserve">PARRAGA, JOSE MANUEL POR EL DELITO DE ROBO CON ARMA BLANCA EN PERJUICIO DE ALVARO ABRAHAM MORUCHI </t>
  </si>
  <si>
    <t>ESTADISTICAS DE RESULTADOS HASTA 23/04/2024</t>
  </si>
  <si>
    <t>JUZGADO DE GARANTIAS Nº1: Dra. Ada Zunino</t>
  </si>
  <si>
    <t>OFIJU DE GARANTIAS - AREA DE AGENDA, MONITOREO Y ESTADISITICA</t>
  </si>
  <si>
    <t>INFORME POR JUZGADO</t>
  </si>
  <si>
    <t>Ingreso al plan Piloto: 19/06/2023</t>
  </si>
  <si>
    <t>INGRESOS DURANTE LOS TURNOS</t>
  </si>
  <si>
    <t>Turno</t>
  </si>
  <si>
    <t>Turnos</t>
  </si>
  <si>
    <t>Suspendida por juez sorteado por lo dispuesto por el tribunal de impugnación, se remite el expte al juzgado de origen para su resolución - Asesoria Nº 9 - Dra. Bustos --- Querella Dra. Aquino -</t>
  </si>
  <si>
    <t>AUDIENCIAS RESUELTAS</t>
  </si>
  <si>
    <t>No realizadas</t>
  </si>
  <si>
    <t>Dias Laborales 2024 hasta</t>
  </si>
  <si>
    <t>Dias Laborales 2023 hasta</t>
  </si>
  <si>
    <t>Suma</t>
  </si>
  <si>
    <t>Prisión preventiva - Asesoria Nº7 - Dra. Quinteros - vista la mesa pupilar 11/04/2024</t>
  </si>
  <si>
    <t>Arresto dimiciliario</t>
  </si>
  <si>
    <t>Juicio abreviado - 3 años y 9 meses efectiva</t>
  </si>
  <si>
    <t xml:space="preserve">Arresto domiciliario </t>
  </si>
  <si>
    <t>Juicio abreviado 9 meses efectiva</t>
  </si>
  <si>
    <t>Abreviado 2 años condicional</t>
  </si>
  <si>
    <t>190181/24</t>
  </si>
  <si>
    <t>MARTINEZ, JOSE AUGUSTO POR LESIONES LEVES EN PERJUICIO DE APAZA, GUADALUPE ROCIO GABRIELA ( AP. 682/24 COM.11 Bº 17 OCTUBRE- EX. 103 )</t>
  </si>
  <si>
    <t>189847/24</t>
  </si>
  <si>
    <t>LAZARTE, HECTOR GONZALO Y CARLOS ALFREDO CASTAÑO POR EL DELITO DE ROBO POR EFRACCIÓN EN PERJUICIO DE SEGOVIA, MARIANO BENJAMÍN</t>
  </si>
  <si>
    <t>189988/24</t>
  </si>
  <si>
    <t xml:space="preserve">GALLARDO, MARIA EUGENIA Y GALLARDO, JENNIFER MARIA DE LOS ANGELES POR HURTO </t>
  </si>
  <si>
    <t>Bonifacio: mantiene prisiòn preventiva - Guzman: Libertad con medidas sustitutivas.-pedir con antelación --- Prisión preventiva por 20 dias para bonifacio</t>
  </si>
  <si>
    <t>189966/24</t>
  </si>
  <si>
    <t>HERRERA, CARLOS MARTÍN Y GUAYMÁS, MARCOS AGUSTIN POR EL DELITO DE TENENCIA DE ESTUPEFACIENTES CON FINES DE COMERCIALZIACIÓN EN PERJUICIO DE LA SALUD PUBLICA</t>
  </si>
  <si>
    <t>190004/24</t>
  </si>
  <si>
    <t>GONZALEZ, FERNANDO JORGE DANIEL POR EL DELITO DE DESOBEDIENCIA JUDICIAL - 4 HECHOS- LESIONES LEVES AGRAVADAS POR LA RELACION DE PAREJA PREVIA Y POR EL GENERO, AMENAZAS EN CONCURSO REAL EN PERJUICIO DE SUTAR, CRISTINA ELIZABETH</t>
  </si>
  <si>
    <t xml:space="preserve">BORRAR: DIAS TRABAJADOS </t>
  </si>
  <si>
    <t>Promedio de audiencias por Mes</t>
  </si>
  <si>
    <t>Resueltas por Mes</t>
  </si>
  <si>
    <t>Requerimientos Enviados</t>
  </si>
  <si>
    <t>Elevaciones</t>
  </si>
  <si>
    <t>Audiencias asignadas</t>
  </si>
  <si>
    <t>Audiencias resueltas</t>
  </si>
  <si>
    <t>Audiencias suspendidas</t>
  </si>
  <si>
    <t>Total prev. enviadas</t>
  </si>
  <si>
    <t>Total de aud. Resueltas</t>
  </si>
  <si>
    <t>Total req. Enviados</t>
  </si>
  <si>
    <t>Total elevaciones</t>
  </si>
  <si>
    <t>Otros jueces</t>
  </si>
  <si>
    <t>Audiencias pendientes</t>
  </si>
  <si>
    <t>Diferencia total</t>
  </si>
  <si>
    <t>Preventivas sin resolver por jueces de Garantias</t>
  </si>
  <si>
    <t>Suspendida del dia 18/04 la tiene mario nieva- se envio a la defensoria en fecha 25/04 por intereses contrapuestos</t>
  </si>
  <si>
    <t>prom ing</t>
  </si>
  <si>
    <t>ing pre</t>
  </si>
  <si>
    <t>res pre</t>
  </si>
  <si>
    <t>ing req</t>
  </si>
  <si>
    <t>ele req</t>
  </si>
  <si>
    <t>190061/24</t>
  </si>
  <si>
    <t>BERNEL, GUSTAVO, DAVID POR ROBO SIMPLE - DOS HECHOS- EN GRADO DE TENTATIVA Y DESOBEDIENCIA JUDICIAL, HURTO EN GRADO DE TENTATIVA Y HURTO SIMPLE EN CONCURSO REAL EN PERJUICIO DE RODRIGUEZ, NELSON.</t>
  </si>
  <si>
    <t>190005/24</t>
  </si>
  <si>
    <t>CAMPOS, EZEQUIEL EMILIANO POR EL DELITO DE ABUSO SEXUAL CON ACCESO CARNAL - DOS HECHOS EN CONCURSO REAL EN PERJUICIO DE LA MENOR JMMV</t>
  </si>
  <si>
    <t>189781/24</t>
  </si>
  <si>
    <t>QUISPE, VICTOR ARIEL POR HURTO CALIFICADO Y AMENAZAS EN PERJUICIO DE GARAY, JHOANA PAOLA Y CHOCOBAR, JULIO FEDERICO EMANUEL - A.P. 165/24 Y 166/24 CHICOANA - FISCAL DELEGACION EL CARRIL</t>
  </si>
  <si>
    <t>190056/24</t>
  </si>
  <si>
    <t>BURGOS, ROQUE SEBASTIAN POR EL DELITO DE LESIONES LEVES AGRAVADAS POR LA RLEACION DE PAREJA PREVIA Y POR EL GENERO Y COACION EN CONCURSO REAL</t>
  </si>
  <si>
    <t>SULCA, VERONICA BEATRIZ Y MANSILLA, KATHERINA ABIGAIL POR TENENCIA DE ESTUPEFACIENTES CON FINES DE COMERCIALIZACION ( A.P. Nº 394/23 Y A.P. Nº 477/23 DE LA DIRECCION GENERAL DE DROGAS PELIGROSAS).-</t>
  </si>
  <si>
    <t>189278/24</t>
  </si>
  <si>
    <t>186828/23</t>
  </si>
  <si>
    <t>Dr. Víctor Ramón Jimenez MP 4603</t>
  </si>
  <si>
    <t xml:space="preserve">Vista a la mesa pupilar 25/04/2024 </t>
  </si>
  <si>
    <t>190049/24</t>
  </si>
  <si>
    <t>AVILEZ, LUIS DOMINGO POR ABIGEATO EN OCASION DE ROBO (DOS HECHOS), FALSIFICACION DE MARCAS O SEÑALES UTILIZADAS PARA LA IDENTIFICACION DE UN ANIMAL EN CONCURSO REAL Y VIOLACION DE LAS REGLAS ESTABLECIDAS POR LAS LEYES DE POLICIA SANITARIA ANIMAL EN PERJUICIO DE TEJERINA, OMAR - FISCALIA PENAL GRAL. GUEMES SOLICITA ALLANAMIENTO, SECUESTRO Y DETENCION</t>
  </si>
  <si>
    <t>c/ actuaciones complementarias</t>
  </si>
  <si>
    <t>Asesoria 7--- En fecha 24/04 vista a mesa pupilar</t>
  </si>
  <si>
    <t>Juicio abreviado - 1 año y 15 dias efectiva</t>
  </si>
  <si>
    <t>Prision preventiva - Asesoria 8 ---Exp. ingresado con plazos vencidos de la Preventiva x 30 dias - co imputado es menor -- vista a mesa pupilar en fecha 11/04/2024</t>
  </si>
  <si>
    <t>Sobreseimiento - c/ leg de investigación original Nº 44/24</t>
  </si>
  <si>
    <t>Suspendida por tener estar a la misma hora el fiscal en otra audiencia</t>
  </si>
  <si>
    <t>190006/24</t>
  </si>
  <si>
    <t>PEDRAZA, WALTER SEBASTIAN POR TENENCIA DE ESTUPEFACIENTES CON FINES DE COMERCIALIZACIÓN EN PERJUICIO DE SALUD PUBLICA</t>
  </si>
  <si>
    <t>189963/24</t>
  </si>
  <si>
    <t>BIGNON, JORGE ALEJANDRO; GOMEZ, RUBEN ALEJANDRO; AQUINO, ARIEL GUSTAVO; ARJONA, NELSON ABEL; AGUIRRE, CESAR MACIEL; GARCIA, CLAUDIO EXEQUIEL POR ROBO SIMPLE EN PERJUICIO DE NN- FISCALIA PENAL SOLICITA</t>
  </si>
  <si>
    <t>MARTINEZ, ENZO GUSTAVO POR LESIONES LEVES AGRAVADAS POR LA RELACIÓN DE PAREJA PREVIA Y EL GÉNERO 2 HECHOS Y DESOBEDIENCI JUDICIAL TODO EN CONCRUSO REAL EN PERJUICIO DE GARECA, NATALIA MAILEN Y SU EXPEDIENTE ACUMULADO GAR 188285/23 SEGUIDO CONTRA MARTINEZ GUSTAVO POR ROBO EN POBLADO Y EN BANDA</t>
  </si>
  <si>
    <r>
      <rPr>
        <sz val="10"/>
        <color rgb="FFFF0000"/>
        <rFont val="Arial"/>
        <family val="2"/>
      </rPr>
      <t xml:space="preserve">victima en fiscalía </t>
    </r>
    <r>
      <rPr>
        <sz val="10"/>
        <rFont val="Arial"/>
        <family val="2"/>
      </rPr>
      <t xml:space="preserve">---HURTADO, FACUNDO MARCOS ANTONIO POR EL DELITO DE ROBO AGRAVADO POR EFRACCIÓN EN PERJUICIO DE </t>
    </r>
  </si>
  <si>
    <t>190204/24</t>
  </si>
  <si>
    <t>DUARTE, SEBASTIAN GUILLERMO POR EL DELITO DE AMENAZAS, LESIONES AGRAVADAS POR LA RELACION DE PAREJA PREEXISTENTE Y POR CONSTITUIR VIOLENCIA DE GENERO, DESOBEDIENCIA JUDICIAL Y COACCION CON ARMA EN CONCURSO REAL</t>
  </si>
  <si>
    <t>190218/24</t>
  </si>
  <si>
    <t xml:space="preserve">PAINEVIL, JOSE LUIS POR EL DELITO DE AMENAZAS, DAÑOS Y DESOBEDIENCIA JUDICIAL </t>
  </si>
  <si>
    <t>190192/24</t>
  </si>
  <si>
    <t>MORENO, JORGE Y GALVAN, ANDRES POR EL DELITO DE AP Nº 844/24: DAÑOS, AMENAZAS Y COACCIÓN AGRAVADA POR EL USO DE ARMA, . Y en AP Nº 845/24 Y 852/24 RESISTENCIA A LA AUTORIDAD Y HURTO SIMPLE,</t>
  </si>
  <si>
    <t xml:space="preserve">ILLESCA, CRITIAN IGNACIO Y ALVAREZ EMANUEL NORBERTO JIMENEZ HECTOR RUBEN SACARIAS JUAN CARLOS - FABRICIO ISAIAS SACARIAS GALINDO  --- VILTE BRUNO EXEQUIEL CARABJAL POR ESTAFA Y ASOCIACION ILICITA EN CONCURSO REAL EN PERJ. DE </t>
  </si>
  <si>
    <t>CHOQUEM CLAUDIO DARIO; REINA MARGARITA VALERIANO; ROMÁN ROBERTO BURGOS; FERNANDO VICENTE REYNAGA; ROBERTO GERARDO MOYA, FELIX SANCHEZ Y CLAUDIO FACUNDO MIGUEL CHOQUE POR EL DELITO DE TENENCIA DE ESTUPEFACIENTES CON FINES DE COMERCIALIZACIÓN AGRAVADA POR L PARTICIPACIÓN DE  TRES O MAS PERSONAS Y POR COMETERSE EN LUGAR DESTINADOA A LA DETENCION DE PERSONAS EN PERJUICIO DE LA SALUD PUBLICA</t>
  </si>
  <si>
    <t>Dra. Paz, Graciela x Choque, Valeriano y Sanchez, Felix; Dr. Diaz Zabalaga x Moya; Dr. Reyes; Dr. Molina x burgos; Dr. Maggio x Reynaga y el Dr. Cruz x flores; Asesoria 7 por los menores</t>
  </si>
  <si>
    <t>Supendida el dia 26/04/2024</t>
  </si>
  <si>
    <t>Asesoria 4 --- Qte. Dra. Chirife (defensa vifg 2) vista a la mesa pupilar 24/04/2024 vic menores</t>
  </si>
  <si>
    <t>Dr. Moreno, Eduardo MP 3786</t>
  </si>
  <si>
    <t>Vic menor--- vista a la mesa pupilar 26/04/2024</t>
  </si>
  <si>
    <t>189947/24</t>
  </si>
  <si>
    <t>ARREDONDO, MARCOS ANTONIO POR ABUSO SEXUAL CON ACCESO CARNAL EN PERJUICIO DE QUINTANA, TATIANA KAREN</t>
  </si>
  <si>
    <t>GUARACHE, MARCELO DANIEL POR HOMICIDIO DOBLEMENTE CALIFICADO POR LA RELACIÓN DE PAREJA PREVIA Y POR MEDIAR VIOLENCIA DE GÉNERO - FEMICIDIO EN GRADO DE TENTATIVA, DESOBEDIENCIA JUDICIAL, PRIVACIÓN ILEGITIMA DE LA LIBERTAD AGRAVADA POR SER EJERCIDO CON VIOLENCIA Y EMANAZAS Y COACCIÓN AGRAVADA POR EL USO DE ARMA, TODO ELLO EN CONCURSO REAL EN PERJUICIO DE MARTÍNEZ, ROCIO GISELL</t>
  </si>
  <si>
    <t>189704/24</t>
  </si>
  <si>
    <t>ESCALANTE, JESICA ALEJANDRA Y AMAYA, HECTOR IGNACIO POR EL DELITO DE TENENCIA DE ESTUPEFACIENTES CON FINES DE COMERCIALIZACION EN PERJUICIO DE LA SALUD PUBLICA</t>
  </si>
  <si>
    <t>Actuaciones Varias</t>
  </si>
  <si>
    <t>190087/24</t>
  </si>
  <si>
    <t xml:space="preserve">DOS SANTOS, ARIEL NAHUEL POR EL DELITO DE ROBO CON ARMA EN PERJUICIO DE </t>
  </si>
  <si>
    <t>Dr. Guillermo Dantur MP 5941</t>
  </si>
  <si>
    <t xml:space="preserve">RIOS, JOSE IGNACIO ABUSO SEXUAL CON ACCESO CARNAL, HURTO Y AMENAZAS EN CONCURSO REAL EN PERJUICIO DE </t>
  </si>
  <si>
    <t>190060/24</t>
  </si>
  <si>
    <t xml:space="preserve">GUTIERREZ, FACUNDO MIGUEL Y LCUAS MATÍAS JARRUZO POR EL DELITO DE HURTO CALIFICADO EN GRADO DETENTATIVA EN PERJUICIO DE </t>
  </si>
  <si>
    <t>189921/24</t>
  </si>
  <si>
    <t xml:space="preserve">RIVERO ROJAS, LUIS RICARDO FRANCISCO POR EL DELITO DE DESOBEDIENCIAL EN PERJUICIO DE </t>
  </si>
  <si>
    <t>190066/24</t>
  </si>
  <si>
    <t>VISA, JUAN GABRIEL POR EL DELITO DE HURTO, DESOBEDIENCIA JUDICIAL, AMENAZAS, VIOLACION DE DEOMICILIO EN CONCURSO REAL</t>
  </si>
  <si>
    <r>
      <t>Dr. Molina, Marcos Alberto y asesoria 7 ---</t>
    </r>
    <r>
      <rPr>
        <sz val="10"/>
        <color rgb="FFFF0000"/>
        <rFont val="Arial"/>
        <family val="2"/>
      </rPr>
      <t xml:space="preserve"> EL FISCAL Dr. Pablo Rivero TIENE UNA AUDIENCIA de debate PREVIO Y EL REEMPLAZO Sería EL Dr. Mario Boglioli Aux.</t>
    </r>
  </si>
  <si>
    <t>VICTIMA MENOR ? - Con actuaciones complementarias</t>
  </si>
  <si>
    <t>Juicio abreviado - 4 meses efectiva</t>
  </si>
  <si>
    <t>Prision preventiva - cambio la defensa de dop 12 a un particular</t>
  </si>
  <si>
    <t xml:space="preserve">Audiencias suspendida por pedido de las partesSuspendida por falta de notificacion de la pp al fiscal y y por pedidio de la defensa </t>
  </si>
  <si>
    <t>Libertad con sustitutivas -- Asesoría 4 --- pedir con antelación</t>
  </si>
  <si>
    <t>Suspendida por ausencia del fiscal</t>
  </si>
  <si>
    <t>Juicio abreviado 4 meses y 15 dias efectiva</t>
  </si>
  <si>
    <t>Juicio abreviado 3 meses efectivaº</t>
  </si>
</sst>
</file>

<file path=xl/styles.xml><?xml version="1.0" encoding="utf-8"?>
<styleSheet xmlns="http://schemas.openxmlformats.org/spreadsheetml/2006/main">
  <numFmts count="5">
    <numFmt numFmtId="164" formatCode="dd/mm/yyyy;@"/>
    <numFmt numFmtId="165" formatCode="0.0%"/>
    <numFmt numFmtId="166" formatCode="dd/mm/aaaa"/>
    <numFmt numFmtId="167" formatCode="0.0"/>
    <numFmt numFmtId="168" formatCode="hh:mm"/>
  </numFmts>
  <fonts count="80">
    <font>
      <sz val="10"/>
      <name val="Arial"/>
    </font>
    <font>
      <sz val="11"/>
      <color theme="1"/>
      <name val="Calibri"/>
      <family val="2"/>
      <scheme val="minor"/>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b/>
      <sz val="10"/>
      <color rgb="FF808000"/>
      <name val="Arial"/>
      <family val="2"/>
    </font>
    <font>
      <b/>
      <sz val="9"/>
      <color indexed="81"/>
      <name val="Tahoma"/>
      <family val="2"/>
    </font>
    <font>
      <b/>
      <u/>
      <sz val="20"/>
      <name val="Arial"/>
      <family val="2"/>
    </font>
    <font>
      <b/>
      <sz val="11"/>
      <color indexed="53"/>
      <name val="Arial"/>
      <family val="2"/>
    </font>
    <font>
      <b/>
      <sz val="10"/>
      <color indexed="10"/>
      <name val="Arial"/>
      <family val="2"/>
    </font>
    <font>
      <sz val="16"/>
      <name val="Arial"/>
      <family val="2"/>
    </font>
    <font>
      <b/>
      <u/>
      <sz val="18"/>
      <name val="Arial"/>
      <family val="2"/>
    </font>
    <font>
      <b/>
      <sz val="24"/>
      <name val="Arial"/>
      <family val="2"/>
    </font>
    <font>
      <b/>
      <sz val="28"/>
      <name val="Arial"/>
      <family val="2"/>
    </font>
    <font>
      <i/>
      <sz val="10"/>
      <name val="Arial"/>
      <family val="2"/>
    </font>
    <font>
      <b/>
      <sz val="10"/>
      <color theme="2" tint="-0.89999084444715716"/>
      <name val="Arial"/>
      <family val="2"/>
    </font>
    <font>
      <sz val="9"/>
      <color indexed="81"/>
      <name val="Tahoma"/>
      <family val="2"/>
    </font>
    <font>
      <b/>
      <sz val="11"/>
      <color indexed="30"/>
      <name val="Arial"/>
      <family val="2"/>
    </font>
    <font>
      <sz val="11"/>
      <color rgb="FF006100"/>
      <name val="Calibri"/>
      <family val="2"/>
      <scheme val="minor"/>
    </font>
    <font>
      <sz val="11"/>
      <color rgb="FF9C6500"/>
      <name val="Calibri"/>
      <family val="2"/>
      <scheme val="minor"/>
    </font>
    <font>
      <b/>
      <sz val="14"/>
      <color rgb="FF9C6500"/>
      <name val="Calibri"/>
      <family val="2"/>
      <scheme val="minor"/>
    </font>
    <font>
      <b/>
      <sz val="14"/>
      <color rgb="FF006100"/>
      <name val="Calibri"/>
      <family val="2"/>
      <scheme val="minor"/>
    </font>
    <font>
      <b/>
      <sz val="11"/>
      <name val="Arial"/>
      <family val="2"/>
    </font>
    <font>
      <sz val="11"/>
      <color rgb="FF9C0006"/>
      <name val="Calibri"/>
      <family val="2"/>
      <scheme val="minor"/>
    </font>
    <font>
      <b/>
      <sz val="14"/>
      <color rgb="FF9C0006"/>
      <name val="Calibri"/>
      <family val="2"/>
      <scheme val="minor"/>
    </font>
    <font>
      <sz val="9"/>
      <color rgb="FF1F1F1F"/>
      <name val="Arial"/>
      <family val="2"/>
    </font>
    <font>
      <b/>
      <sz val="10"/>
      <color rgb="FF008000"/>
      <name val="Arial Rounded MT Bold"/>
    </font>
    <font>
      <b/>
      <u/>
      <sz val="14"/>
      <name val="Arial"/>
      <family val="2"/>
    </font>
    <font>
      <b/>
      <sz val="11"/>
      <color rgb="FF9C0006"/>
      <name val="Calibri"/>
      <family val="2"/>
      <scheme val="minor"/>
    </font>
    <font>
      <b/>
      <sz val="11"/>
      <name val="Calibri"/>
      <family val="2"/>
      <scheme val="minor"/>
    </font>
    <font>
      <b/>
      <sz val="11"/>
      <color rgb="FF9C6500"/>
      <name val="Calibri"/>
      <family val="2"/>
      <scheme val="minor"/>
    </font>
    <font>
      <sz val="12"/>
      <color theme="1"/>
      <name val="Calibri"/>
      <family val="2"/>
      <scheme val="minor"/>
    </font>
    <font>
      <b/>
      <sz val="10"/>
      <color indexed="56"/>
      <name val="Arial"/>
      <family val="2"/>
    </font>
  </fonts>
  <fills count="29">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2" tint="-0.249977111117893"/>
        <bgColor indexed="64"/>
      </patternFill>
    </fill>
    <fill>
      <patternFill patternType="solid">
        <fgColor rgb="FFFFFF99"/>
        <bgColor indexed="64"/>
      </patternFill>
    </fill>
    <fill>
      <patternFill patternType="solid">
        <fgColor theme="6" tint="0.59999389629810485"/>
        <bgColor indexed="64"/>
      </patternFill>
    </fill>
    <fill>
      <patternFill patternType="solid">
        <fgColor rgb="FFC6EFCE"/>
      </patternFill>
    </fill>
    <fill>
      <patternFill patternType="solid">
        <fgColor rgb="FFFFEB9C"/>
      </patternFill>
    </fill>
    <fill>
      <patternFill patternType="solid">
        <fgColor rgb="FFFFC7CE"/>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5"/>
      </patternFill>
    </fill>
    <fill>
      <patternFill patternType="solid">
        <fgColor rgb="FFFF0000"/>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7">
    <xf numFmtId="0" fontId="0" fillId="0" borderId="0"/>
    <xf numFmtId="0" fontId="3" fillId="0" borderId="0"/>
    <xf numFmtId="9" fontId="35" fillId="0" borderId="0" applyFont="0" applyFill="0" applyBorder="0" applyAlignment="0" applyProtection="0"/>
    <xf numFmtId="0" fontId="65" fillId="22" borderId="0" applyNumberFormat="0" applyBorder="0" applyAlignment="0" applyProtection="0"/>
    <xf numFmtId="0" fontId="66" fillId="23" borderId="0" applyNumberFormat="0" applyBorder="0" applyAlignment="0" applyProtection="0"/>
    <xf numFmtId="0" fontId="70" fillId="24" borderId="0" applyNumberFormat="0" applyBorder="0" applyAlignment="0" applyProtection="0"/>
    <xf numFmtId="0" fontId="1" fillId="27" borderId="0" applyNumberFormat="0" applyBorder="0" applyAlignment="0" applyProtection="0"/>
  </cellStyleXfs>
  <cellXfs count="810">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3" fillId="0" borderId="0" xfId="0" applyFont="1" applyAlignment="1">
      <alignment horizontal="center" vertical="center" wrapText="1"/>
    </xf>
    <xf numFmtId="0" fontId="3" fillId="3" borderId="1" xfId="0" applyFont="1" applyFill="1" applyBorder="1" applyAlignment="1">
      <alignment horizontal="center" vertical="center" wrapText="1"/>
    </xf>
    <xf numFmtId="164" fontId="3" fillId="3" borderId="1" xfId="0" applyNumberFormat="1" applyFont="1" applyFill="1" applyBorder="1" applyAlignment="1">
      <alignment horizontal="center" vertical="center" wrapText="1"/>
    </xf>
    <xf numFmtId="20" fontId="3" fillId="3" borderId="1" xfId="0" applyNumberFormat="1" applyFont="1" applyFill="1" applyBorder="1" applyAlignment="1">
      <alignment horizontal="center" vertical="center" wrapText="1"/>
    </xf>
    <xf numFmtId="0" fontId="3" fillId="4" borderId="1" xfId="0" applyFont="1" applyFill="1" applyBorder="1" applyAlignment="1">
      <alignment horizontal="center" vertical="center" wrapText="1"/>
    </xf>
    <xf numFmtId="0" fontId="0" fillId="2" borderId="0" xfId="0" applyFill="1" applyAlignment="1">
      <alignment horizontal="center" vertical="center" wrapText="1"/>
    </xf>
    <xf numFmtId="0" fontId="4" fillId="0" borderId="0" xfId="0" applyFont="1" applyAlignment="1">
      <alignment horizontal="center" vertical="center" wrapText="1"/>
    </xf>
    <xf numFmtId="0" fontId="3" fillId="0" borderId="0" xfId="0" applyFont="1"/>
    <xf numFmtId="0" fontId="5" fillId="0" borderId="1" xfId="0" applyFont="1" applyBorder="1" applyAlignment="1">
      <alignment horizontal="center" vertical="center"/>
    </xf>
    <xf numFmtId="0" fontId="5"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3"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3" fillId="0" borderId="0" xfId="0" applyFont="1" applyAlignment="1">
      <alignment horizontal="left" vertical="center" wrapText="1"/>
    </xf>
    <xf numFmtId="0" fontId="0" fillId="0" borderId="0" xfId="0" applyAlignment="1">
      <alignment horizontal="left"/>
    </xf>
    <xf numFmtId="164" fontId="3" fillId="4" borderId="1" xfId="0" applyNumberFormat="1" applyFont="1" applyFill="1" applyBorder="1" applyAlignment="1">
      <alignment horizontal="center" vertical="center" wrapText="1"/>
    </xf>
    <xf numFmtId="0" fontId="0" fillId="0" borderId="0" xfId="0" applyAlignment="1">
      <alignment wrapText="1"/>
    </xf>
    <xf numFmtId="164" fontId="7" fillId="0" borderId="0" xfId="0" applyNumberFormat="1" applyFont="1" applyAlignment="1">
      <alignment horizontal="center"/>
    </xf>
    <xf numFmtId="0" fontId="3" fillId="0" borderId="1" xfId="0" applyFont="1" applyBorder="1" applyAlignment="1">
      <alignment horizontal="center" vertical="center"/>
    </xf>
    <xf numFmtId="0" fontId="3" fillId="2" borderId="0" xfId="0" applyFont="1" applyFill="1" applyAlignment="1">
      <alignment horizontal="center" vertical="center" wrapText="1"/>
    </xf>
    <xf numFmtId="0" fontId="4" fillId="2" borderId="0" xfId="0" applyFont="1" applyFill="1" applyAlignment="1">
      <alignment horizontal="center" vertical="center" wrapText="1"/>
    </xf>
    <xf numFmtId="0" fontId="5"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7" fillId="0" borderId="0" xfId="0" applyFont="1" applyAlignment="1">
      <alignment horizontal="center"/>
    </xf>
    <xf numFmtId="0" fontId="6" fillId="7"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3" fillId="5" borderId="1" xfId="0" applyFont="1" applyFill="1" applyBorder="1" applyAlignment="1">
      <alignment horizontal="center" vertical="center" wrapText="1"/>
    </xf>
    <xf numFmtId="164" fontId="3" fillId="5" borderId="1" xfId="0" applyNumberFormat="1" applyFont="1" applyFill="1" applyBorder="1" applyAlignment="1">
      <alignment horizontal="center" vertical="center" wrapText="1"/>
    </xf>
    <xf numFmtId="0" fontId="6" fillId="0" borderId="1" xfId="0" applyFont="1" applyBorder="1" applyAlignment="1">
      <alignment horizontal="center" vertical="center"/>
    </xf>
    <xf numFmtId="0" fontId="3"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8" fillId="5" borderId="1" xfId="0" applyFont="1" applyFill="1" applyBorder="1" applyAlignment="1">
      <alignment horizontal="center" vertical="center" wrapText="1"/>
    </xf>
    <xf numFmtId="0" fontId="3" fillId="3" borderId="1" xfId="0" applyFont="1" applyFill="1" applyBorder="1" applyAlignment="1">
      <alignment horizontal="left" vertical="center" wrapText="1"/>
    </xf>
    <xf numFmtId="0" fontId="3" fillId="4" borderId="1" xfId="0" applyFont="1" applyFill="1" applyBorder="1" applyAlignment="1">
      <alignment horizontal="left" vertical="center" wrapText="1"/>
    </xf>
    <xf numFmtId="0" fontId="0" fillId="0" borderId="0" xfId="0" applyAlignment="1">
      <alignment horizontal="left" vertical="center"/>
    </xf>
    <xf numFmtId="14" fontId="0" fillId="0" borderId="0" xfId="0" applyNumberFormat="1" applyAlignment="1">
      <alignment horizontal="center" vertical="center"/>
    </xf>
    <xf numFmtId="0" fontId="3"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3" fillId="0" borderId="0" xfId="0" applyNumberFormat="1" applyFont="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lignment horizontal="left" vertical="center" wrapText="1"/>
    </xf>
    <xf numFmtId="0" fontId="3" fillId="8" borderId="0" xfId="0" applyFont="1" applyFill="1" applyAlignment="1">
      <alignment horizontal="center" vertical="center" wrapText="1"/>
    </xf>
    <xf numFmtId="0" fontId="0" fillId="0" borderId="0" xfId="0" applyAlignment="1">
      <alignment horizontal="center"/>
    </xf>
    <xf numFmtId="0" fontId="3" fillId="0" borderId="0" xfId="0" applyFont="1" applyAlignment="1">
      <alignment horizontal="center"/>
    </xf>
    <xf numFmtId="14" fontId="0" fillId="0" borderId="0" xfId="0" applyNumberFormat="1"/>
    <xf numFmtId="20" fontId="0" fillId="0" borderId="0" xfId="0" applyNumberFormat="1" applyAlignment="1">
      <alignment horizontal="center"/>
    </xf>
    <xf numFmtId="0" fontId="3" fillId="0" borderId="2" xfId="0" applyFont="1" applyBorder="1" applyAlignment="1">
      <alignment horizontal="center" vertical="center" wrapText="1"/>
    </xf>
    <xf numFmtId="0" fontId="3" fillId="0" borderId="1" xfId="0" applyFont="1" applyBorder="1"/>
    <xf numFmtId="20" fontId="0" fillId="0" borderId="0" xfId="0" applyNumberFormat="1"/>
    <xf numFmtId="0" fontId="6" fillId="5" borderId="1" xfId="0" applyFont="1" applyFill="1" applyBorder="1" applyAlignment="1">
      <alignment horizontal="center" vertical="center"/>
    </xf>
    <xf numFmtId="49" fontId="3" fillId="0" borderId="0" xfId="0" applyNumberFormat="1" applyFont="1"/>
    <xf numFmtId="0" fontId="10" fillId="0" borderId="0" xfId="0" applyFont="1" applyAlignment="1">
      <alignment horizontal="center" vertical="center" wrapText="1"/>
    </xf>
    <xf numFmtId="0" fontId="9" fillId="0" borderId="0" xfId="0" applyFont="1"/>
    <xf numFmtId="49" fontId="3" fillId="0" borderId="0" xfId="0" applyNumberFormat="1" applyFont="1" applyAlignment="1">
      <alignment horizontal="left" vertical="center" wrapText="1"/>
    </xf>
    <xf numFmtId="49" fontId="0" fillId="0" borderId="0" xfId="0" applyNumberFormat="1" applyAlignment="1">
      <alignment horizontal="left" vertical="center" wrapText="1"/>
    </xf>
    <xf numFmtId="0" fontId="3" fillId="4" borderId="2" xfId="0" applyFont="1" applyFill="1" applyBorder="1" applyAlignment="1">
      <alignment horizontal="center" vertical="center" wrapText="1"/>
    </xf>
    <xf numFmtId="0" fontId="3" fillId="4" borderId="2" xfId="0" applyFont="1" applyFill="1" applyBorder="1" applyAlignment="1">
      <alignment horizontal="left" vertical="center" wrapText="1"/>
    </xf>
    <xf numFmtId="164" fontId="3" fillId="4" borderId="2" xfId="0" applyNumberFormat="1" applyFont="1" applyFill="1" applyBorder="1" applyAlignment="1">
      <alignment horizontal="center" vertical="center" wrapText="1"/>
    </xf>
    <xf numFmtId="0" fontId="3"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10" fillId="4" borderId="1" xfId="0" applyFont="1" applyFill="1" applyBorder="1" applyAlignment="1">
      <alignment horizontal="center" vertical="center" wrapText="1"/>
    </xf>
    <xf numFmtId="0" fontId="3" fillId="4" borderId="4" xfId="0" applyFont="1" applyFill="1" applyBorder="1" applyAlignment="1">
      <alignment horizontal="center" vertical="center" wrapText="1"/>
    </xf>
    <xf numFmtId="20" fontId="3" fillId="4" borderId="2" xfId="0" applyNumberFormat="1" applyFont="1" applyFill="1" applyBorder="1" applyAlignment="1">
      <alignment horizontal="center" vertical="center" wrapText="1"/>
    </xf>
    <xf numFmtId="0" fontId="5" fillId="4" borderId="1" xfId="0" applyFont="1" applyFill="1" applyBorder="1" applyAlignment="1">
      <alignment horizontal="center" vertical="center" wrapText="1"/>
    </xf>
    <xf numFmtId="0" fontId="10" fillId="4" borderId="2" xfId="0" applyFont="1" applyFill="1" applyBorder="1" applyAlignment="1">
      <alignment horizontal="center" vertical="center" wrapText="1"/>
    </xf>
    <xf numFmtId="0" fontId="10" fillId="0" borderId="1" xfId="0" applyFont="1" applyBorder="1" applyAlignment="1">
      <alignment horizontal="center" vertical="center" wrapText="1"/>
    </xf>
    <xf numFmtId="0" fontId="5" fillId="0" borderId="11" xfId="0" applyFont="1" applyBorder="1" applyAlignment="1">
      <alignment horizontal="center" vertical="center"/>
    </xf>
    <xf numFmtId="0" fontId="0" fillId="0" borderId="2" xfId="0" applyFill="1" applyBorder="1" applyAlignment="1">
      <alignment horizontal="center" vertical="center" wrapText="1"/>
    </xf>
    <xf numFmtId="0" fontId="3"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3" fillId="0" borderId="2" xfId="0" applyFont="1" applyFill="1" applyBorder="1" applyAlignment="1">
      <alignment horizontal="center" vertical="center" wrapText="1"/>
    </xf>
    <xf numFmtId="0" fontId="3" fillId="0" borderId="2" xfId="0" applyFont="1" applyFill="1" applyBorder="1" applyAlignment="1">
      <alignment horizontal="left" vertical="center" wrapText="1"/>
    </xf>
    <xf numFmtId="164" fontId="3" fillId="0" borderId="2" xfId="0" applyNumberFormat="1" applyFont="1" applyFill="1" applyBorder="1" applyAlignment="1">
      <alignment horizontal="center" vertical="center" wrapText="1"/>
    </xf>
    <xf numFmtId="0" fontId="10" fillId="0" borderId="2" xfId="0" applyFont="1" applyFill="1" applyBorder="1" applyAlignment="1">
      <alignment horizontal="center" vertical="center" wrapText="1"/>
    </xf>
    <xf numFmtId="0" fontId="3" fillId="8" borderId="1" xfId="0" applyFont="1" applyFill="1" applyBorder="1" applyAlignment="1">
      <alignment horizontal="center" vertical="center" wrapText="1"/>
    </xf>
    <xf numFmtId="164" fontId="3" fillId="8" borderId="1" xfId="0" applyNumberFormat="1" applyFont="1" applyFill="1" applyBorder="1" applyAlignment="1">
      <alignment horizontal="center" vertical="center" wrapText="1"/>
    </xf>
    <xf numFmtId="0" fontId="10" fillId="0" borderId="1" xfId="0" applyFont="1" applyBorder="1" applyAlignment="1">
      <alignment horizontal="center" vertical="center"/>
    </xf>
    <xf numFmtId="0" fontId="0" fillId="0" borderId="1" xfId="0" applyFill="1" applyBorder="1" applyAlignment="1">
      <alignment horizontal="center" vertical="center" wrapText="1"/>
    </xf>
    <xf numFmtId="0" fontId="8" fillId="4" borderId="2" xfId="0" applyFont="1" applyFill="1" applyBorder="1" applyAlignment="1">
      <alignment horizontal="center" vertical="center" wrapText="1"/>
    </xf>
    <xf numFmtId="0" fontId="3" fillId="0" borderId="0" xfId="0" applyFont="1" applyBorder="1" applyAlignment="1">
      <alignment vertical="center" wrapText="1"/>
    </xf>
    <xf numFmtId="0" fontId="3" fillId="0" borderId="0" xfId="0" applyFont="1" applyBorder="1" applyAlignment="1">
      <alignment vertical="center"/>
    </xf>
    <xf numFmtId="0" fontId="3" fillId="0" borderId="0" xfId="0" applyFont="1" applyAlignment="1"/>
    <xf numFmtId="1" fontId="0" fillId="0" borderId="0" xfId="0" applyNumberFormat="1"/>
    <xf numFmtId="1" fontId="3" fillId="0" borderId="0" xfId="0" applyNumberFormat="1" applyFont="1"/>
    <xf numFmtId="0" fontId="0" fillId="0" borderId="1" xfId="0" applyBorder="1"/>
    <xf numFmtId="0" fontId="3" fillId="7" borderId="1" xfId="0" applyFont="1" applyFill="1" applyBorder="1"/>
    <xf numFmtId="0" fontId="0" fillId="7" borderId="1" xfId="0" applyFill="1" applyBorder="1"/>
    <xf numFmtId="0" fontId="3" fillId="9" borderId="1" xfId="0" applyFont="1" applyFill="1" applyBorder="1"/>
    <xf numFmtId="0" fontId="0" fillId="9" borderId="1" xfId="0" applyFill="1" applyBorder="1"/>
    <xf numFmtId="0" fontId="0" fillId="0" borderId="0" xfId="0" applyFill="1" applyAlignment="1">
      <alignment horizontal="center" vertical="center" wrapText="1"/>
    </xf>
    <xf numFmtId="0" fontId="10"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1" fillId="0" borderId="0" xfId="0" applyFont="1" applyFill="1" applyAlignment="1">
      <alignment horizontal="center" vertical="center"/>
    </xf>
    <xf numFmtId="0" fontId="3"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3" fillId="0" borderId="0" xfId="0" applyFont="1" applyFill="1" applyBorder="1" applyAlignment="1">
      <alignment vertical="center"/>
    </xf>
    <xf numFmtId="0" fontId="3" fillId="4" borderId="12" xfId="0" applyFont="1" applyFill="1" applyBorder="1" applyAlignment="1">
      <alignment horizontal="center" vertical="center" wrapText="1"/>
    </xf>
    <xf numFmtId="0" fontId="3" fillId="4" borderId="12" xfId="0" applyFont="1" applyFill="1" applyBorder="1" applyAlignment="1">
      <alignment horizontal="left" vertical="center" wrapText="1"/>
    </xf>
    <xf numFmtId="0" fontId="10" fillId="4" borderId="12" xfId="0" applyFont="1" applyFill="1" applyBorder="1" applyAlignment="1">
      <alignment horizontal="center" vertical="center" wrapText="1"/>
    </xf>
    <xf numFmtId="0" fontId="0" fillId="0" borderId="0" xfId="0" applyBorder="1"/>
    <xf numFmtId="0" fontId="5" fillId="0" borderId="0" xfId="0" applyFont="1" applyBorder="1" applyAlignment="1">
      <alignment horizontal="center" vertical="center"/>
    </xf>
    <xf numFmtId="0" fontId="3"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5" fillId="2" borderId="0" xfId="0" applyFont="1" applyFill="1" applyBorder="1" applyAlignment="1">
      <alignment horizontal="center" vertical="center" wrapText="1"/>
    </xf>
    <xf numFmtId="0" fontId="6" fillId="0" borderId="1" xfId="0" applyFont="1" applyBorder="1" applyAlignment="1">
      <alignment horizontal="center" vertical="center" wrapText="1"/>
    </xf>
    <xf numFmtId="49" fontId="3" fillId="4" borderId="1" xfId="0" applyNumberFormat="1" applyFont="1" applyFill="1" applyBorder="1" applyAlignment="1">
      <alignment horizontal="center" vertical="center"/>
    </xf>
    <xf numFmtId="0" fontId="11" fillId="4" borderId="2" xfId="0" applyFont="1" applyFill="1" applyBorder="1" applyAlignment="1">
      <alignment horizontal="center" vertical="center" wrapText="1"/>
    </xf>
    <xf numFmtId="0" fontId="0" fillId="6" borderId="13" xfId="0" applyFill="1" applyBorder="1"/>
    <xf numFmtId="0" fontId="3"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3" fillId="6" borderId="14" xfId="0" applyFont="1" applyFill="1" applyBorder="1" applyAlignment="1"/>
    <xf numFmtId="0" fontId="3" fillId="6" borderId="15" xfId="0" applyFont="1" applyFill="1" applyBorder="1" applyAlignment="1"/>
    <xf numFmtId="0" fontId="3"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3" fillId="0" borderId="26" xfId="0" applyFont="1" applyBorder="1"/>
    <xf numFmtId="0" fontId="0" fillId="0" borderId="26" xfId="0" applyBorder="1"/>
    <xf numFmtId="0" fontId="3" fillId="6" borderId="13" xfId="0" applyFont="1" applyFill="1" applyBorder="1"/>
    <xf numFmtId="0" fontId="0" fillId="6" borderId="10" xfId="0" applyNumberFormat="1" applyFill="1" applyBorder="1"/>
    <xf numFmtId="0" fontId="3" fillId="4" borderId="0" xfId="0" applyFont="1" applyFill="1" applyAlignment="1">
      <alignment horizontal="center" vertical="center" wrapText="1"/>
    </xf>
    <xf numFmtId="164" fontId="2" fillId="0" borderId="0" xfId="1" applyNumberFormat="1" applyFont="1" applyAlignment="1">
      <alignment horizontal="center" vertical="center"/>
    </xf>
    <xf numFmtId="164" fontId="2" fillId="0" borderId="0" xfId="1" applyNumberFormat="1" applyFont="1"/>
    <xf numFmtId="0" fontId="2" fillId="0" borderId="0" xfId="1" applyNumberFormat="1" applyFont="1" applyAlignment="1">
      <alignment horizontal="center" vertical="center"/>
    </xf>
    <xf numFmtId="49" fontId="2" fillId="0" borderId="0" xfId="1" applyNumberFormat="1" applyFont="1" applyAlignment="1">
      <alignment horizontal="center" vertical="center"/>
    </xf>
    <xf numFmtId="0" fontId="33" fillId="0" borderId="20" xfId="1" applyFont="1" applyBorder="1" applyAlignment="1">
      <alignment horizontal="center" vertical="center" wrapText="1"/>
    </xf>
    <xf numFmtId="0" fontId="2" fillId="0" borderId="11" xfId="1" applyNumberFormat="1" applyFont="1" applyBorder="1" applyAlignment="1">
      <alignment horizontal="center" vertical="center" wrapText="1"/>
    </xf>
    <xf numFmtId="0" fontId="2" fillId="0" borderId="1" xfId="1" applyNumberFormat="1" applyFont="1" applyBorder="1" applyAlignment="1">
      <alignment horizontal="center" vertical="center" wrapText="1"/>
    </xf>
    <xf numFmtId="0" fontId="2" fillId="0" borderId="0" xfId="1" applyFont="1"/>
    <xf numFmtId="1" fontId="2" fillId="0" borderId="0" xfId="1" applyNumberFormat="1" applyFont="1" applyAlignment="1">
      <alignment horizontal="center" vertical="center"/>
    </xf>
    <xf numFmtId="1" fontId="2" fillId="0" borderId="0" xfId="1" applyNumberFormat="1" applyFont="1"/>
    <xf numFmtId="0" fontId="33" fillId="0" borderId="0" xfId="1" applyFont="1"/>
    <xf numFmtId="0" fontId="3" fillId="8" borderId="1" xfId="1" applyFont="1" applyFill="1" applyBorder="1" applyAlignment="1">
      <alignment horizontal="center" vertical="center" wrapText="1"/>
    </xf>
    <xf numFmtId="164" fontId="3" fillId="8" borderId="1" xfId="1" applyNumberFormat="1" applyFont="1" applyFill="1" applyBorder="1" applyAlignment="1">
      <alignment horizontal="center" vertical="center" wrapText="1"/>
    </xf>
    <xf numFmtId="0" fontId="3" fillId="0" borderId="0" xfId="1" applyNumberFormat="1" applyFill="1" applyBorder="1" applyAlignment="1">
      <alignment horizontal="center" vertical="center" wrapText="1"/>
    </xf>
    <xf numFmtId="0" fontId="3" fillId="0" borderId="0" xfId="1" applyFont="1" applyFill="1" applyBorder="1" applyAlignment="1">
      <alignment horizontal="center" vertical="center" wrapText="1"/>
    </xf>
    <xf numFmtId="0" fontId="3" fillId="0" borderId="0" xfId="1" applyNumberFormat="1" applyFont="1" applyFill="1" applyBorder="1" applyAlignment="1">
      <alignment horizontal="center" vertical="center" wrapText="1"/>
    </xf>
    <xf numFmtId="0" fontId="3" fillId="10" borderId="2" xfId="0" applyFont="1" applyFill="1" applyBorder="1" applyAlignment="1">
      <alignment horizontal="center" vertical="center" wrapText="1"/>
    </xf>
    <xf numFmtId="0" fontId="3" fillId="10" borderId="2" xfId="0" applyFont="1" applyFill="1" applyBorder="1" applyAlignment="1">
      <alignment horizontal="left" vertical="center" wrapText="1"/>
    </xf>
    <xf numFmtId="0" fontId="34" fillId="4" borderId="2" xfId="0" applyFont="1" applyFill="1" applyBorder="1" applyAlignment="1">
      <alignment horizontal="center" vertical="center" wrapText="1"/>
    </xf>
    <xf numFmtId="49" fontId="3" fillId="0" borderId="0" xfId="1" applyNumberFormat="1" applyFont="1" applyAlignment="1">
      <alignment horizontal="center" vertical="center" wrapText="1"/>
    </xf>
    <xf numFmtId="0" fontId="3" fillId="0" borderId="0" xfId="1" applyBorder="1" applyAlignment="1">
      <alignment wrapText="1"/>
    </xf>
    <xf numFmtId="0" fontId="3" fillId="0" borderId="0" xfId="1" applyNumberFormat="1" applyFont="1" applyBorder="1" applyAlignment="1">
      <alignment horizontal="center" vertical="center" wrapText="1"/>
    </xf>
    <xf numFmtId="0" fontId="3" fillId="0" borderId="0" xfId="1" applyFill="1" applyBorder="1" applyAlignment="1">
      <alignment wrapText="1"/>
    </xf>
    <xf numFmtId="0" fontId="3"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2"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6" fillId="0" borderId="0" xfId="1" applyFont="1" applyAlignment="1"/>
    <xf numFmtId="0" fontId="3" fillId="0" borderId="0" xfId="1" applyFont="1"/>
    <xf numFmtId="0" fontId="3" fillId="0" borderId="0" xfId="1"/>
    <xf numFmtId="0" fontId="3" fillId="0" borderId="0" xfId="1" applyAlignment="1">
      <alignment horizontal="center"/>
    </xf>
    <xf numFmtId="49" fontId="3" fillId="0" borderId="0" xfId="1" applyNumberFormat="1" applyFont="1"/>
    <xf numFmtId="0" fontId="3" fillId="0" borderId="0" xfId="1" applyFont="1" applyFill="1" applyBorder="1" applyAlignment="1">
      <alignment horizontal="center" vertical="center"/>
    </xf>
    <xf numFmtId="0" fontId="8" fillId="0" borderId="0" xfId="1" applyFont="1"/>
    <xf numFmtId="0" fontId="3" fillId="0" borderId="0" xfId="1" applyAlignment="1">
      <alignment horizontal="center" vertical="center"/>
    </xf>
    <xf numFmtId="0" fontId="5" fillId="5" borderId="1" xfId="0" applyFont="1" applyFill="1" applyBorder="1" applyAlignment="1">
      <alignment horizontal="center" vertical="center"/>
    </xf>
    <xf numFmtId="9" fontId="3" fillId="4" borderId="2" xfId="2" applyFont="1" applyFill="1" applyBorder="1" applyAlignment="1">
      <alignment horizontal="center" vertical="center" wrapText="1"/>
    </xf>
    <xf numFmtId="0" fontId="6"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3"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3"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5" fillId="4" borderId="2"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3" fillId="12" borderId="2" xfId="0" applyFont="1" applyFill="1" applyBorder="1" applyAlignment="1">
      <alignment horizontal="left" vertical="center" wrapText="1"/>
    </xf>
    <xf numFmtId="14" fontId="3" fillId="4" borderId="2" xfId="0" applyNumberFormat="1" applyFont="1" applyFill="1" applyBorder="1" applyAlignment="1">
      <alignment horizontal="center" vertical="center" wrapText="1"/>
    </xf>
    <xf numFmtId="0" fontId="10" fillId="0" borderId="0" xfId="0" applyFont="1" applyFill="1" applyBorder="1"/>
    <xf numFmtId="0" fontId="11" fillId="0" borderId="0" xfId="0" applyFont="1" applyFill="1" applyBorder="1" applyAlignment="1">
      <alignment horizontal="center" vertical="center"/>
    </xf>
    <xf numFmtId="0" fontId="10" fillId="0" borderId="0" xfId="0" applyFont="1" applyFill="1" applyBorder="1" applyAlignment="1">
      <alignment horizontal="center" vertical="center"/>
    </xf>
    <xf numFmtId="165" fontId="10" fillId="0" borderId="0" xfId="0" applyNumberFormat="1" applyFont="1" applyFill="1" applyBorder="1" applyAlignment="1">
      <alignment horizontal="center" vertical="center"/>
    </xf>
    <xf numFmtId="49" fontId="11" fillId="0" borderId="0" xfId="0" applyNumberFormat="1" applyFont="1" applyFill="1" applyBorder="1" applyAlignment="1">
      <alignment horizontal="center" vertical="center" wrapText="1"/>
    </xf>
    <xf numFmtId="165" fontId="11" fillId="0" borderId="0" xfId="0" applyNumberFormat="1" applyFont="1" applyFill="1" applyBorder="1" applyAlignment="1">
      <alignment horizontal="center" vertical="center"/>
    </xf>
    <xf numFmtId="0" fontId="4" fillId="2" borderId="0" xfId="0" applyFont="1" applyFill="1"/>
    <xf numFmtId="0" fontId="6" fillId="7" borderId="1" xfId="0" applyFont="1" applyFill="1" applyBorder="1" applyAlignment="1">
      <alignment horizontal="right" vertical="center"/>
    </xf>
    <xf numFmtId="0" fontId="28" fillId="0" borderId="0" xfId="0" applyFont="1"/>
    <xf numFmtId="0" fontId="4" fillId="0" borderId="0" xfId="0" applyFont="1"/>
    <xf numFmtId="0" fontId="39" fillId="0" borderId="0" xfId="0" applyFont="1" applyBorder="1" applyAlignment="1">
      <alignment horizontal="center" vertical="center"/>
    </xf>
    <xf numFmtId="0" fontId="10" fillId="4" borderId="2" xfId="0" applyFont="1" applyFill="1" applyBorder="1" applyAlignment="1">
      <alignment horizontal="left" vertical="center" wrapText="1"/>
    </xf>
    <xf numFmtId="0" fontId="9"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3"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2" fillId="0" borderId="0" xfId="0" applyFont="1" applyFill="1" applyAlignment="1">
      <alignment horizontal="center" vertical="center" wrapText="1"/>
    </xf>
    <xf numFmtId="0" fontId="4" fillId="0" borderId="0" xfId="0" applyFont="1" applyFill="1" applyAlignment="1">
      <alignment horizontal="center" vertical="center" wrapText="1"/>
    </xf>
    <xf numFmtId="164" fontId="4" fillId="0" borderId="0" xfId="0" applyNumberFormat="1" applyFont="1" applyFill="1" applyAlignment="1">
      <alignment horizontal="center" vertical="center" wrapText="1"/>
    </xf>
    <xf numFmtId="1" fontId="4"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5" fillId="0" borderId="0" xfId="0" applyFont="1" applyFill="1" applyAlignment="1">
      <alignment horizontal="center" vertical="center" wrapText="1"/>
    </xf>
    <xf numFmtId="0" fontId="3" fillId="13" borderId="2" xfId="0" applyFont="1" applyFill="1" applyBorder="1" applyAlignment="1">
      <alignment horizontal="center" vertical="center" wrapText="1"/>
    </xf>
    <xf numFmtId="164" fontId="3" fillId="0" borderId="1" xfId="0" applyNumberFormat="1" applyFont="1" applyFill="1" applyBorder="1" applyAlignment="1">
      <alignment horizontal="center" vertical="center" wrapText="1"/>
    </xf>
    <xf numFmtId="0" fontId="3" fillId="13" borderId="2" xfId="0" applyFont="1" applyFill="1" applyBorder="1" applyAlignment="1">
      <alignment horizontal="left" vertical="center" wrapText="1"/>
    </xf>
    <xf numFmtId="14" fontId="9" fillId="0" borderId="0" xfId="0" applyNumberFormat="1" applyFont="1"/>
    <xf numFmtId="0" fontId="5"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3" fillId="0" borderId="1" xfId="0" applyFont="1" applyBorder="1" applyAlignment="1">
      <alignment horizontal="left"/>
    </xf>
    <xf numFmtId="0" fontId="3" fillId="2" borderId="1" xfId="0" applyFont="1" applyFill="1" applyBorder="1" applyAlignment="1">
      <alignment horizontal="center" vertical="center" wrapText="1"/>
    </xf>
    <xf numFmtId="0" fontId="3"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3" fillId="4" borderId="12" xfId="0" applyNumberFormat="1" applyFont="1" applyFill="1" applyBorder="1" applyAlignment="1">
      <alignment horizontal="center" vertical="center" wrapText="1"/>
    </xf>
    <xf numFmtId="0" fontId="3" fillId="4" borderId="11" xfId="0" applyFont="1" applyFill="1" applyBorder="1" applyAlignment="1">
      <alignment horizontal="center" vertical="center" wrapText="1"/>
    </xf>
    <xf numFmtId="0" fontId="3" fillId="4" borderId="11" xfId="0" applyFont="1" applyFill="1" applyBorder="1" applyAlignment="1">
      <alignment horizontal="left" vertical="center" wrapText="1"/>
    </xf>
    <xf numFmtId="164" fontId="3" fillId="4" borderId="11" xfId="0" applyNumberFormat="1" applyFont="1" applyFill="1" applyBorder="1" applyAlignment="1">
      <alignment horizontal="center" vertical="center" wrapText="1"/>
    </xf>
    <xf numFmtId="0" fontId="3" fillId="4" borderId="1" xfId="0" applyFont="1" applyFill="1" applyBorder="1" applyAlignment="1">
      <alignment horizontal="left" vertical="center"/>
    </xf>
    <xf numFmtId="20" fontId="3"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9"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5" fillId="7" borderId="1" xfId="0" applyFont="1" applyFill="1" applyBorder="1" applyAlignment="1">
      <alignment horizontal="center" vertical="center"/>
    </xf>
    <xf numFmtId="0" fontId="5" fillId="5" borderId="1" xfId="0" applyFont="1" applyFill="1" applyBorder="1" applyAlignment="1">
      <alignment horizontal="center" vertical="center"/>
    </xf>
    <xf numFmtId="0" fontId="5"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10" fillId="12" borderId="2" xfId="0" applyFont="1" applyFill="1" applyBorder="1" applyAlignment="1">
      <alignment horizontal="center" vertical="center" wrapText="1"/>
    </xf>
    <xf numFmtId="0" fontId="11" fillId="4" borderId="1" xfId="0" applyFont="1" applyFill="1" applyBorder="1" applyAlignment="1">
      <alignment horizontal="center" vertical="center" wrapText="1"/>
    </xf>
    <xf numFmtId="0" fontId="3" fillId="6" borderId="1" xfId="1" applyFont="1" applyFill="1" applyBorder="1"/>
    <xf numFmtId="165" fontId="3" fillId="6" borderId="1" xfId="1" applyNumberFormat="1" applyFill="1" applyBorder="1" applyAlignment="1">
      <alignment horizontal="center" vertical="center"/>
    </xf>
    <xf numFmtId="0" fontId="3" fillId="6" borderId="1" xfId="1" applyFill="1" applyBorder="1" applyAlignment="1">
      <alignment horizontal="center" vertical="center"/>
    </xf>
    <xf numFmtId="0" fontId="3" fillId="7" borderId="1" xfId="1" applyFont="1" applyFill="1" applyBorder="1" applyAlignment="1">
      <alignment horizontal="center" vertical="center" wrapText="1"/>
    </xf>
    <xf numFmtId="165" fontId="3" fillId="7" borderId="1" xfId="1" applyNumberFormat="1" applyFill="1" applyBorder="1" applyAlignment="1">
      <alignment horizontal="center" vertical="center"/>
    </xf>
    <xf numFmtId="0" fontId="3" fillId="7" borderId="1" xfId="1" applyFill="1" applyBorder="1" applyAlignment="1">
      <alignment horizontal="center" vertical="center"/>
    </xf>
    <xf numFmtId="0" fontId="3" fillId="0" borderId="1" xfId="1" applyFont="1" applyBorder="1" applyAlignment="1">
      <alignment horizontal="left" vertical="center" wrapText="1"/>
    </xf>
    <xf numFmtId="165" fontId="3" fillId="0" borderId="1" xfId="1" applyNumberFormat="1" applyBorder="1" applyAlignment="1">
      <alignment horizontal="center" vertical="center"/>
    </xf>
    <xf numFmtId="0" fontId="3" fillId="0" borderId="1" xfId="1" applyBorder="1" applyAlignment="1">
      <alignment horizontal="center" vertical="center"/>
    </xf>
    <xf numFmtId="0" fontId="3" fillId="0" borderId="1" xfId="1" applyFont="1" applyBorder="1" applyAlignment="1">
      <alignment horizontal="center" vertical="center" wrapText="1"/>
    </xf>
    <xf numFmtId="0" fontId="3" fillId="0" borderId="1" xfId="1" applyFont="1" applyBorder="1" applyAlignment="1">
      <alignment horizontal="left" vertical="center"/>
    </xf>
    <xf numFmtId="0" fontId="3" fillId="0" borderId="1" xfId="1" applyFont="1" applyBorder="1" applyAlignment="1">
      <alignment horizontal="center" vertical="center"/>
    </xf>
    <xf numFmtId="0" fontId="3" fillId="0" borderId="1" xfId="1" applyBorder="1" applyAlignment="1">
      <alignment horizontal="left" vertical="center" wrapText="1"/>
    </xf>
    <xf numFmtId="0" fontId="3" fillId="6" borderId="6" xfId="1" applyFont="1" applyFill="1" applyBorder="1" applyAlignment="1">
      <alignment horizontal="center" vertical="center"/>
    </xf>
    <xf numFmtId="0" fontId="3" fillId="6" borderId="1" xfId="1" applyFont="1" applyFill="1" applyBorder="1" applyAlignment="1">
      <alignment horizontal="center" vertical="center"/>
    </xf>
    <xf numFmtId="0" fontId="9" fillId="0" borderId="0" xfId="1" applyFont="1"/>
    <xf numFmtId="0" fontId="9" fillId="0" borderId="5" xfId="1" applyFont="1" applyBorder="1"/>
    <xf numFmtId="49" fontId="3" fillId="0" borderId="0" xfId="1" applyNumberFormat="1" applyFont="1" applyBorder="1"/>
    <xf numFmtId="0" fontId="36" fillId="0" borderId="0" xfId="1" applyFont="1" applyBorder="1" applyAlignment="1">
      <alignment horizontal="center" vertical="center"/>
    </xf>
    <xf numFmtId="0" fontId="3" fillId="0" borderId="0" xfId="1" applyBorder="1"/>
    <xf numFmtId="0" fontId="3" fillId="0" borderId="0" xfId="1" applyNumberFormat="1"/>
    <xf numFmtId="0" fontId="3" fillId="0" borderId="0" xfId="1" applyNumberFormat="1" applyBorder="1"/>
    <xf numFmtId="0" fontId="3" fillId="0" borderId="1" xfId="1" applyFont="1" applyFill="1" applyBorder="1" applyAlignment="1">
      <alignment horizontal="center" vertical="center" wrapText="1"/>
    </xf>
    <xf numFmtId="14" fontId="3" fillId="0" borderId="20" xfId="0" applyNumberFormat="1" applyFont="1" applyBorder="1"/>
    <xf numFmtId="14" fontId="3" fillId="0" borderId="11" xfId="0" applyNumberFormat="1" applyFont="1" applyBorder="1"/>
    <xf numFmtId="164" fontId="3" fillId="12" borderId="2" xfId="0" applyNumberFormat="1" applyFont="1" applyFill="1" applyBorder="1" applyAlignment="1">
      <alignment horizontal="center" vertical="center" wrapText="1"/>
    </xf>
    <xf numFmtId="0" fontId="2" fillId="0" borderId="0" xfId="0" applyFont="1" applyAlignment="1">
      <alignment horizontal="center" vertical="center" wrapText="1"/>
    </xf>
    <xf numFmtId="0" fontId="11" fillId="0" borderId="2" xfId="0" applyFont="1" applyFill="1" applyBorder="1" applyAlignment="1">
      <alignment horizontal="center" vertical="center" wrapText="1"/>
    </xf>
    <xf numFmtId="14" fontId="3" fillId="4" borderId="1" xfId="0" applyNumberFormat="1" applyFont="1" applyFill="1" applyBorder="1" applyAlignment="1">
      <alignment horizontal="center" vertical="center" wrapText="1"/>
    </xf>
    <xf numFmtId="164" fontId="3" fillId="10" borderId="2" xfId="0" applyNumberFormat="1" applyFont="1" applyFill="1" applyBorder="1" applyAlignment="1">
      <alignment horizontal="center" vertical="center" wrapText="1"/>
    </xf>
    <xf numFmtId="1" fontId="10" fillId="4" borderId="1" xfId="0" applyNumberFormat="1" applyFont="1" applyFill="1" applyBorder="1" applyAlignment="1">
      <alignment horizontal="center" vertical="center" wrapText="1"/>
    </xf>
    <xf numFmtId="0" fontId="11" fillId="4" borderId="1" xfId="0" applyFont="1" applyFill="1" applyBorder="1" applyAlignment="1">
      <alignment horizontal="center" vertical="center"/>
    </xf>
    <xf numFmtId="20" fontId="10" fillId="4" borderId="2" xfId="0" applyNumberFormat="1" applyFont="1" applyFill="1" applyBorder="1" applyAlignment="1">
      <alignment horizontal="center" vertical="center" wrapText="1"/>
    </xf>
    <xf numFmtId="0" fontId="11" fillId="4" borderId="2" xfId="0" applyFont="1" applyFill="1" applyBorder="1" applyAlignment="1">
      <alignment horizontal="left" vertical="center" wrapText="1"/>
    </xf>
    <xf numFmtId="0" fontId="11" fillId="4" borderId="12" xfId="0" applyFont="1" applyFill="1" applyBorder="1" applyAlignment="1">
      <alignment horizontal="center" vertical="center" wrapText="1"/>
    </xf>
    <xf numFmtId="0" fontId="42" fillId="4" borderId="2" xfId="0" applyFont="1" applyFill="1" applyBorder="1" applyAlignment="1">
      <alignment horizontal="center" vertical="center" wrapText="1"/>
    </xf>
    <xf numFmtId="0" fontId="5" fillId="5" borderId="1" xfId="0" applyFont="1" applyFill="1" applyBorder="1" applyAlignment="1">
      <alignment horizontal="center" vertical="center"/>
    </xf>
    <xf numFmtId="0" fontId="0" fillId="2" borderId="0" xfId="0" applyFill="1"/>
    <xf numFmtId="0" fontId="5" fillId="2" borderId="0" xfId="0" applyFont="1" applyFill="1" applyBorder="1" applyAlignment="1">
      <alignment horizontal="center" vertical="center"/>
    </xf>
    <xf numFmtId="0" fontId="6" fillId="2" borderId="0" xfId="0" applyFont="1" applyFill="1" applyBorder="1" applyAlignment="1">
      <alignment horizontal="center" vertical="center"/>
    </xf>
    <xf numFmtId="0" fontId="0" fillId="2" borderId="0" xfId="0" applyFill="1" applyBorder="1"/>
    <xf numFmtId="0" fontId="5" fillId="0" borderId="1" xfId="0" applyFont="1" applyFill="1" applyBorder="1" applyAlignment="1">
      <alignment horizontal="center" vertical="center"/>
    </xf>
    <xf numFmtId="0" fontId="5" fillId="0" borderId="2" xfId="0" applyFont="1" applyFill="1" applyBorder="1" applyAlignment="1">
      <alignment horizontal="center" vertical="center"/>
    </xf>
    <xf numFmtId="0" fontId="5" fillId="0" borderId="2" xfId="0" applyFont="1" applyBorder="1" applyAlignment="1">
      <alignment horizontal="center" vertical="center"/>
    </xf>
    <xf numFmtId="0" fontId="25" fillId="4" borderId="2" xfId="0" applyFont="1" applyFill="1" applyBorder="1" applyAlignment="1">
      <alignment horizontal="center" vertical="center" wrapText="1"/>
    </xf>
    <xf numFmtId="0" fontId="3" fillId="6" borderId="7" xfId="0" applyFont="1" applyFill="1" applyBorder="1" applyAlignment="1">
      <alignment horizontal="center" vertical="center"/>
    </xf>
    <xf numFmtId="0" fontId="3" fillId="6" borderId="8" xfId="0" applyFont="1" applyFill="1" applyBorder="1" applyAlignment="1">
      <alignment horizontal="center" vertical="center"/>
    </xf>
    <xf numFmtId="0" fontId="0" fillId="0" borderId="1" xfId="0"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14" fontId="3" fillId="0" borderId="23" xfId="0" applyNumberFormat="1" applyFont="1" applyBorder="1"/>
    <xf numFmtId="0" fontId="3" fillId="2" borderId="2" xfId="0" applyFont="1" applyFill="1" applyBorder="1" applyAlignment="1">
      <alignment horizontal="center" vertical="center" wrapText="1"/>
    </xf>
    <xf numFmtId="0" fontId="3" fillId="2" borderId="2" xfId="0" applyFont="1" applyFill="1" applyBorder="1" applyAlignment="1">
      <alignment horizontal="left" vertical="center" wrapText="1"/>
    </xf>
    <xf numFmtId="164" fontId="3"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3"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4"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3" fillId="4" borderId="2" xfId="0" applyNumberFormat="1" applyFont="1" applyFill="1" applyBorder="1" applyAlignment="1">
      <alignment horizontal="center" vertical="center"/>
    </xf>
    <xf numFmtId="49" fontId="3" fillId="0" borderId="2" xfId="0" applyNumberFormat="1" applyFont="1" applyFill="1" applyBorder="1" applyAlignment="1">
      <alignment horizontal="center" vertical="center" wrapText="1"/>
    </xf>
    <xf numFmtId="0" fontId="34" fillId="4" borderId="1" xfId="0" applyFont="1" applyFill="1" applyBorder="1" applyAlignment="1">
      <alignment wrapText="1"/>
    </xf>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3"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49" fontId="3" fillId="4" borderId="2" xfId="0" applyNumberFormat="1" applyFont="1" applyFill="1" applyBorder="1" applyAlignment="1">
      <alignment horizontal="center" vertical="center" wrapText="1"/>
    </xf>
    <xf numFmtId="49" fontId="3" fillId="0" borderId="2" xfId="0" applyNumberFormat="1" applyFont="1" applyBorder="1" applyAlignment="1">
      <alignment horizontal="center" vertical="center" wrapText="1"/>
    </xf>
    <xf numFmtId="49" fontId="3" fillId="0" borderId="2" xfId="0" applyNumberFormat="1" applyFont="1" applyFill="1" applyBorder="1" applyAlignment="1">
      <alignment horizontal="left" vertical="center"/>
    </xf>
    <xf numFmtId="0" fontId="10" fillId="0" borderId="1" xfId="0" applyFont="1" applyFill="1" applyBorder="1" applyAlignment="1">
      <alignment horizontal="center" vertical="center" wrapText="1"/>
    </xf>
    <xf numFmtId="49" fontId="3" fillId="2" borderId="0" xfId="0" applyNumberFormat="1" applyFont="1" applyFill="1" applyBorder="1" applyAlignment="1">
      <alignment horizontal="center" vertical="center" wrapText="1"/>
    </xf>
    <xf numFmtId="0" fontId="5" fillId="2" borderId="0" xfId="0" applyFont="1" applyFill="1" applyBorder="1" applyAlignment="1">
      <alignment horizontal="center" vertical="center" wrapText="1"/>
    </xf>
    <xf numFmtId="0" fontId="11" fillId="2" borderId="0" xfId="0" applyFont="1" applyFill="1" applyBorder="1" applyAlignment="1">
      <alignment horizontal="center" vertical="center" wrapText="1"/>
    </xf>
    <xf numFmtId="164" fontId="3" fillId="2" borderId="1" xfId="0" applyNumberFormat="1" applyFont="1" applyFill="1" applyBorder="1" applyAlignment="1">
      <alignment horizontal="center" vertical="center" wrapText="1"/>
    </xf>
    <xf numFmtId="0" fontId="0" fillId="0" borderId="2" xfId="0" applyFill="1" applyBorder="1" applyAlignment="1">
      <alignment horizontal="left" vertical="center" wrapText="1"/>
    </xf>
    <xf numFmtId="0" fontId="10"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0" fontId="3" fillId="4" borderId="2" xfId="0" applyNumberFormat="1" applyFont="1" applyFill="1" applyBorder="1" applyAlignment="1">
      <alignment horizontal="left" vertical="center" wrapText="1"/>
    </xf>
    <xf numFmtId="164" fontId="0" fillId="12" borderId="2" xfId="0" applyNumberFormat="1" applyFill="1" applyBorder="1" applyAlignment="1">
      <alignment horizontal="center" vertical="center" wrapText="1"/>
    </xf>
    <xf numFmtId="49" fontId="32" fillId="0" borderId="1" xfId="0" applyNumberFormat="1" applyFont="1" applyBorder="1" applyAlignment="1">
      <alignment horizontal="center" vertical="center"/>
    </xf>
    <xf numFmtId="0" fontId="5" fillId="0" borderId="2"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0" fillId="4" borderId="2" xfId="0" applyFill="1" applyBorder="1" applyAlignment="1">
      <alignment horizontal="left" vertical="center" wrapText="1"/>
    </xf>
    <xf numFmtId="49" fontId="3" fillId="4" borderId="2" xfId="0" applyNumberFormat="1" applyFont="1" applyFill="1" applyBorder="1" applyAlignment="1">
      <alignment horizontal="left" vertical="center"/>
    </xf>
    <xf numFmtId="14" fontId="3" fillId="0" borderId="21" xfId="0" applyNumberFormat="1" applyFont="1" applyBorder="1"/>
    <xf numFmtId="0" fontId="3" fillId="6" borderId="23" xfId="0" applyFont="1" applyFill="1" applyBorder="1" applyAlignment="1">
      <alignment horizontal="center" vertical="center"/>
    </xf>
    <xf numFmtId="0" fontId="3" fillId="6" borderId="9" xfId="0" applyFont="1" applyFill="1" applyBorder="1" applyAlignment="1">
      <alignment horizontal="center" vertical="center"/>
    </xf>
    <xf numFmtId="0" fontId="3" fillId="0" borderId="23" xfId="0" applyFont="1" applyBorder="1"/>
    <xf numFmtId="0" fontId="3" fillId="0" borderId="23" xfId="0" applyFont="1" applyBorder="1" applyAlignment="1">
      <alignment horizontal="center" vertical="center"/>
    </xf>
    <xf numFmtId="0" fontId="0" fillId="0" borderId="9" xfId="0" applyBorder="1" applyAlignment="1">
      <alignment horizontal="center" vertical="center"/>
    </xf>
    <xf numFmtId="0" fontId="3" fillId="15" borderId="17" xfId="1" applyFont="1" applyFill="1" applyBorder="1" applyAlignment="1">
      <alignment horizontal="center" vertical="center" wrapText="1"/>
    </xf>
    <xf numFmtId="0" fontId="3" fillId="15" borderId="10" xfId="1" applyFill="1" applyBorder="1" applyAlignment="1">
      <alignment horizontal="center" vertical="center"/>
    </xf>
    <xf numFmtId="0" fontId="3" fillId="4" borderId="0" xfId="0" applyFont="1" applyFill="1" applyBorder="1" applyAlignment="1">
      <alignment horizontal="center" vertical="center" wrapText="1"/>
    </xf>
    <xf numFmtId="0" fontId="34" fillId="4" borderId="0" xfId="0" applyFont="1" applyFill="1" applyBorder="1" applyAlignment="1">
      <alignment horizontal="left" vertical="center" wrapText="1"/>
    </xf>
    <xf numFmtId="0" fontId="10" fillId="4"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0" fontId="5" fillId="5" borderId="1" xfId="0" applyFont="1" applyFill="1" applyBorder="1" applyAlignment="1">
      <alignment horizontal="center" vertical="center" wrapText="1"/>
    </xf>
    <xf numFmtId="49" fontId="3" fillId="0" borderId="1" xfId="0" applyNumberFormat="1" applyFont="1" applyFill="1" applyBorder="1" applyAlignment="1">
      <alignment horizontal="left" vertical="center" wrapText="1"/>
    </xf>
    <xf numFmtId="49" fontId="3" fillId="4" borderId="1" xfId="0" applyNumberFormat="1" applyFont="1" applyFill="1" applyBorder="1" applyAlignment="1">
      <alignment horizontal="center" vertical="center" wrapText="1"/>
    </xf>
    <xf numFmtId="0" fontId="2" fillId="2" borderId="0" xfId="0" applyFont="1" applyFill="1" applyAlignment="1">
      <alignment horizontal="center" vertical="center" wrapText="1"/>
    </xf>
    <xf numFmtId="49" fontId="3" fillId="4" borderId="1" xfId="0" applyNumberFormat="1" applyFont="1" applyFill="1" applyBorder="1" applyAlignment="1">
      <alignment horizontal="left" vertical="center" wrapText="1"/>
    </xf>
    <xf numFmtId="0" fontId="0" fillId="4" borderId="0" xfId="0" applyFill="1" applyBorder="1" applyAlignment="1">
      <alignment horizontal="center" vertical="center" wrapText="1"/>
    </xf>
    <xf numFmtId="0" fontId="0" fillId="14" borderId="2" xfId="0" applyFill="1" applyBorder="1" applyAlignment="1">
      <alignment horizontal="center" vertical="center" wrapText="1"/>
    </xf>
    <xf numFmtId="164" fontId="0" fillId="4" borderId="1" xfId="0" applyNumberFormat="1" applyFill="1" applyBorder="1" applyAlignment="1">
      <alignment horizontal="center" vertical="center" wrapText="1"/>
    </xf>
    <xf numFmtId="20" fontId="0" fillId="4" borderId="1" xfId="0" applyNumberFormat="1" applyFill="1" applyBorder="1" applyAlignment="1">
      <alignment horizontal="center" vertical="center" wrapText="1"/>
    </xf>
    <xf numFmtId="0" fontId="5" fillId="10" borderId="2" xfId="0" applyFont="1" applyFill="1" applyBorder="1" applyAlignment="1">
      <alignment horizontal="center" vertical="center" wrapText="1"/>
    </xf>
    <xf numFmtId="0" fontId="0" fillId="0" borderId="31" xfId="0" applyBorder="1" applyAlignment="1">
      <alignment horizontal="center" vertical="center" wrapText="1"/>
    </xf>
    <xf numFmtId="0" fontId="3" fillId="0" borderId="12"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5" fillId="4" borderId="2" xfId="0" applyNumberFormat="1" applyFont="1" applyFill="1" applyBorder="1" applyAlignment="1">
      <alignment horizontal="left" vertical="center" wrapText="1"/>
    </xf>
    <xf numFmtId="14" fontId="0" fillId="4" borderId="2" xfId="0" applyNumberFormat="1" applyFill="1" applyBorder="1" applyAlignment="1">
      <alignment horizontal="center" vertical="center" wrapText="1"/>
    </xf>
    <xf numFmtId="0" fontId="0" fillId="4" borderId="12" xfId="0" applyFill="1" applyBorder="1" applyAlignment="1">
      <alignment horizontal="center" vertical="center" wrapText="1"/>
    </xf>
    <xf numFmtId="164" fontId="0" fillId="4" borderId="12" xfId="0" applyNumberFormat="1" applyFill="1" applyBorder="1" applyAlignment="1">
      <alignment horizontal="center" vertical="center" wrapText="1"/>
    </xf>
    <xf numFmtId="20" fontId="0" fillId="4" borderId="12" xfId="0" applyNumberFormat="1" applyFill="1" applyBorder="1" applyAlignment="1">
      <alignment horizontal="center" vertical="center" wrapText="1"/>
    </xf>
    <xf numFmtId="0" fontId="28" fillId="4" borderId="2" xfId="0" applyFont="1" applyFill="1" applyBorder="1" applyAlignment="1">
      <alignment horizontal="center" vertical="center" wrapText="1"/>
    </xf>
    <xf numFmtId="49" fontId="3" fillId="4" borderId="1" xfId="0" applyNumberFormat="1" applyFont="1" applyFill="1" applyBorder="1" applyAlignment="1">
      <alignment horizontal="left" vertical="center"/>
    </xf>
    <xf numFmtId="49" fontId="0" fillId="4" borderId="2" xfId="0" applyNumberFormat="1" applyFill="1" applyBorder="1" applyAlignment="1">
      <alignment horizontal="left" vertical="center" wrapText="1"/>
    </xf>
    <xf numFmtId="0" fontId="34" fillId="4" borderId="0" xfId="0" applyFont="1" applyFill="1" applyAlignment="1">
      <alignment horizontal="center" vertical="center" wrapText="1"/>
    </xf>
    <xf numFmtId="0" fontId="34" fillId="4" borderId="1" xfId="0" applyFont="1" applyFill="1" applyBorder="1" applyAlignment="1">
      <alignment horizontal="center" vertical="center" wrapText="1"/>
    </xf>
    <xf numFmtId="0" fontId="0" fillId="4" borderId="0" xfId="0" applyFill="1" applyAlignment="1">
      <alignment horizontal="center" vertical="center" wrapText="1"/>
    </xf>
    <xf numFmtId="0" fontId="28" fillId="0" borderId="2" xfId="0" applyFont="1" applyFill="1" applyBorder="1" applyAlignment="1">
      <alignment horizontal="center" vertical="center" wrapText="1"/>
    </xf>
    <xf numFmtId="0" fontId="3" fillId="4" borderId="31" xfId="0" applyFont="1" applyFill="1" applyBorder="1" applyAlignment="1">
      <alignment horizontal="center" vertical="center" wrapText="1"/>
    </xf>
    <xf numFmtId="49" fontId="3" fillId="4" borderId="0" xfId="0" applyNumberFormat="1" applyFont="1" applyFill="1" applyBorder="1" applyAlignment="1">
      <alignment horizontal="left" vertical="center"/>
    </xf>
    <xf numFmtId="49" fontId="3" fillId="4" borderId="0" xfId="0" applyNumberFormat="1" applyFont="1" applyFill="1" applyBorder="1" applyAlignment="1">
      <alignment horizontal="left" vertical="center" wrapText="1"/>
    </xf>
    <xf numFmtId="0" fontId="3" fillId="4" borderId="0" xfId="0" applyFont="1" applyFill="1" applyBorder="1" applyAlignment="1">
      <alignment wrapText="1"/>
    </xf>
    <xf numFmtId="49" fontId="3" fillId="4" borderId="0" xfId="0" applyNumberFormat="1" applyFont="1" applyFill="1" applyBorder="1" applyAlignment="1">
      <alignment horizontal="center" vertical="center" wrapText="1"/>
    </xf>
    <xf numFmtId="14" fontId="0" fillId="12" borderId="2" xfId="0" applyNumberFormat="1" applyFill="1" applyBorder="1" applyAlignment="1">
      <alignment horizontal="center" vertical="center" wrapText="1"/>
    </xf>
    <xf numFmtId="0" fontId="0" fillId="10" borderId="2" xfId="0" applyFill="1" applyBorder="1" applyAlignment="1">
      <alignment horizontal="left" vertical="center" wrapText="1"/>
    </xf>
    <xf numFmtId="166" fontId="0" fillId="10" borderId="2" xfId="0" applyNumberFormat="1" applyFill="1" applyBorder="1" applyAlignment="1">
      <alignment horizontal="center" vertical="center" wrapText="1"/>
    </xf>
    <xf numFmtId="0" fontId="0" fillId="12" borderId="2" xfId="0" applyFill="1" applyBorder="1" applyAlignment="1">
      <alignment horizontal="left" vertical="center" wrapText="1"/>
    </xf>
    <xf numFmtId="0" fontId="0" fillId="0" borderId="5" xfId="0" applyBorder="1" applyAlignment="1">
      <alignment horizontal="center" vertical="center" wrapText="1"/>
    </xf>
    <xf numFmtId="0" fontId="3" fillId="10" borderId="34" xfId="0" applyFont="1" applyFill="1" applyBorder="1" applyAlignment="1">
      <alignment horizontal="center" vertical="center" wrapText="1"/>
    </xf>
    <xf numFmtId="0" fontId="0" fillId="2" borderId="2" xfId="0" applyFill="1" applyBorder="1" applyAlignment="1">
      <alignment horizontal="center" vertical="center" wrapText="1"/>
    </xf>
    <xf numFmtId="164" fontId="0" fillId="2" borderId="2" xfId="0" applyNumberFormat="1" applyFill="1" applyBorder="1" applyAlignment="1">
      <alignment horizontal="center" vertical="center" wrapText="1"/>
    </xf>
    <xf numFmtId="0" fontId="11" fillId="2" borderId="2" xfId="0" applyFont="1" applyFill="1" applyBorder="1" applyAlignment="1">
      <alignment horizontal="center" vertical="center" wrapText="1"/>
    </xf>
    <xf numFmtId="49" fontId="3" fillId="2" borderId="2" xfId="0" applyNumberFormat="1" applyFont="1" applyFill="1" applyBorder="1" applyAlignment="1">
      <alignment horizontal="left" vertical="center" wrapText="1"/>
    </xf>
    <xf numFmtId="0" fontId="5" fillId="2" borderId="2" xfId="0" applyFont="1" applyFill="1" applyBorder="1" applyAlignment="1">
      <alignment horizontal="center" vertical="center" wrapText="1"/>
    </xf>
    <xf numFmtId="49" fontId="3" fillId="12" borderId="2" xfId="0" applyNumberFormat="1" applyFont="1" applyFill="1" applyBorder="1" applyAlignment="1">
      <alignment horizontal="left" vertical="center" wrapText="1"/>
    </xf>
    <xf numFmtId="49" fontId="0" fillId="4" borderId="2" xfId="0" applyNumberFormat="1" applyFill="1" applyBorder="1" applyAlignment="1">
      <alignment horizontal="center" vertical="center"/>
    </xf>
    <xf numFmtId="0" fontId="39" fillId="4" borderId="2" xfId="0" applyFont="1" applyFill="1" applyBorder="1" applyAlignment="1">
      <alignment horizontal="center" vertical="center" wrapText="1"/>
    </xf>
    <xf numFmtId="0" fontId="0" fillId="4" borderId="2" xfId="0" applyNumberFormat="1" applyFill="1" applyBorder="1" applyAlignment="1">
      <alignment horizontal="left" vertical="center" wrapText="1"/>
    </xf>
    <xf numFmtId="0" fontId="10" fillId="10" borderId="2" xfId="0" applyFont="1" applyFill="1" applyBorder="1" applyAlignment="1">
      <alignment horizontal="center" vertical="center" wrapText="1"/>
    </xf>
    <xf numFmtId="164" fontId="28" fillId="4" borderId="2" xfId="0" applyNumberFormat="1" applyFont="1" applyFill="1" applyBorder="1" applyAlignment="1">
      <alignment horizontal="center" vertical="center" wrapText="1"/>
    </xf>
    <xf numFmtId="20" fontId="28" fillId="4" borderId="2" xfId="0" applyNumberFormat="1" applyFont="1" applyFill="1" applyBorder="1" applyAlignment="1">
      <alignment horizontal="center" vertical="center" wrapText="1"/>
    </xf>
    <xf numFmtId="0" fontId="28" fillId="4" borderId="2" xfId="0" applyFont="1" applyFill="1" applyBorder="1" applyAlignment="1">
      <alignment horizontal="left" vertical="center" wrapText="1"/>
    </xf>
    <xf numFmtId="0" fontId="2" fillId="0" borderId="0" xfId="0" applyFont="1" applyAlignment="1">
      <alignment horizontal="center" vertical="center"/>
    </xf>
    <xf numFmtId="49" fontId="3" fillId="4" borderId="11" xfId="0" applyNumberFormat="1" applyFont="1" applyFill="1" applyBorder="1" applyAlignment="1">
      <alignment horizontal="left" vertical="center" wrapText="1"/>
    </xf>
    <xf numFmtId="0" fontId="0" fillId="4" borderId="1" xfId="0" applyFill="1" applyBorder="1" applyAlignment="1">
      <alignment horizontal="left" vertical="center" wrapText="1"/>
    </xf>
    <xf numFmtId="0" fontId="3" fillId="14" borderId="12" xfId="0" applyFont="1" applyFill="1" applyBorder="1" applyAlignment="1">
      <alignment horizontal="center" vertical="center" wrapText="1"/>
    </xf>
    <xf numFmtId="49" fontId="0" fillId="4" borderId="0" xfId="0" applyNumberFormat="1" applyFill="1" applyAlignment="1">
      <alignment horizontal="left" vertical="center"/>
    </xf>
    <xf numFmtId="0" fontId="36" fillId="0" borderId="1" xfId="0" applyFont="1" applyFill="1" applyBorder="1" applyAlignment="1">
      <alignment horizontal="center" vertical="center" wrapText="1"/>
    </xf>
    <xf numFmtId="14" fontId="0" fillId="0" borderId="2" xfId="0" applyNumberFormat="1" applyFill="1" applyBorder="1" applyAlignment="1">
      <alignment horizontal="center" vertical="center" wrapText="1"/>
    </xf>
    <xf numFmtId="14" fontId="3" fillId="0" borderId="2" xfId="0" applyNumberFormat="1" applyFont="1" applyFill="1" applyBorder="1" applyAlignment="1">
      <alignment horizontal="center" vertical="center" wrapText="1"/>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14" fontId="0" fillId="4" borderId="2" xfId="0" applyNumberFormat="1" applyFill="1" applyBorder="1" applyAlignment="1">
      <alignment horizontal="center" vertical="center"/>
    </xf>
    <xf numFmtId="0" fontId="9" fillId="0" borderId="1" xfId="1" applyFont="1" applyBorder="1" applyAlignment="1">
      <alignment horizontal="left"/>
    </xf>
    <xf numFmtId="0" fontId="9" fillId="0" borderId="1" xfId="1" applyFont="1" applyBorder="1" applyAlignment="1">
      <alignment horizontal="center"/>
    </xf>
    <xf numFmtId="0" fontId="3" fillId="13" borderId="1" xfId="0" applyFont="1" applyFill="1" applyBorder="1" applyAlignment="1">
      <alignment horizontal="center" vertical="center" wrapText="1"/>
    </xf>
    <xf numFmtId="164" fontId="0" fillId="13" borderId="1" xfId="0" applyNumberFormat="1" applyFill="1" applyBorder="1" applyAlignment="1">
      <alignment horizontal="center" vertical="center" wrapText="1"/>
    </xf>
    <xf numFmtId="0" fontId="3" fillId="13" borderId="1" xfId="0" applyFont="1" applyFill="1" applyBorder="1" applyAlignment="1">
      <alignment horizontal="left" vertical="center" wrapText="1"/>
    </xf>
    <xf numFmtId="0" fontId="0" fillId="13" borderId="1" xfId="0" applyFill="1" applyBorder="1" applyAlignment="1">
      <alignment horizontal="center" vertical="center" wrapText="1"/>
    </xf>
    <xf numFmtId="0" fontId="3" fillId="15" borderId="2" xfId="0" applyFont="1" applyFill="1" applyBorder="1" applyAlignment="1">
      <alignment horizontal="center" vertical="center" wrapText="1"/>
    </xf>
    <xf numFmtId="0" fontId="3" fillId="15" borderId="2" xfId="0" applyFont="1" applyFill="1" applyBorder="1" applyAlignment="1">
      <alignment horizontal="left" vertical="center" wrapText="1"/>
    </xf>
    <xf numFmtId="0" fontId="0" fillId="15" borderId="2" xfId="0" applyFill="1" applyBorder="1" applyAlignment="1">
      <alignment horizontal="center" vertical="center" wrapText="1"/>
    </xf>
    <xf numFmtId="164" fontId="0" fillId="15" borderId="2" xfId="0" applyNumberFormat="1" applyFill="1" applyBorder="1" applyAlignment="1">
      <alignment horizontal="center" vertical="center" wrapText="1"/>
    </xf>
    <xf numFmtId="164" fontId="3" fillId="15" borderId="2" xfId="0" applyNumberFormat="1" applyFont="1" applyFill="1" applyBorder="1" applyAlignment="1">
      <alignment horizontal="center" vertical="center" wrapText="1"/>
    </xf>
    <xf numFmtId="0" fontId="3" fillId="15" borderId="1" xfId="0" applyFont="1" applyFill="1" applyBorder="1" applyAlignment="1">
      <alignment horizontal="center" vertical="center" wrapText="1"/>
    </xf>
    <xf numFmtId="0" fontId="3" fillId="15" borderId="1" xfId="0" applyFont="1" applyFill="1" applyBorder="1" applyAlignment="1">
      <alignment horizontal="left" vertical="center" wrapText="1"/>
    </xf>
    <xf numFmtId="0" fontId="0" fillId="15" borderId="1" xfId="0" applyFill="1" applyBorder="1" applyAlignment="1">
      <alignment horizontal="center" vertical="center" wrapText="1"/>
    </xf>
    <xf numFmtId="164" fontId="0" fillId="15" borderId="1" xfId="0" applyNumberFormat="1" applyFill="1" applyBorder="1" applyAlignment="1">
      <alignment horizontal="center" vertical="center" wrapText="1"/>
    </xf>
    <xf numFmtId="164" fontId="3" fillId="15" borderId="1" xfId="0" applyNumberFormat="1" applyFont="1" applyFill="1" applyBorder="1" applyAlignment="1">
      <alignment horizontal="center" vertical="center" wrapText="1"/>
    </xf>
    <xf numFmtId="0" fontId="9" fillId="0" borderId="0" xfId="1" applyFont="1" applyAlignment="1">
      <alignment horizontal="left"/>
    </xf>
    <xf numFmtId="0" fontId="3" fillId="0" borderId="23" xfId="0" applyFont="1" applyBorder="1" applyAlignment="1">
      <alignment horizontal="center"/>
    </xf>
    <xf numFmtId="0" fontId="3" fillId="0" borderId="36" xfId="0" applyFont="1" applyBorder="1" applyAlignment="1"/>
    <xf numFmtId="0" fontId="0" fillId="0" borderId="23" xfId="0" applyBorder="1" applyAlignment="1">
      <alignment horizontal="center"/>
    </xf>
    <xf numFmtId="0" fontId="0" fillId="0" borderId="17" xfId="0" applyBorder="1" applyAlignment="1">
      <alignment horizontal="center"/>
    </xf>
    <xf numFmtId="0" fontId="3" fillId="0" borderId="9" xfId="0" applyFont="1" applyBorder="1" applyAlignment="1">
      <alignment horizontal="center"/>
    </xf>
    <xf numFmtId="0" fontId="3" fillId="0" borderId="10" xfId="0" applyFont="1" applyBorder="1" applyAlignment="1">
      <alignment horizontal="center"/>
    </xf>
    <xf numFmtId="0" fontId="41" fillId="0" borderId="0" xfId="1" applyFont="1"/>
    <xf numFmtId="49" fontId="58" fillId="0" borderId="0" xfId="1" applyNumberFormat="1" applyFont="1"/>
    <xf numFmtId="0" fontId="30" fillId="6" borderId="23" xfId="0" applyFont="1" applyFill="1" applyBorder="1" applyAlignment="1">
      <alignment horizontal="center" vertical="center"/>
    </xf>
    <xf numFmtId="0" fontId="30" fillId="6" borderId="9" xfId="0" applyFont="1" applyFill="1" applyBorder="1" applyAlignment="1">
      <alignment horizontal="center" vertical="center"/>
    </xf>
    <xf numFmtId="0" fontId="30" fillId="0" borderId="23" xfId="0" applyFont="1" applyBorder="1" applyAlignment="1">
      <alignment horizontal="center"/>
    </xf>
    <xf numFmtId="0" fontId="30" fillId="0" borderId="1" xfId="1" applyFont="1" applyBorder="1"/>
    <xf numFmtId="0" fontId="32" fillId="6" borderId="23" xfId="0" applyFont="1" applyFill="1" applyBorder="1" applyAlignment="1">
      <alignment horizontal="center" vertical="center"/>
    </xf>
    <xf numFmtId="0" fontId="32" fillId="6" borderId="9" xfId="0" applyFont="1" applyFill="1" applyBorder="1" applyAlignment="1">
      <alignment horizontal="center" vertical="center"/>
    </xf>
    <xf numFmtId="0" fontId="32" fillId="0" borderId="23" xfId="0" applyFont="1" applyBorder="1" applyAlignment="1">
      <alignment horizontal="center"/>
    </xf>
    <xf numFmtId="0" fontId="32" fillId="0" borderId="1" xfId="1" applyFont="1" applyBorder="1"/>
    <xf numFmtId="10" fontId="0" fillId="0" borderId="9" xfId="0" applyNumberFormat="1" applyBorder="1" applyAlignment="1">
      <alignment horizontal="center" vertical="center"/>
    </xf>
    <xf numFmtId="0" fontId="32" fillId="6" borderId="1" xfId="0" applyFont="1" applyFill="1" applyBorder="1" applyAlignment="1">
      <alignment horizontal="center" vertical="center"/>
    </xf>
    <xf numFmtId="0" fontId="32" fillId="0" borderId="23" xfId="0" applyFont="1" applyFill="1" applyBorder="1" applyAlignment="1">
      <alignment horizontal="center"/>
    </xf>
    <xf numFmtId="1" fontId="3" fillId="15" borderId="18" xfId="1" applyNumberFormat="1" applyFill="1" applyBorder="1" applyAlignment="1">
      <alignment horizontal="center" vertical="center"/>
    </xf>
    <xf numFmtId="165" fontId="3" fillId="15" borderId="10" xfId="1" applyNumberFormat="1" applyFill="1" applyBorder="1" applyAlignment="1">
      <alignment horizontal="center" vertical="center"/>
    </xf>
    <xf numFmtId="1" fontId="32" fillId="0" borderId="1" xfId="1" applyNumberFormat="1" applyFont="1" applyBorder="1"/>
    <xf numFmtId="0" fontId="3" fillId="18" borderId="17" xfId="1" applyFont="1" applyFill="1" applyBorder="1" applyAlignment="1">
      <alignment horizontal="center" vertical="center" wrapText="1"/>
    </xf>
    <xf numFmtId="1" fontId="3" fillId="18" borderId="18" xfId="1" applyNumberFormat="1" applyFill="1" applyBorder="1" applyAlignment="1">
      <alignment horizontal="center" vertical="center"/>
    </xf>
    <xf numFmtId="165" fontId="3" fillId="18" borderId="10" xfId="1" applyNumberFormat="1" applyFill="1" applyBorder="1" applyAlignment="1">
      <alignment horizontal="center" vertical="center"/>
    </xf>
    <xf numFmtId="0" fontId="5" fillId="17" borderId="1" xfId="0" applyFont="1" applyFill="1" applyBorder="1" applyAlignment="1">
      <alignment horizontal="center" vertical="center"/>
    </xf>
    <xf numFmtId="0" fontId="6" fillId="17" borderId="1" xfId="0" applyFont="1" applyFill="1" applyBorder="1" applyAlignment="1">
      <alignment vertical="center"/>
    </xf>
    <xf numFmtId="0" fontId="5" fillId="18" borderId="1" xfId="0" applyFont="1" applyFill="1" applyBorder="1" applyAlignment="1">
      <alignment horizontal="center" vertical="center"/>
    </xf>
    <xf numFmtId="0" fontId="6" fillId="18" borderId="1" xfId="0" applyFont="1" applyFill="1" applyBorder="1" applyAlignment="1">
      <alignment horizontal="center" vertical="center"/>
    </xf>
    <xf numFmtId="0" fontId="5" fillId="4" borderId="1" xfId="0" applyFont="1" applyFill="1" applyBorder="1" applyAlignment="1">
      <alignment horizontal="center" vertical="center"/>
    </xf>
    <xf numFmtId="0" fontId="6" fillId="4" borderId="1" xfId="0" applyFont="1" applyFill="1" applyBorder="1" applyAlignment="1">
      <alignment horizontal="center" vertical="center"/>
    </xf>
    <xf numFmtId="0" fontId="59" fillId="0" borderId="0" xfId="1" applyFont="1"/>
    <xf numFmtId="0" fontId="60" fillId="0" borderId="0" xfId="1" applyFont="1"/>
    <xf numFmtId="0" fontId="57" fillId="19" borderId="1" xfId="1" applyFont="1" applyFill="1" applyBorder="1" applyAlignment="1">
      <alignment horizontal="center"/>
    </xf>
    <xf numFmtId="0" fontId="57" fillId="0" borderId="1" xfId="1" applyFont="1" applyBorder="1" applyAlignment="1">
      <alignment horizontal="center"/>
    </xf>
    <xf numFmtId="165" fontId="57" fillId="0" borderId="1" xfId="1" applyNumberFormat="1" applyFont="1" applyBorder="1" applyAlignment="1">
      <alignment horizontal="center"/>
    </xf>
    <xf numFmtId="20" fontId="57" fillId="0" borderId="1" xfId="1" applyNumberFormat="1" applyFont="1" applyBorder="1" applyAlignment="1">
      <alignment horizontal="center"/>
    </xf>
    <xf numFmtId="1" fontId="32" fillId="0" borderId="1" xfId="1" applyNumberFormat="1" applyFont="1" applyBorder="1" applyAlignment="1">
      <alignment horizontal="center" vertical="center"/>
    </xf>
    <xf numFmtId="0" fontId="30" fillId="0" borderId="0" xfId="1" applyFont="1"/>
    <xf numFmtId="0" fontId="30" fillId="6" borderId="1" xfId="0" applyFont="1" applyFill="1" applyBorder="1" applyAlignment="1">
      <alignment horizontal="center" vertical="center"/>
    </xf>
    <xf numFmtId="10" fontId="30" fillId="0" borderId="9" xfId="0" applyNumberFormat="1" applyFont="1" applyBorder="1" applyAlignment="1">
      <alignment horizontal="center" vertical="center"/>
    </xf>
    <xf numFmtId="0" fontId="30" fillId="0" borderId="23" xfId="0" applyFont="1" applyFill="1" applyBorder="1" applyAlignment="1">
      <alignment horizontal="center"/>
    </xf>
    <xf numFmtId="0" fontId="30" fillId="4" borderId="17" xfId="1" applyFont="1" applyFill="1" applyBorder="1" applyAlignment="1">
      <alignment horizontal="center" vertical="center" wrapText="1"/>
    </xf>
    <xf numFmtId="1" fontId="30" fillId="4" borderId="18" xfId="1" applyNumberFormat="1" applyFont="1" applyFill="1" applyBorder="1" applyAlignment="1">
      <alignment horizontal="center" vertical="center"/>
    </xf>
    <xf numFmtId="165" fontId="30" fillId="4" borderId="10" xfId="1" applyNumberFormat="1" applyFont="1" applyFill="1" applyBorder="1" applyAlignment="1">
      <alignment horizontal="center" vertical="center"/>
    </xf>
    <xf numFmtId="49" fontId="3" fillId="0" borderId="1" xfId="0" applyNumberFormat="1" applyFont="1" applyBorder="1"/>
    <xf numFmtId="0" fontId="10" fillId="0" borderId="2" xfId="0" applyFont="1" applyFill="1" applyBorder="1" applyAlignment="1">
      <alignment vertical="center" wrapText="1"/>
    </xf>
    <xf numFmtId="14" fontId="0" fillId="4" borderId="1" xfId="0" applyNumberFormat="1" applyFill="1" applyBorder="1" applyAlignment="1">
      <alignment horizontal="center" vertical="center" wrapText="1"/>
    </xf>
    <xf numFmtId="0" fontId="0" fillId="15" borderId="2" xfId="0" applyFill="1" applyBorder="1" applyAlignment="1">
      <alignment horizontal="left" vertical="center" wrapText="1"/>
    </xf>
    <xf numFmtId="49" fontId="3" fillId="13" borderId="1" xfId="0" applyNumberFormat="1" applyFont="1" applyFill="1" applyBorder="1" applyAlignment="1">
      <alignment horizontal="left" vertical="center" wrapText="1"/>
    </xf>
    <xf numFmtId="14" fontId="3" fillId="3" borderId="1" xfId="0" applyNumberFormat="1" applyFont="1" applyFill="1" applyBorder="1" applyAlignment="1">
      <alignment horizontal="center" vertical="center" wrapText="1"/>
    </xf>
    <xf numFmtId="14" fontId="3" fillId="4" borderId="12" xfId="0" applyNumberFormat="1" applyFont="1" applyFill="1" applyBorder="1" applyAlignment="1">
      <alignment horizontal="center" vertical="center" wrapText="1"/>
    </xf>
    <xf numFmtId="14" fontId="0" fillId="4" borderId="12" xfId="0" applyNumberFormat="1" applyFill="1" applyBorder="1" applyAlignment="1">
      <alignment horizontal="center" vertical="center" wrapText="1"/>
    </xf>
    <xf numFmtId="14" fontId="28" fillId="4" borderId="2" xfId="0" applyNumberFormat="1" applyFont="1" applyFill="1" applyBorder="1" applyAlignment="1">
      <alignment horizontal="center" vertical="center" wrapText="1"/>
    </xf>
    <xf numFmtId="0" fontId="5" fillId="6" borderId="1" xfId="0" applyFont="1" applyFill="1" applyBorder="1" applyAlignment="1">
      <alignment wrapText="1"/>
    </xf>
    <xf numFmtId="14" fontId="5" fillId="0" borderId="1" xfId="0" applyNumberFormat="1" applyFont="1" applyBorder="1" applyAlignment="1">
      <alignment horizontal="center" vertical="center"/>
    </xf>
    <xf numFmtId="0" fontId="3" fillId="6" borderId="1" xfId="1" applyFill="1" applyBorder="1"/>
    <xf numFmtId="14" fontId="0" fillId="15" borderId="2" xfId="0" applyNumberFormat="1" applyFill="1" applyBorder="1" applyAlignment="1">
      <alignment horizontal="center" vertical="center" wrapText="1"/>
    </xf>
    <xf numFmtId="0" fontId="0" fillId="15" borderId="1" xfId="0" applyFill="1" applyBorder="1" applyAlignment="1">
      <alignment horizontal="left" vertical="center" wrapText="1"/>
    </xf>
    <xf numFmtId="14" fontId="0" fillId="15" borderId="1" xfId="0" applyNumberFormat="1" applyFill="1" applyBorder="1" applyAlignment="1">
      <alignment horizontal="center" vertical="center" wrapText="1"/>
    </xf>
    <xf numFmtId="0" fontId="11" fillId="15" borderId="1" xfId="0" applyFont="1" applyFill="1" applyBorder="1" applyAlignment="1">
      <alignment horizontal="center" vertical="center" wrapText="1"/>
    </xf>
    <xf numFmtId="0" fontId="0" fillId="0" borderId="42" xfId="0" applyBorder="1"/>
    <xf numFmtId="0" fontId="10" fillId="13" borderId="2" xfId="0" applyFont="1" applyFill="1" applyBorder="1" applyAlignment="1">
      <alignment horizontal="center" vertical="center" wrapText="1"/>
    </xf>
    <xf numFmtId="0" fontId="0" fillId="0" borderId="0" xfId="0" applyBorder="1" applyAlignment="1">
      <alignment horizontal="center" vertical="center" wrapText="1"/>
    </xf>
    <xf numFmtId="0" fontId="0" fillId="8" borderId="2" xfId="0" applyFill="1" applyBorder="1" applyAlignment="1">
      <alignment horizontal="center" vertical="center" wrapText="1"/>
    </xf>
    <xf numFmtId="164" fontId="0" fillId="8" borderId="2" xfId="0" applyNumberFormat="1" applyFill="1" applyBorder="1" applyAlignment="1">
      <alignment horizontal="center" vertical="center" wrapText="1"/>
    </xf>
    <xf numFmtId="0" fontId="3" fillId="8" borderId="2" xfId="0" applyFont="1" applyFill="1" applyBorder="1" applyAlignment="1">
      <alignment horizontal="center" vertical="center" wrapText="1"/>
    </xf>
    <xf numFmtId="0" fontId="3" fillId="8" borderId="2" xfId="0" applyFont="1" applyFill="1" applyBorder="1" applyAlignment="1">
      <alignment horizontal="left" vertical="center" wrapText="1"/>
    </xf>
    <xf numFmtId="164" fontId="3" fillId="8" borderId="2" xfId="0" applyNumberFormat="1" applyFont="1" applyFill="1" applyBorder="1" applyAlignment="1">
      <alignment horizontal="center" vertical="center" wrapText="1"/>
    </xf>
    <xf numFmtId="0" fontId="61" fillId="4" borderId="2" xfId="0" applyFont="1" applyFill="1" applyBorder="1" applyAlignment="1">
      <alignment horizontal="center" vertical="center" wrapText="1"/>
    </xf>
    <xf numFmtId="0" fontId="3" fillId="4" borderId="2" xfId="0" applyFont="1" applyFill="1" applyBorder="1" applyAlignment="1">
      <alignment vertical="center" wrapText="1"/>
    </xf>
    <xf numFmtId="0" fontId="0" fillId="4" borderId="2" xfId="0" applyFill="1" applyBorder="1" applyAlignment="1">
      <alignment vertical="center" wrapText="1"/>
    </xf>
    <xf numFmtId="0" fontId="3" fillId="5" borderId="1" xfId="0" applyFont="1" applyFill="1" applyBorder="1"/>
    <xf numFmtId="20" fontId="0" fillId="8" borderId="2" xfId="0" applyNumberFormat="1" applyFill="1" applyBorder="1" applyAlignment="1">
      <alignment horizontal="center" vertical="center" wrapText="1"/>
    </xf>
    <xf numFmtId="0" fontId="0" fillId="8" borderId="2" xfId="0" applyFill="1" applyBorder="1" applyAlignment="1">
      <alignment horizontal="left" vertical="center" wrapText="1"/>
    </xf>
    <xf numFmtId="1" fontId="0" fillId="0" borderId="1" xfId="0" applyNumberFormat="1" applyBorder="1"/>
    <xf numFmtId="0" fontId="3" fillId="10" borderId="1" xfId="0" applyFont="1" applyFill="1" applyBorder="1" applyAlignment="1">
      <alignment horizontal="center" vertical="center" wrapText="1"/>
    </xf>
    <xf numFmtId="0" fontId="3" fillId="10" borderId="1" xfId="0" applyFont="1" applyFill="1" applyBorder="1"/>
    <xf numFmtId="0" fontId="3" fillId="10" borderId="1" xfId="0" applyFont="1" applyFill="1" applyBorder="1" applyAlignment="1">
      <alignment wrapText="1"/>
    </xf>
    <xf numFmtId="0" fontId="0" fillId="10" borderId="1" xfId="0" applyFill="1" applyBorder="1"/>
    <xf numFmtId="0" fontId="3" fillId="0" borderId="23" xfId="0" applyFont="1" applyFill="1" applyBorder="1" applyAlignment="1">
      <alignment horizontal="center"/>
    </xf>
    <xf numFmtId="0" fontId="3" fillId="0" borderId="23" xfId="0" applyFont="1" applyFill="1" applyBorder="1" applyAlignment="1">
      <alignment horizontal="center" vertical="center"/>
    </xf>
    <xf numFmtId="14" fontId="3" fillId="4" borderId="2" xfId="0" applyNumberFormat="1" applyFont="1" applyFill="1" applyBorder="1" applyAlignment="1">
      <alignment horizontal="left" vertical="center" wrapText="1"/>
    </xf>
    <xf numFmtId="0" fontId="3" fillId="0" borderId="23" xfId="0" applyFont="1" applyFill="1" applyBorder="1"/>
    <xf numFmtId="0" fontId="0" fillId="0" borderId="9" xfId="0" applyFill="1" applyBorder="1"/>
    <xf numFmtId="49" fontId="36" fillId="0" borderId="1" xfId="1" applyNumberFormat="1" applyFont="1" applyBorder="1" applyAlignment="1">
      <alignment horizontal="left" vertical="center" wrapText="1"/>
    </xf>
    <xf numFmtId="0" fontId="36" fillId="0" borderId="1" xfId="1" applyFont="1" applyBorder="1" applyAlignment="1">
      <alignment horizontal="left" vertical="center"/>
    </xf>
    <xf numFmtId="9" fontId="32" fillId="0" borderId="1" xfId="1" applyNumberFormat="1" applyFont="1" applyBorder="1" applyAlignment="1">
      <alignment horizontal="center" vertical="center"/>
    </xf>
    <xf numFmtId="0" fontId="3" fillId="10" borderId="1" xfId="0" applyFont="1" applyFill="1" applyBorder="1" applyAlignment="1">
      <alignment horizontal="center" vertical="center"/>
    </xf>
    <xf numFmtId="14" fontId="0" fillId="8" borderId="2" xfId="0" applyNumberFormat="1" applyFill="1" applyBorder="1" applyAlignment="1">
      <alignment horizontal="center" vertical="center" wrapText="1"/>
    </xf>
    <xf numFmtId="0" fontId="34" fillId="4" borderId="0" xfId="0" applyFont="1" applyFill="1" applyBorder="1" applyAlignment="1">
      <alignment horizontal="center" vertical="center" wrapText="1"/>
    </xf>
    <xf numFmtId="0" fontId="10" fillId="2" borderId="2" xfId="0" applyFont="1" applyFill="1" applyBorder="1" applyAlignment="1">
      <alignment horizontal="center" vertical="center" wrapText="1"/>
    </xf>
    <xf numFmtId="0" fontId="3" fillId="10" borderId="1" xfId="0" applyFont="1" applyFill="1" applyBorder="1" applyAlignment="1">
      <alignment horizontal="center" wrapText="1"/>
    </xf>
    <xf numFmtId="0" fontId="5" fillId="0" borderId="1" xfId="0" applyFont="1" applyBorder="1" applyAlignment="1">
      <alignment horizontal="center" vertical="center"/>
    </xf>
    <xf numFmtId="0" fontId="0" fillId="0" borderId="0" xfId="0" applyAlignment="1">
      <alignment horizontal="center" vertical="center"/>
    </xf>
    <xf numFmtId="0" fontId="3" fillId="0" borderId="0" xfId="0" applyFont="1" applyBorder="1" applyAlignment="1">
      <alignment horizontal="center" vertical="center"/>
    </xf>
    <xf numFmtId="0" fontId="0" fillId="0" borderId="0" xfId="0" applyBorder="1" applyAlignment="1">
      <alignment horizontal="center"/>
    </xf>
    <xf numFmtId="0" fontId="0" fillId="0" borderId="0" xfId="0" applyBorder="1" applyAlignment="1">
      <alignment horizontal="center" vertical="center"/>
    </xf>
    <xf numFmtId="0" fontId="69" fillId="0" borderId="1" xfId="0" applyFont="1" applyBorder="1" applyAlignment="1">
      <alignment horizontal="center" vertical="center"/>
    </xf>
    <xf numFmtId="0" fontId="69" fillId="0" borderId="43" xfId="0" applyFont="1" applyBorder="1" applyAlignment="1">
      <alignment horizontal="center" vertical="center"/>
    </xf>
    <xf numFmtId="0" fontId="69" fillId="0" borderId="0" xfId="0" applyFont="1" applyAlignment="1">
      <alignment horizontal="center" vertical="center"/>
    </xf>
    <xf numFmtId="0" fontId="69" fillId="0" borderId="1" xfId="0" applyFont="1" applyBorder="1" applyAlignment="1">
      <alignment horizontal="center" vertical="center" wrapText="1"/>
    </xf>
    <xf numFmtId="0" fontId="70" fillId="24" borderId="1" xfId="5" applyBorder="1" applyAlignment="1">
      <alignment horizontal="center" vertical="center"/>
    </xf>
    <xf numFmtId="0" fontId="30" fillId="0" borderId="1" xfId="0" applyFont="1" applyBorder="1" applyAlignment="1">
      <alignment horizontal="center" vertical="center"/>
    </xf>
    <xf numFmtId="0" fontId="30" fillId="21" borderId="1" xfId="0" applyFont="1" applyFill="1" applyBorder="1" applyAlignment="1">
      <alignment horizontal="center" wrapText="1"/>
    </xf>
    <xf numFmtId="0" fontId="30" fillId="21" borderId="1" xfId="0" applyFont="1" applyFill="1" applyBorder="1" applyAlignment="1">
      <alignment horizontal="center" vertical="center" wrapText="1"/>
    </xf>
    <xf numFmtId="0" fontId="69" fillId="25" borderId="1" xfId="0" applyFont="1" applyFill="1" applyBorder="1" applyAlignment="1">
      <alignment horizontal="center" vertical="center"/>
    </xf>
    <xf numFmtId="0" fontId="30" fillId="25" borderId="1" xfId="0" applyFont="1" applyFill="1" applyBorder="1" applyAlignment="1">
      <alignment horizontal="center" vertical="center"/>
    </xf>
    <xf numFmtId="0" fontId="30" fillId="25" borderId="1" xfId="0" applyFont="1" applyFill="1" applyBorder="1"/>
    <xf numFmtId="0" fontId="69" fillId="0" borderId="1" xfId="0" applyFont="1" applyBorder="1"/>
    <xf numFmtId="0" fontId="69" fillId="25" borderId="1" xfId="0" applyFont="1" applyFill="1" applyBorder="1"/>
    <xf numFmtId="0" fontId="5" fillId="25" borderId="1" xfId="0" applyFont="1" applyFill="1" applyBorder="1" applyAlignment="1">
      <alignment horizontal="center" vertical="center"/>
    </xf>
    <xf numFmtId="0" fontId="69" fillId="6" borderId="1" xfId="0" applyFont="1" applyFill="1" applyBorder="1"/>
    <xf numFmtId="0" fontId="69" fillId="18" borderId="1" xfId="0" applyFont="1" applyFill="1" applyBorder="1" applyAlignment="1">
      <alignment horizontal="center" vertical="center"/>
    </xf>
    <xf numFmtId="0" fontId="6" fillId="25" borderId="1" xfId="0" applyFont="1" applyFill="1" applyBorder="1" applyAlignment="1">
      <alignment horizontal="center" vertical="center"/>
    </xf>
    <xf numFmtId="0" fontId="5" fillId="6" borderId="1" xfId="0" applyFont="1" applyFill="1" applyBorder="1" applyAlignment="1">
      <alignment horizontal="center" vertical="center" wrapText="1"/>
    </xf>
    <xf numFmtId="0" fontId="72" fillId="4" borderId="2" xfId="0" applyFont="1" applyFill="1" applyBorder="1" applyAlignment="1">
      <alignment horizontal="center" vertical="center" wrapText="1"/>
    </xf>
    <xf numFmtId="14" fontId="0" fillId="0" borderId="34" xfId="0" applyNumberFormat="1" applyFill="1" applyBorder="1" applyAlignment="1">
      <alignment horizontal="center" vertical="center" wrapText="1"/>
    </xf>
    <xf numFmtId="0" fontId="5" fillId="0" borderId="6" xfId="1" applyFont="1" applyFill="1" applyBorder="1" applyAlignment="1">
      <alignment horizontal="center" vertical="center" wrapText="1"/>
    </xf>
    <xf numFmtId="0" fontId="0" fillId="0" borderId="23" xfId="0" applyFill="1" applyBorder="1" applyAlignment="1">
      <alignment horizontal="center" vertical="center" wrapText="1"/>
    </xf>
    <xf numFmtId="0" fontId="5" fillId="0" borderId="9" xfId="0" applyFont="1" applyFill="1" applyBorder="1" applyAlignment="1">
      <alignment horizontal="center" vertical="center"/>
    </xf>
    <xf numFmtId="0" fontId="72" fillId="4" borderId="2" xfId="0" applyFont="1" applyFill="1" applyBorder="1" applyAlignment="1">
      <alignment wrapText="1"/>
    </xf>
    <xf numFmtId="20" fontId="0" fillId="4" borderId="2" xfId="0" applyNumberFormat="1" applyFill="1" applyBorder="1" applyAlignment="1">
      <alignment horizontal="center" vertical="center" wrapText="1"/>
    </xf>
    <xf numFmtId="1" fontId="3" fillId="0" borderId="1" xfId="0" applyNumberFormat="1" applyFont="1" applyBorder="1"/>
    <xf numFmtId="49" fontId="3" fillId="0" borderId="2" xfId="0" applyNumberFormat="1" applyFont="1" applyFill="1" applyBorder="1" applyAlignment="1">
      <alignment horizontal="left" vertical="center" wrapText="1"/>
    </xf>
    <xf numFmtId="49" fontId="3" fillId="8" borderId="2" xfId="0" applyNumberFormat="1" applyFont="1" applyFill="1" applyBorder="1" applyAlignment="1">
      <alignment horizontal="left" vertical="center" wrapText="1"/>
    </xf>
    <xf numFmtId="49" fontId="3" fillId="13" borderId="2" xfId="0" applyNumberFormat="1" applyFont="1" applyFill="1" applyBorder="1" applyAlignment="1">
      <alignment horizontal="left" vertical="center" wrapText="1"/>
    </xf>
    <xf numFmtId="20" fontId="0" fillId="13" borderId="2" xfId="0" applyNumberFormat="1" applyFill="1" applyBorder="1" applyAlignment="1">
      <alignment horizontal="center" vertical="center" wrapText="1"/>
    </xf>
    <xf numFmtId="0" fontId="3" fillId="0" borderId="0" xfId="0" applyFont="1" applyAlignment="1">
      <alignment wrapText="1"/>
    </xf>
    <xf numFmtId="0" fontId="34" fillId="0" borderId="0" xfId="0" applyFont="1" applyAlignment="1">
      <alignment wrapText="1"/>
    </xf>
    <xf numFmtId="0" fontId="0" fillId="0" borderId="2" xfId="0" applyNumberFormat="1" applyFill="1" applyBorder="1" applyAlignment="1">
      <alignment horizontal="left" vertical="center" wrapText="1"/>
    </xf>
    <xf numFmtId="0" fontId="34" fillId="4" borderId="0" xfId="0" applyFont="1" applyFill="1" applyBorder="1" applyAlignment="1">
      <alignment wrapText="1"/>
    </xf>
    <xf numFmtId="0" fontId="0" fillId="13" borderId="2" xfId="0" applyFill="1" applyBorder="1" applyAlignment="1">
      <alignment horizontal="left" vertical="center" wrapText="1"/>
    </xf>
    <xf numFmtId="20" fontId="0" fillId="10" borderId="2" xfId="0" applyNumberFormat="1" applyFill="1" applyBorder="1" applyAlignment="1">
      <alignment horizontal="center" vertical="center" wrapText="1"/>
    </xf>
    <xf numFmtId="14" fontId="0" fillId="0" borderId="1" xfId="0" applyNumberFormat="1" applyBorder="1" applyAlignment="1">
      <alignment horizontal="left"/>
    </xf>
    <xf numFmtId="0" fontId="5" fillId="4" borderId="1" xfId="0" applyFont="1" applyFill="1" applyBorder="1" applyAlignment="1">
      <alignment horizontal="center" vertical="center" wrapText="1"/>
    </xf>
    <xf numFmtId="14" fontId="3" fillId="4" borderId="11" xfId="0" applyNumberFormat="1" applyFont="1" applyFill="1" applyBorder="1" applyAlignment="1">
      <alignment horizontal="center" vertical="center" wrapText="1"/>
    </xf>
    <xf numFmtId="0" fontId="10" fillId="4" borderId="11" xfId="0" applyFont="1" applyFill="1" applyBorder="1" applyAlignment="1">
      <alignment horizontal="center" vertical="center" wrapText="1"/>
    </xf>
    <xf numFmtId="0" fontId="11" fillId="4" borderId="11" xfId="0" applyFont="1" applyFill="1" applyBorder="1" applyAlignment="1">
      <alignment horizontal="center" vertical="center" wrapText="1"/>
    </xf>
    <xf numFmtId="0" fontId="39" fillId="5" borderId="1" xfId="0" applyFont="1" applyFill="1" applyBorder="1"/>
    <xf numFmtId="0" fontId="3" fillId="5" borderId="1" xfId="0" applyFont="1" applyFill="1" applyBorder="1" applyAlignment="1">
      <alignment wrapText="1"/>
    </xf>
    <xf numFmtId="0" fontId="5" fillId="7" borderId="1" xfId="0" applyFont="1" applyFill="1" applyBorder="1"/>
    <xf numFmtId="0" fontId="5" fillId="5" borderId="1" xfId="0" applyFont="1" applyFill="1" applyBorder="1"/>
    <xf numFmtId="0" fontId="5" fillId="7" borderId="1" xfId="0" applyFont="1" applyFill="1" applyBorder="1" applyAlignment="1">
      <alignment horizontal="center" vertical="center"/>
    </xf>
    <xf numFmtId="0" fontId="5" fillId="0" borderId="1" xfId="0" applyFont="1" applyBorder="1" applyAlignment="1">
      <alignment horizontal="center" vertical="center"/>
    </xf>
    <xf numFmtId="0" fontId="9" fillId="0" borderId="0" xfId="1" applyFont="1" applyAlignment="1">
      <alignment horizontal="left"/>
    </xf>
    <xf numFmtId="0" fontId="39" fillId="5" borderId="12" xfId="0" applyFont="1" applyFill="1" applyBorder="1" applyAlignment="1">
      <alignment horizontal="center" wrapText="1"/>
    </xf>
    <xf numFmtId="0" fontId="5" fillId="0" borderId="1" xfId="0" applyFont="1" applyBorder="1" applyAlignment="1">
      <alignment horizontal="center"/>
    </xf>
    <xf numFmtId="0" fontId="39" fillId="5" borderId="2" xfId="0" applyFont="1" applyFill="1" applyBorder="1" applyAlignment="1">
      <alignment horizontal="center"/>
    </xf>
    <xf numFmtId="0" fontId="39" fillId="5" borderId="2" xfId="0" applyFont="1" applyFill="1" applyBorder="1" applyAlignment="1">
      <alignment horizontal="center" wrapText="1"/>
    </xf>
    <xf numFmtId="0" fontId="5" fillId="7" borderId="1" xfId="0" applyFont="1" applyFill="1" applyBorder="1" applyAlignment="1">
      <alignment horizontal="center"/>
    </xf>
    <xf numFmtId="0" fontId="5" fillId="7" borderId="40" xfId="0" applyFont="1" applyFill="1" applyBorder="1" applyAlignment="1">
      <alignment horizontal="center"/>
    </xf>
    <xf numFmtId="0" fontId="3" fillId="15" borderId="44" xfId="1" applyFont="1" applyFill="1" applyBorder="1" applyAlignment="1">
      <alignment vertical="center" wrapText="1"/>
    </xf>
    <xf numFmtId="2" fontId="3" fillId="15" borderId="25" xfId="1" applyNumberFormat="1" applyFill="1" applyBorder="1" applyAlignment="1">
      <alignment vertical="center"/>
    </xf>
    <xf numFmtId="0" fontId="3" fillId="0" borderId="45" xfId="0" applyFont="1" applyFill="1" applyBorder="1"/>
    <xf numFmtId="0" fontId="0" fillId="0" borderId="46" xfId="0" applyFill="1" applyBorder="1"/>
    <xf numFmtId="0" fontId="28" fillId="5" borderId="1" xfId="0" applyFont="1" applyFill="1" applyBorder="1" applyAlignment="1">
      <alignment horizontal="center" wrapText="1"/>
    </xf>
    <xf numFmtId="165" fontId="32" fillId="0" borderId="1" xfId="1" applyNumberFormat="1" applyFont="1" applyBorder="1" applyAlignment="1">
      <alignment horizontal="center" vertical="center"/>
    </xf>
    <xf numFmtId="0" fontId="7" fillId="0" borderId="0" xfId="1" applyFont="1"/>
    <xf numFmtId="9" fontId="32" fillId="6" borderId="1" xfId="1" applyNumberFormat="1" applyFont="1" applyFill="1" applyBorder="1" applyAlignment="1">
      <alignment horizontal="center" vertical="center"/>
    </xf>
    <xf numFmtId="20" fontId="0" fillId="8" borderId="2" xfId="0" applyNumberFormat="1" applyFill="1" applyBorder="1" applyAlignment="1">
      <alignment horizontal="center" vertical="center" wrapText="1"/>
    </xf>
    <xf numFmtId="0" fontId="5" fillId="0" borderId="1" xfId="0" applyFont="1" applyBorder="1" applyAlignment="1">
      <alignment horizontal="center" vertical="center"/>
    </xf>
    <xf numFmtId="0" fontId="11" fillId="12" borderId="2" xfId="0" applyFont="1" applyFill="1" applyBorder="1" applyAlignment="1">
      <alignment horizontal="center" vertical="center" wrapText="1"/>
    </xf>
    <xf numFmtId="20" fontId="0" fillId="12"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0" fontId="30" fillId="0" borderId="0" xfId="0" applyFont="1" applyAlignment="1">
      <alignment horizontal="left"/>
    </xf>
    <xf numFmtId="0" fontId="3" fillId="0" borderId="0" xfId="0" pivotButton="1" applyFont="1"/>
    <xf numFmtId="14" fontId="3" fillId="0" borderId="0" xfId="0" applyNumberFormat="1" applyFont="1" applyAlignment="1">
      <alignment horizontal="left"/>
    </xf>
    <xf numFmtId="0" fontId="3" fillId="0" borderId="0" xfId="0" applyFont="1" applyAlignment="1">
      <alignment horizontal="left"/>
    </xf>
    <xf numFmtId="0" fontId="3" fillId="0" borderId="0" xfId="0" applyFont="1" applyAlignment="1">
      <alignment horizontal="left" indent="1"/>
    </xf>
    <xf numFmtId="0" fontId="3" fillId="0" borderId="0" xfId="0" applyFont="1" applyAlignment="1">
      <alignment horizontal="left" indent="2"/>
    </xf>
    <xf numFmtId="0" fontId="30" fillId="0" borderId="0" xfId="0" pivotButton="1" applyFont="1"/>
    <xf numFmtId="166" fontId="0" fillId="13" borderId="2" xfId="0" applyNumberFormat="1" applyFill="1" applyBorder="1" applyAlignment="1">
      <alignment horizontal="center" vertical="center" wrapText="1"/>
    </xf>
    <xf numFmtId="0" fontId="3" fillId="5" borderId="1" xfId="0" applyFont="1" applyFill="1" applyBorder="1" applyAlignment="1">
      <alignment horizontal="right"/>
    </xf>
    <xf numFmtId="0" fontId="5" fillId="0" borderId="1" xfId="0" applyFont="1" applyBorder="1" applyAlignment="1">
      <alignment horizontal="right" vertical="center"/>
    </xf>
    <xf numFmtId="0" fontId="5" fillId="7" borderId="1" xfId="0" applyFont="1" applyFill="1" applyBorder="1" applyAlignment="1">
      <alignment horizontal="right" vertical="center"/>
    </xf>
    <xf numFmtId="20" fontId="3" fillId="8" borderId="2" xfId="0" applyNumberFormat="1" applyFont="1" applyFill="1" applyBorder="1" applyAlignment="1">
      <alignment horizontal="center" vertical="center" wrapText="1"/>
    </xf>
    <xf numFmtId="49" fontId="3" fillId="8" borderId="2" xfId="0" applyNumberFormat="1" applyFont="1" applyFill="1" applyBorder="1" applyAlignment="1">
      <alignment horizontal="center" vertical="center" wrapText="1"/>
    </xf>
    <xf numFmtId="0" fontId="3" fillId="0" borderId="45" xfId="0" applyFont="1" applyFill="1" applyBorder="1" applyAlignment="1">
      <alignment horizontal="center"/>
    </xf>
    <xf numFmtId="0" fontId="3" fillId="0" borderId="45" xfId="0" applyFont="1" applyFill="1" applyBorder="1" applyAlignment="1">
      <alignment horizontal="center" vertical="center"/>
    </xf>
    <xf numFmtId="49" fontId="0" fillId="8" borderId="0" xfId="0" applyNumberFormat="1" applyFill="1" applyAlignment="1">
      <alignment horizontal="left" vertical="center" wrapText="1"/>
    </xf>
    <xf numFmtId="0" fontId="0" fillId="8" borderId="0" xfId="0" applyFill="1" applyAlignment="1">
      <alignment wrapText="1"/>
    </xf>
    <xf numFmtId="49" fontId="0" fillId="13" borderId="0" xfId="0" applyNumberFormat="1" applyFill="1" applyAlignment="1">
      <alignment horizontal="left" vertical="center" wrapText="1"/>
    </xf>
    <xf numFmtId="0" fontId="0" fillId="13" borderId="0" xfId="0" applyFill="1" applyAlignment="1">
      <alignment wrapText="1"/>
    </xf>
    <xf numFmtId="0" fontId="0" fillId="13" borderId="1" xfId="0" applyFill="1" applyBorder="1" applyAlignment="1">
      <alignment wrapText="1"/>
    </xf>
    <xf numFmtId="0" fontId="3" fillId="13" borderId="0" xfId="0" applyFont="1" applyFill="1" applyAlignment="1">
      <alignment wrapText="1"/>
    </xf>
    <xf numFmtId="49" fontId="0" fillId="0" borderId="0" xfId="0" applyNumberFormat="1" applyFill="1" applyAlignment="1">
      <alignment horizontal="left" vertical="center" wrapText="1"/>
    </xf>
    <xf numFmtId="0" fontId="0" fillId="0" borderId="0" xfId="0" applyFill="1" applyAlignment="1">
      <alignment wrapText="1"/>
    </xf>
    <xf numFmtId="0" fontId="3" fillId="0" borderId="0" xfId="0" applyFont="1" applyFill="1" applyAlignment="1">
      <alignment wrapText="1"/>
    </xf>
    <xf numFmtId="14" fontId="0" fillId="0" borderId="0" xfId="0" applyNumberFormat="1" applyFill="1" applyAlignment="1">
      <alignment wrapText="1"/>
    </xf>
    <xf numFmtId="0" fontId="3" fillId="8" borderId="0" xfId="0" applyFont="1" applyFill="1" applyAlignment="1">
      <alignment wrapText="1"/>
    </xf>
    <xf numFmtId="14" fontId="0" fillId="8" borderId="0" xfId="0" applyNumberFormat="1" applyFill="1" applyAlignment="1">
      <alignment wrapText="1"/>
    </xf>
    <xf numFmtId="14" fontId="0" fillId="0" borderId="0" xfId="0" applyNumberFormat="1" applyAlignment="1">
      <alignment wrapText="1"/>
    </xf>
    <xf numFmtId="0" fontId="34" fillId="4" borderId="0" xfId="0" applyFont="1" applyFill="1" applyAlignment="1">
      <alignment horizontal="left" vertical="center" wrapText="1"/>
    </xf>
    <xf numFmtId="0" fontId="5" fillId="0" borderId="1" xfId="0" applyFont="1" applyBorder="1" applyAlignment="1">
      <alignment horizontal="center" vertical="center"/>
    </xf>
    <xf numFmtId="0" fontId="71" fillId="24" borderId="1" xfId="5" applyFont="1" applyBorder="1" applyAlignment="1">
      <alignment horizontal="center"/>
    </xf>
    <xf numFmtId="0" fontId="5" fillId="0" borderId="1" xfId="0" applyFont="1" applyBorder="1" applyAlignment="1">
      <alignment horizontal="center" vertical="center"/>
    </xf>
    <xf numFmtId="0" fontId="3" fillId="18" borderId="0" xfId="0" applyFont="1" applyFill="1" applyAlignment="1">
      <alignment horizontal="center"/>
    </xf>
    <xf numFmtId="0" fontId="0" fillId="0" borderId="1" xfId="0" applyBorder="1" applyAlignment="1">
      <alignment wrapText="1"/>
    </xf>
    <xf numFmtId="0" fontId="0" fillId="0" borderId="1" xfId="0" applyBorder="1" applyAlignment="1">
      <alignment horizontal="center" vertical="center" wrapText="1"/>
    </xf>
    <xf numFmtId="49" fontId="3" fillId="0" borderId="1" xfId="2" applyNumberFormat="1" applyFont="1" applyBorder="1" applyAlignment="1">
      <alignment horizontal="center" vertical="center"/>
    </xf>
    <xf numFmtId="0" fontId="3" fillId="11" borderId="1" xfId="0" applyFont="1" applyFill="1" applyBorder="1" applyAlignment="1">
      <alignment horizontal="center" vertical="center" wrapText="1"/>
    </xf>
    <xf numFmtId="0" fontId="3" fillId="26" borderId="1" xfId="0" applyFont="1" applyFill="1" applyBorder="1" applyAlignment="1">
      <alignment wrapText="1"/>
    </xf>
    <xf numFmtId="0" fontId="5" fillId="0" borderId="1" xfId="0" applyFont="1" applyBorder="1" applyAlignment="1">
      <alignment wrapText="1"/>
    </xf>
    <xf numFmtId="0" fontId="3" fillId="11" borderId="1" xfId="0" applyFont="1" applyFill="1" applyBorder="1" applyAlignment="1">
      <alignment horizontal="center" wrapText="1"/>
    </xf>
    <xf numFmtId="0" fontId="0" fillId="11" borderId="1" xfId="0" applyFill="1" applyBorder="1" applyAlignment="1">
      <alignment horizontal="center" wrapText="1"/>
    </xf>
    <xf numFmtId="0" fontId="5" fillId="11" borderId="1" xfId="0" applyFont="1" applyFill="1" applyBorder="1" applyAlignment="1">
      <alignment horizontal="center" vertical="center" wrapText="1"/>
    </xf>
    <xf numFmtId="0" fontId="74" fillId="0" borderId="0" xfId="0" applyFont="1"/>
    <xf numFmtId="20" fontId="3" fillId="4" borderId="11" xfId="0" applyNumberFormat="1" applyFont="1" applyFill="1" applyBorder="1" applyAlignment="1">
      <alignment horizontal="center" vertical="center" wrapText="1"/>
    </xf>
    <xf numFmtId="0" fontId="3" fillId="14" borderId="1" xfId="0" applyFont="1" applyFill="1" applyBorder="1" applyAlignment="1">
      <alignment horizontal="center" vertical="center" wrapText="1"/>
    </xf>
    <xf numFmtId="49" fontId="0" fillId="0" borderId="2" xfId="0" applyNumberFormat="1" applyFill="1" applyBorder="1" applyAlignment="1">
      <alignment horizontal="center" vertical="center" wrapText="1"/>
    </xf>
    <xf numFmtId="0" fontId="5" fillId="4" borderId="12" xfId="0" applyFont="1" applyFill="1" applyBorder="1" applyAlignment="1">
      <alignment horizontal="center" vertical="center" wrapText="1"/>
    </xf>
    <xf numFmtId="0" fontId="34" fillId="4" borderId="0" xfId="0" applyFont="1" applyFill="1" applyAlignment="1">
      <alignment wrapText="1"/>
    </xf>
    <xf numFmtId="0" fontId="7" fillId="0" borderId="0" xfId="0" applyFont="1"/>
    <xf numFmtId="0" fontId="75" fillId="24" borderId="1" xfId="5" applyFont="1" applyBorder="1" applyAlignment="1">
      <alignment horizontal="center" vertical="center"/>
    </xf>
    <xf numFmtId="1" fontId="75" fillId="24" borderId="1" xfId="5" applyNumberFormat="1" applyFont="1" applyBorder="1" applyAlignment="1">
      <alignment horizontal="center" vertical="center"/>
    </xf>
    <xf numFmtId="0" fontId="76" fillId="18" borderId="1" xfId="5" applyFont="1" applyFill="1" applyBorder="1" applyAlignment="1">
      <alignment horizontal="center" vertical="center"/>
    </xf>
    <xf numFmtId="14" fontId="0" fillId="16" borderId="23" xfId="0" applyNumberFormat="1" applyFill="1" applyBorder="1"/>
    <xf numFmtId="14" fontId="0" fillId="16" borderId="1" xfId="0" applyNumberFormat="1" applyFill="1" applyBorder="1"/>
    <xf numFmtId="14" fontId="0" fillId="16" borderId="20" xfId="0" applyNumberFormat="1" applyFill="1" applyBorder="1"/>
    <xf numFmtId="14" fontId="0" fillId="16" borderId="11" xfId="0" applyNumberFormat="1" applyFill="1" applyBorder="1"/>
    <xf numFmtId="14" fontId="0" fillId="16" borderId="21" xfId="0" applyNumberFormat="1" applyFill="1" applyBorder="1"/>
    <xf numFmtId="2" fontId="69" fillId="0" borderId="1" xfId="0" applyNumberFormat="1" applyFont="1" applyBorder="1" applyAlignment="1">
      <alignment horizontal="center" vertical="center"/>
    </xf>
    <xf numFmtId="0" fontId="3" fillId="4" borderId="2" xfId="0" applyFont="1" applyFill="1" applyBorder="1" applyAlignment="1">
      <alignment wrapText="1"/>
    </xf>
    <xf numFmtId="20" fontId="0" fillId="13" borderId="2" xfId="0" applyNumberFormat="1" applyFill="1" applyBorder="1" applyAlignment="1">
      <alignment horizontal="center" vertical="center" wrapText="1"/>
    </xf>
    <xf numFmtId="0" fontId="5" fillId="0" borderId="1" xfId="0" applyFont="1" applyBorder="1" applyAlignment="1">
      <alignment horizontal="center" vertical="center"/>
    </xf>
    <xf numFmtId="49" fontId="3" fillId="4" borderId="12" xfId="0" applyNumberFormat="1" applyFont="1" applyFill="1" applyBorder="1" applyAlignment="1">
      <alignment horizontal="left" vertical="center" wrapText="1"/>
    </xf>
    <xf numFmtId="49" fontId="3" fillId="12" borderId="2" xfId="0" applyNumberFormat="1" applyFont="1" applyFill="1" applyBorder="1" applyAlignment="1">
      <alignment horizontal="center" vertical="center" wrapText="1"/>
    </xf>
    <xf numFmtId="0" fontId="34" fillId="4" borderId="0" xfId="0" applyFont="1" applyFill="1" applyBorder="1" applyAlignment="1">
      <alignment vertical="center" wrapText="1"/>
    </xf>
    <xf numFmtId="0" fontId="10" fillId="0" borderId="2" xfId="0" applyFont="1" applyBorder="1" applyAlignment="1">
      <alignment horizontal="center" vertical="center" wrapText="1"/>
    </xf>
    <xf numFmtId="0" fontId="34" fillId="4" borderId="0" xfId="0" applyFont="1" applyFill="1" applyBorder="1"/>
    <xf numFmtId="0" fontId="34" fillId="4" borderId="11" xfId="0" applyFont="1" applyFill="1" applyBorder="1" applyAlignment="1">
      <alignment horizontal="left" vertical="center" wrapText="1"/>
    </xf>
    <xf numFmtId="0" fontId="34" fillId="4" borderId="0" xfId="0" applyFont="1" applyFill="1"/>
    <xf numFmtId="1" fontId="69" fillId="0" borderId="1" xfId="0" applyNumberFormat="1" applyFont="1" applyBorder="1" applyAlignment="1">
      <alignment horizontal="center" vertical="center"/>
    </xf>
    <xf numFmtId="0" fontId="3" fillId="0" borderId="0" xfId="0" applyFont="1" applyBorder="1"/>
    <xf numFmtId="0" fontId="3" fillId="0" borderId="0" xfId="0" applyFont="1" applyFill="1" applyBorder="1"/>
    <xf numFmtId="0" fontId="75" fillId="24" borderId="1" xfId="5" applyFont="1" applyBorder="1"/>
    <xf numFmtId="2" fontId="0" fillId="0" borderId="0" xfId="0" applyNumberFormat="1"/>
    <xf numFmtId="0" fontId="2" fillId="0" borderId="0" xfId="0" applyFont="1"/>
    <xf numFmtId="0" fontId="36" fillId="0" borderId="1" xfId="0" applyFont="1" applyBorder="1"/>
    <xf numFmtId="0" fontId="36" fillId="0" borderId="1" xfId="0" applyFont="1" applyBorder="1" applyAlignment="1">
      <alignment horizontal="center"/>
    </xf>
    <xf numFmtId="0" fontId="69" fillId="0" borderId="6" xfId="0" applyFont="1" applyBorder="1" applyAlignment="1">
      <alignment horizontal="center" vertical="center"/>
    </xf>
    <xf numFmtId="0" fontId="70" fillId="24" borderId="3" xfId="5" applyBorder="1" applyAlignment="1">
      <alignment horizontal="center"/>
    </xf>
    <xf numFmtId="167" fontId="70" fillId="24" borderId="3" xfId="5" applyNumberFormat="1" applyBorder="1" applyAlignment="1">
      <alignment horizontal="center"/>
    </xf>
    <xf numFmtId="0" fontId="5" fillId="28" borderId="1" xfId="0" applyFont="1" applyFill="1" applyBorder="1" applyAlignment="1">
      <alignment horizontal="center"/>
    </xf>
    <xf numFmtId="0" fontId="5" fillId="0" borderId="1" xfId="0" applyFont="1" applyBorder="1"/>
    <xf numFmtId="0" fontId="5" fillId="0" borderId="1" xfId="0" applyFont="1" applyFill="1" applyBorder="1"/>
    <xf numFmtId="49" fontId="3" fillId="0" borderId="1" xfId="0" applyNumberFormat="1" applyFont="1" applyFill="1" applyBorder="1" applyAlignment="1">
      <alignment horizontal="center" vertical="center" wrapText="1"/>
    </xf>
    <xf numFmtId="166" fontId="0" fillId="12" borderId="2" xfId="0" applyNumberFormat="1" applyFill="1" applyBorder="1" applyAlignment="1">
      <alignment horizontal="center" vertical="center" wrapText="1"/>
    </xf>
    <xf numFmtId="49" fontId="3" fillId="10" borderId="2" xfId="0" applyNumberFormat="1" applyFont="1" applyFill="1" applyBorder="1" applyAlignment="1">
      <alignment horizontal="left" vertical="center" wrapText="1"/>
    </xf>
    <xf numFmtId="20" fontId="0" fillId="0" borderId="2" xfId="0" applyNumberFormat="1" applyFill="1" applyBorder="1" applyAlignment="1">
      <alignment horizontal="center" vertical="center" wrapText="1"/>
    </xf>
    <xf numFmtId="0" fontId="0" fillId="13" borderId="2" xfId="0" applyNumberFormat="1" applyFill="1" applyBorder="1" applyAlignment="1">
      <alignment horizontal="left" vertical="center" wrapText="1"/>
    </xf>
    <xf numFmtId="0" fontId="0" fillId="0" borderId="1" xfId="0" applyBorder="1" applyAlignment="1">
      <alignment horizontal="center" vertical="center" wrapText="1"/>
    </xf>
    <xf numFmtId="0" fontId="0" fillId="0" borderId="1" xfId="0" applyFill="1" applyBorder="1" applyAlignment="1">
      <alignment horizontal="left" vertical="center" wrapText="1"/>
    </xf>
    <xf numFmtId="0" fontId="0" fillId="8" borderId="1" xfId="0" applyFill="1" applyBorder="1" applyAlignment="1">
      <alignment horizontal="center" vertical="center" wrapText="1"/>
    </xf>
    <xf numFmtId="164" fontId="0" fillId="8" borderId="1" xfId="0" applyNumberFormat="1" applyFill="1" applyBorder="1" applyAlignment="1">
      <alignment horizontal="center" vertical="center" wrapText="1"/>
    </xf>
    <xf numFmtId="0" fontId="3" fillId="8" borderId="1" xfId="0" applyFont="1" applyFill="1" applyBorder="1" applyAlignment="1">
      <alignment horizontal="left" vertical="center" wrapText="1"/>
    </xf>
    <xf numFmtId="0" fontId="0" fillId="10" borderId="1" xfId="0" applyFill="1" applyBorder="1" applyAlignment="1">
      <alignment horizontal="center" vertical="center" wrapText="1"/>
    </xf>
    <xf numFmtId="164" fontId="0" fillId="10" borderId="1" xfId="0" applyNumberFormat="1" applyFill="1" applyBorder="1" applyAlignment="1">
      <alignment horizontal="center" vertical="center" wrapText="1"/>
    </xf>
    <xf numFmtId="0" fontId="3" fillId="10" borderId="1" xfId="0" applyFont="1" applyFill="1" applyBorder="1" applyAlignment="1">
      <alignment horizontal="left" vertical="center" wrapText="1"/>
    </xf>
    <xf numFmtId="0" fontId="10" fillId="10" borderId="1" xfId="0" applyFont="1" applyFill="1" applyBorder="1" applyAlignment="1">
      <alignment horizontal="center" vertical="center" wrapText="1"/>
    </xf>
    <xf numFmtId="20" fontId="0" fillId="10" borderId="1" xfId="0" applyNumberFormat="1" applyFill="1" applyBorder="1" applyAlignment="1">
      <alignment horizontal="center" vertical="center" wrapText="1"/>
    </xf>
    <xf numFmtId="14" fontId="0" fillId="0" borderId="1" xfId="0" applyNumberFormat="1" applyFill="1" applyBorder="1" applyAlignment="1">
      <alignment horizontal="center" vertical="center" wrapText="1"/>
    </xf>
    <xf numFmtId="168" fontId="0" fillId="0" borderId="2" xfId="0" applyNumberFormat="1" applyFill="1" applyBorder="1" applyAlignment="1">
      <alignment horizontal="center" vertical="center" wrapText="1"/>
    </xf>
    <xf numFmtId="166" fontId="0" fillId="8" borderId="2" xfId="0" applyNumberFormat="1" applyFill="1" applyBorder="1" applyAlignment="1">
      <alignment horizontal="center" vertical="center" wrapText="1"/>
    </xf>
    <xf numFmtId="168" fontId="0" fillId="10" borderId="2" xfId="0" applyNumberFormat="1" applyFill="1" applyBorder="1" applyAlignment="1">
      <alignment horizontal="center" vertical="center" wrapText="1"/>
    </xf>
    <xf numFmtId="0" fontId="0" fillId="0" borderId="1" xfId="0" applyBorder="1" applyAlignment="1">
      <alignment horizontal="center"/>
    </xf>
    <xf numFmtId="0" fontId="3" fillId="0" borderId="1" xfId="0" applyFont="1" applyBorder="1" applyAlignment="1">
      <alignment horizontal="center"/>
    </xf>
    <xf numFmtId="0" fontId="30" fillId="21" borderId="6" xfId="0" applyFont="1" applyFill="1" applyBorder="1" applyAlignment="1">
      <alignment horizontal="center" vertical="center"/>
    </xf>
    <xf numFmtId="0" fontId="30" fillId="21" borderId="3" xfId="0" applyFont="1" applyFill="1" applyBorder="1" applyAlignment="1">
      <alignment horizontal="center" vertical="center"/>
    </xf>
    <xf numFmtId="0" fontId="65" fillId="22" borderId="6" xfId="3" applyBorder="1" applyAlignment="1">
      <alignment horizontal="center"/>
    </xf>
    <xf numFmtId="0" fontId="65" fillId="22" borderId="31" xfId="3" applyBorder="1" applyAlignment="1">
      <alignment horizontal="center"/>
    </xf>
    <xf numFmtId="0" fontId="65" fillId="22" borderId="3" xfId="3" applyBorder="1" applyAlignment="1">
      <alignment horizontal="center"/>
    </xf>
    <xf numFmtId="0" fontId="32" fillId="0" borderId="1" xfId="0" applyFont="1" applyBorder="1" applyAlignment="1">
      <alignment horizontal="center"/>
    </xf>
    <xf numFmtId="0" fontId="5" fillId="17" borderId="1" xfId="0" applyFont="1" applyFill="1" applyBorder="1" applyAlignment="1">
      <alignment horizontal="center" vertical="center" wrapText="1"/>
    </xf>
    <xf numFmtId="0" fontId="5" fillId="18" borderId="6" xfId="0" applyFont="1" applyFill="1" applyBorder="1" applyAlignment="1">
      <alignment horizontal="center" vertical="center" wrapText="1"/>
    </xf>
    <xf numFmtId="0" fontId="5" fillId="18" borderId="3"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5" fillId="4" borderId="3" xfId="0" applyFont="1" applyFill="1" applyBorder="1" applyAlignment="1">
      <alignment horizontal="center" vertical="center" wrapText="1"/>
    </xf>
    <xf numFmtId="0" fontId="6" fillId="0" borderId="0" xfId="0" applyFont="1" applyAlignment="1">
      <alignment horizontal="center"/>
    </xf>
    <xf numFmtId="0" fontId="66" fillId="23" borderId="6" xfId="4" applyBorder="1" applyAlignment="1">
      <alignment horizontal="center"/>
    </xf>
    <xf numFmtId="0" fontId="66" fillId="23" borderId="31" xfId="4" applyBorder="1" applyAlignment="1">
      <alignment horizontal="center"/>
    </xf>
    <xf numFmtId="0" fontId="66" fillId="23" borderId="3" xfId="4" applyBorder="1" applyAlignment="1">
      <alignment horizontal="center"/>
    </xf>
    <xf numFmtId="0" fontId="66" fillId="23" borderId="1" xfId="4" applyBorder="1" applyAlignment="1">
      <alignment horizontal="center"/>
    </xf>
    <xf numFmtId="0" fontId="0" fillId="0" borderId="1" xfId="0" applyBorder="1" applyAlignment="1">
      <alignment horizontal="center" vertical="center"/>
    </xf>
    <xf numFmtId="0" fontId="0" fillId="0" borderId="1" xfId="0" applyBorder="1" applyAlignment="1">
      <alignment horizontal="center" vertical="center" wrapText="1"/>
    </xf>
    <xf numFmtId="0" fontId="78" fillId="27" borderId="1" xfId="6" applyFont="1" applyBorder="1" applyAlignment="1">
      <alignment horizontal="center"/>
    </xf>
    <xf numFmtId="0" fontId="5" fillId="5" borderId="6" xfId="0" applyFont="1" applyFill="1" applyBorder="1" applyAlignment="1">
      <alignment horizontal="center" vertical="center" wrapText="1"/>
    </xf>
    <xf numFmtId="0" fontId="5" fillId="5" borderId="3" xfId="0" applyFont="1" applyFill="1" applyBorder="1" applyAlignment="1">
      <alignment horizontal="center" vertical="center" wrapText="1"/>
    </xf>
    <xf numFmtId="0" fontId="7" fillId="0" borderId="0" xfId="0" applyFont="1" applyAlignment="1">
      <alignment horizontal="center" vertical="center"/>
    </xf>
    <xf numFmtId="0" fontId="5" fillId="6" borderId="1" xfId="0" applyFont="1" applyFill="1" applyBorder="1" applyAlignment="1">
      <alignment horizontal="center"/>
    </xf>
    <xf numFmtId="0" fontId="5" fillId="0" borderId="1" xfId="0" applyFont="1" applyBorder="1" applyAlignment="1">
      <alignment horizontal="center" vertical="center"/>
    </xf>
    <xf numFmtId="0" fontId="77" fillId="23" borderId="1" xfId="4" applyFont="1" applyBorder="1" applyAlignment="1">
      <alignment horizontal="center"/>
    </xf>
    <xf numFmtId="0" fontId="5" fillId="7" borderId="1" xfId="0" applyFont="1" applyFill="1" applyBorder="1" applyAlignment="1">
      <alignment horizontal="center" vertical="center"/>
    </xf>
    <xf numFmtId="0" fontId="5" fillId="4" borderId="42" xfId="0" applyFont="1" applyFill="1" applyBorder="1" applyAlignment="1">
      <alignment horizontal="center" vertical="center" wrapText="1"/>
    </xf>
    <xf numFmtId="0" fontId="5" fillId="4" borderId="0" xfId="0" applyFont="1" applyFill="1" applyBorder="1" applyAlignment="1">
      <alignment horizontal="center" vertical="center" wrapText="1"/>
    </xf>
    <xf numFmtId="0" fontId="5" fillId="4" borderId="41" xfId="0" applyFont="1" applyFill="1" applyBorder="1" applyAlignment="1">
      <alignment horizontal="center" vertical="center" wrapText="1"/>
    </xf>
    <xf numFmtId="0" fontId="5" fillId="4" borderId="5" xfId="0" applyFont="1" applyFill="1" applyBorder="1" applyAlignment="1">
      <alignment horizontal="center" vertical="center" wrapText="1"/>
    </xf>
    <xf numFmtId="1" fontId="5" fillId="21" borderId="2" xfId="0" applyNumberFormat="1" applyFont="1" applyFill="1" applyBorder="1" applyAlignment="1">
      <alignment horizontal="right" wrapText="1"/>
    </xf>
    <xf numFmtId="1" fontId="5" fillId="21" borderId="11" xfId="0" applyNumberFormat="1" applyFont="1" applyFill="1" applyBorder="1" applyAlignment="1">
      <alignment horizontal="right" wrapText="1"/>
    </xf>
    <xf numFmtId="0" fontId="5" fillId="21" borderId="2" xfId="0" applyFont="1" applyFill="1" applyBorder="1" applyAlignment="1">
      <alignment horizontal="center" wrapText="1"/>
    </xf>
    <xf numFmtId="0" fontId="5" fillId="21" borderId="11" xfId="0" applyFont="1" applyFill="1" applyBorder="1" applyAlignment="1">
      <alignment horizontal="center" wrapText="1"/>
    </xf>
    <xf numFmtId="0" fontId="5" fillId="21" borderId="34" xfId="0" applyFont="1" applyFill="1" applyBorder="1" applyAlignment="1">
      <alignment horizontal="center" wrapText="1"/>
    </xf>
    <xf numFmtId="0" fontId="5" fillId="21" borderId="4" xfId="0" applyFont="1" applyFill="1" applyBorder="1" applyAlignment="1">
      <alignment horizontal="center" wrapText="1"/>
    </xf>
    <xf numFmtId="0" fontId="5" fillId="21" borderId="41" xfId="0" applyFont="1" applyFill="1" applyBorder="1" applyAlignment="1">
      <alignment horizontal="center" wrapText="1"/>
    </xf>
    <xf numFmtId="0" fontId="5" fillId="21" borderId="40" xfId="0" applyFont="1" applyFill="1" applyBorder="1" applyAlignment="1">
      <alignment horizontal="center" wrapText="1"/>
    </xf>
    <xf numFmtId="0" fontId="5" fillId="16" borderId="1" xfId="0" applyFont="1" applyFill="1" applyBorder="1" applyAlignment="1">
      <alignment horizontal="center" wrapText="1"/>
    </xf>
    <xf numFmtId="1" fontId="5" fillId="16" borderId="1" xfId="0" applyNumberFormat="1" applyFont="1" applyFill="1" applyBorder="1" applyAlignment="1">
      <alignment horizontal="right" wrapText="1"/>
    </xf>
    <xf numFmtId="1" fontId="5" fillId="20" borderId="2" xfId="0" applyNumberFormat="1" applyFont="1" applyFill="1" applyBorder="1" applyAlignment="1">
      <alignment horizontal="right" wrapText="1"/>
    </xf>
    <xf numFmtId="1" fontId="5" fillId="20" borderId="11" xfId="0" applyNumberFormat="1" applyFont="1" applyFill="1" applyBorder="1" applyAlignment="1">
      <alignment horizontal="right" wrapText="1"/>
    </xf>
    <xf numFmtId="0" fontId="5" fillId="16" borderId="34" xfId="0" applyFont="1" applyFill="1" applyBorder="1" applyAlignment="1">
      <alignment horizontal="center" vertical="center" wrapText="1"/>
    </xf>
    <xf numFmtId="0" fontId="5" fillId="16" borderId="35" xfId="0" applyFont="1" applyFill="1" applyBorder="1" applyAlignment="1">
      <alignment horizontal="center" vertical="center" wrapText="1"/>
    </xf>
    <xf numFmtId="0" fontId="5" fillId="16" borderId="4" xfId="0" applyFont="1" applyFill="1" applyBorder="1" applyAlignment="1">
      <alignment horizontal="center" vertical="center" wrapText="1"/>
    </xf>
    <xf numFmtId="0" fontId="5" fillId="16" borderId="42" xfId="0" applyFont="1" applyFill="1" applyBorder="1" applyAlignment="1">
      <alignment horizontal="center" vertical="center" wrapText="1"/>
    </xf>
    <xf numFmtId="0" fontId="5" fillId="16" borderId="0" xfId="0" applyFont="1" applyFill="1" applyBorder="1" applyAlignment="1">
      <alignment horizontal="center" vertical="center" wrapText="1"/>
    </xf>
    <xf numFmtId="0" fontId="5" fillId="16" borderId="43" xfId="0" applyFont="1" applyFill="1" applyBorder="1" applyAlignment="1">
      <alignment horizontal="center" vertical="center" wrapText="1"/>
    </xf>
    <xf numFmtId="0" fontId="5" fillId="16" borderId="41" xfId="0" applyFont="1" applyFill="1" applyBorder="1" applyAlignment="1">
      <alignment horizontal="center" vertical="center" wrapText="1"/>
    </xf>
    <xf numFmtId="0" fontId="5" fillId="16" borderId="5" xfId="0" applyFont="1" applyFill="1" applyBorder="1" applyAlignment="1">
      <alignment horizontal="center" vertical="center" wrapText="1"/>
    </xf>
    <xf numFmtId="0" fontId="5" fillId="20" borderId="1" xfId="0" applyFont="1" applyFill="1" applyBorder="1" applyAlignment="1">
      <alignment horizontal="center" wrapText="1"/>
    </xf>
    <xf numFmtId="1" fontId="5" fillId="20" borderId="1" xfId="0" applyNumberFormat="1" applyFont="1" applyFill="1" applyBorder="1" applyAlignment="1">
      <alignment horizontal="right" wrapText="1"/>
    </xf>
    <xf numFmtId="0" fontId="5" fillId="20" borderId="11" xfId="0" applyFont="1" applyFill="1" applyBorder="1" applyAlignment="1">
      <alignment horizontal="center" wrapText="1"/>
    </xf>
    <xf numFmtId="0" fontId="5" fillId="16" borderId="40" xfId="0" applyFont="1" applyFill="1" applyBorder="1" applyAlignment="1">
      <alignment horizontal="center" vertical="center" wrapText="1"/>
    </xf>
    <xf numFmtId="0" fontId="9" fillId="0" borderId="0" xfId="1" applyFont="1" applyAlignment="1">
      <alignment horizontal="left"/>
    </xf>
    <xf numFmtId="0" fontId="37" fillId="0" borderId="0" xfId="1" applyFont="1" applyBorder="1" applyAlignment="1">
      <alignment horizontal="left" vertical="center"/>
    </xf>
    <xf numFmtId="0" fontId="32" fillId="18" borderId="7" xfId="0" applyFont="1" applyFill="1" applyBorder="1" applyAlignment="1">
      <alignment horizontal="center" vertical="center" wrapText="1"/>
    </xf>
    <xf numFmtId="0" fontId="32" fillId="18" borderId="39" xfId="0" applyFont="1" applyFill="1" applyBorder="1" applyAlignment="1">
      <alignment horizontal="center" vertical="center" wrapText="1"/>
    </xf>
    <xf numFmtId="0" fontId="32" fillId="18" borderId="8" xfId="0" applyFont="1" applyFill="1" applyBorder="1" applyAlignment="1">
      <alignment horizontal="center" vertical="center" wrapText="1"/>
    </xf>
    <xf numFmtId="0" fontId="32" fillId="18" borderId="23" xfId="0" applyFont="1" applyFill="1" applyBorder="1" applyAlignment="1">
      <alignment horizontal="center" vertical="center" wrapText="1"/>
    </xf>
    <xf numFmtId="0" fontId="32" fillId="18" borderId="1" xfId="0" applyFont="1" applyFill="1" applyBorder="1" applyAlignment="1">
      <alignment horizontal="center" vertical="center" wrapText="1"/>
    </xf>
    <xf numFmtId="0" fontId="32" fillId="18" borderId="9" xfId="0" applyFont="1" applyFill="1" applyBorder="1" applyAlignment="1">
      <alignment horizontal="center" vertical="center" wrapText="1"/>
    </xf>
    <xf numFmtId="0" fontId="57" fillId="20" borderId="1" xfId="1" applyFont="1" applyFill="1" applyBorder="1" applyAlignment="1">
      <alignment horizontal="center" wrapText="1"/>
    </xf>
    <xf numFmtId="0" fontId="30" fillId="4" borderId="7" xfId="0" applyFont="1" applyFill="1" applyBorder="1" applyAlignment="1">
      <alignment horizontal="center" vertical="center" wrapText="1"/>
    </xf>
    <xf numFmtId="0" fontId="30" fillId="4" borderId="39" xfId="0" applyFont="1" applyFill="1" applyBorder="1" applyAlignment="1">
      <alignment horizontal="center" vertical="center" wrapText="1"/>
    </xf>
    <xf numFmtId="0" fontId="30" fillId="4" borderId="8" xfId="0" applyFont="1" applyFill="1" applyBorder="1" applyAlignment="1">
      <alignment horizontal="center" vertical="center" wrapText="1"/>
    </xf>
    <xf numFmtId="0" fontId="32" fillId="15" borderId="7" xfId="0" applyFont="1" applyFill="1" applyBorder="1" applyAlignment="1">
      <alignment horizontal="center" vertical="center" wrapText="1"/>
    </xf>
    <xf numFmtId="0" fontId="32" fillId="15" borderId="39" xfId="0" applyFont="1" applyFill="1" applyBorder="1" applyAlignment="1">
      <alignment horizontal="center" vertical="center" wrapText="1"/>
    </xf>
    <xf numFmtId="0" fontId="32" fillId="15" borderId="8" xfId="0" applyFont="1" applyFill="1" applyBorder="1" applyAlignment="1">
      <alignment horizontal="center" vertical="center" wrapText="1"/>
    </xf>
    <xf numFmtId="0" fontId="32" fillId="15" borderId="23" xfId="0" applyFont="1" applyFill="1" applyBorder="1" applyAlignment="1">
      <alignment horizontal="center" vertical="center" wrapText="1"/>
    </xf>
    <xf numFmtId="0" fontId="32" fillId="15" borderId="1" xfId="0" applyFont="1" applyFill="1" applyBorder="1" applyAlignment="1">
      <alignment horizontal="center" vertical="center" wrapText="1"/>
    </xf>
    <xf numFmtId="0" fontId="32" fillId="15" borderId="9" xfId="0" applyFont="1" applyFill="1" applyBorder="1" applyAlignment="1">
      <alignment horizontal="center" vertical="center" wrapText="1"/>
    </xf>
    <xf numFmtId="0" fontId="9" fillId="0" borderId="0" xfId="1" applyFont="1" applyAlignment="1">
      <alignment horizontal="center"/>
    </xf>
    <xf numFmtId="0" fontId="37" fillId="0" borderId="0" xfId="1" applyFont="1" applyBorder="1" applyAlignment="1">
      <alignment horizontal="center" vertical="center"/>
    </xf>
    <xf numFmtId="0" fontId="9" fillId="0" borderId="0" xfId="1" applyFont="1" applyAlignment="1">
      <alignment horizontal="center" wrapText="1"/>
    </xf>
    <xf numFmtId="0" fontId="3" fillId="15" borderId="32" xfId="0" applyFont="1" applyFill="1" applyBorder="1" applyAlignment="1">
      <alignment horizontal="center" wrapText="1"/>
    </xf>
    <xf numFmtId="0" fontId="3" fillId="15" borderId="33" xfId="0" applyFont="1" applyFill="1" applyBorder="1" applyAlignment="1">
      <alignment horizontal="center" wrapText="1"/>
    </xf>
    <xf numFmtId="0" fontId="0" fillId="0" borderId="17" xfId="0" applyBorder="1" applyAlignment="1">
      <alignment horizontal="center"/>
    </xf>
    <xf numFmtId="0" fontId="0" fillId="0" borderId="10" xfId="0" applyBorder="1" applyAlignment="1">
      <alignment horizontal="center"/>
    </xf>
    <xf numFmtId="0" fontId="3" fillId="15" borderId="37" xfId="0" applyFont="1" applyFill="1" applyBorder="1" applyAlignment="1">
      <alignment horizontal="center" wrapText="1"/>
    </xf>
    <xf numFmtId="0" fontId="3" fillId="15" borderId="38" xfId="0" applyFont="1" applyFill="1" applyBorder="1" applyAlignment="1">
      <alignment horizontal="center" wrapText="1"/>
    </xf>
    <xf numFmtId="0" fontId="3" fillId="15" borderId="7" xfId="0" applyFont="1" applyFill="1" applyBorder="1" applyAlignment="1">
      <alignment horizontal="center" wrapText="1"/>
    </xf>
    <xf numFmtId="0" fontId="3" fillId="15" borderId="8" xfId="0" applyFont="1" applyFill="1" applyBorder="1" applyAlignment="1">
      <alignment horizontal="center" wrapText="1"/>
    </xf>
    <xf numFmtId="0" fontId="3" fillId="15" borderId="13" xfId="0" applyFont="1" applyFill="1" applyBorder="1" applyAlignment="1">
      <alignment horizontal="center" vertical="center" wrapText="1"/>
    </xf>
    <xf numFmtId="0" fontId="3" fillId="15" borderId="15" xfId="0" applyFont="1" applyFill="1" applyBorder="1" applyAlignment="1">
      <alignment horizontal="center" vertical="center" wrapText="1"/>
    </xf>
    <xf numFmtId="0" fontId="3" fillId="15" borderId="13" xfId="0" applyFont="1" applyFill="1" applyBorder="1" applyAlignment="1">
      <alignment horizontal="center" wrapText="1"/>
    </xf>
    <xf numFmtId="0" fontId="3" fillId="15" borderId="15" xfId="0" applyFont="1" applyFill="1" applyBorder="1" applyAlignment="1">
      <alignment horizontal="center" wrapText="1"/>
    </xf>
    <xf numFmtId="0" fontId="5" fillId="5" borderId="1" xfId="0" applyFont="1" applyFill="1" applyBorder="1" applyAlignment="1">
      <alignment horizontal="center" vertical="center"/>
    </xf>
    <xf numFmtId="0" fontId="5" fillId="5" borderId="1" xfId="0" applyFont="1" applyFill="1" applyBorder="1" applyAlignment="1">
      <alignment horizontal="center" vertical="center" wrapText="1"/>
    </xf>
    <xf numFmtId="0" fontId="3" fillId="0" borderId="0" xfId="0" applyFont="1" applyAlignment="1">
      <alignment horizontal="center"/>
    </xf>
    <xf numFmtId="0" fontId="9" fillId="16" borderId="6" xfId="1" applyFont="1" applyFill="1" applyBorder="1" applyAlignment="1">
      <alignment horizontal="center"/>
    </xf>
    <xf numFmtId="0" fontId="9" fillId="16" borderId="3" xfId="1" applyFont="1" applyFill="1" applyBorder="1" applyAlignment="1">
      <alignment horizontal="center"/>
    </xf>
    <xf numFmtId="49" fontId="3" fillId="8" borderId="1" xfId="0" applyNumberFormat="1" applyFont="1" applyFill="1" applyBorder="1" applyAlignment="1">
      <alignment horizontal="left" vertical="center" wrapText="1"/>
    </xf>
    <xf numFmtId="0" fontId="3" fillId="8" borderId="34" xfId="0" applyFont="1" applyFill="1" applyBorder="1" applyAlignment="1">
      <alignment horizontal="center" vertical="center" wrapText="1"/>
    </xf>
    <xf numFmtId="49" fontId="3" fillId="13" borderId="2" xfId="0" applyNumberFormat="1" applyFont="1" applyFill="1" applyBorder="1" applyAlignment="1">
      <alignment horizontal="center" vertical="center" wrapText="1"/>
    </xf>
    <xf numFmtId="0" fontId="3" fillId="8" borderId="4" xfId="0" applyFont="1" applyFill="1" applyBorder="1" applyAlignment="1">
      <alignment horizontal="center" vertical="center" wrapText="1"/>
    </xf>
  </cellXfs>
  <cellStyles count="7">
    <cellStyle name="40% - Énfasis4" xfId="6" builtinId="43"/>
    <cellStyle name="Buena" xfId="3" builtinId="26"/>
    <cellStyle name="Incorrecto" xfId="5" builtinId="27"/>
    <cellStyle name="Neutral" xfId="4" builtinId="28"/>
    <cellStyle name="Normal" xfId="0" builtinId="0"/>
    <cellStyle name="Normal 2" xfId="1"/>
    <cellStyle name="Porcentual" xfId="2" builtinId="5"/>
  </cellStyles>
  <dxfs count="435">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font>
    </dxf>
    <dxf>
      <font>
        <b/>
      </font>
    </dxf>
    <dxf>
      <font>
        <b/>
      </font>
    </dxf>
    <dxf>
      <font>
        <sz val="12"/>
      </font>
    </dxf>
    <dxf>
      <font>
        <sz val="12"/>
      </font>
    </dxf>
    <dxf>
      <font>
        <sz val="12"/>
      </font>
    </dxf>
    <dxf>
      <font>
        <sz val="11"/>
      </font>
    </dxf>
    <dxf>
      <font>
        <sz val="14"/>
      </font>
    </dxf>
    <dxf>
      <font>
        <b/>
      </font>
    </dxf>
    <dxf>
      <font>
        <b/>
      </font>
    </dxf>
    <dxf>
      <font>
        <b/>
      </font>
    </dxf>
    <dxf>
      <font>
        <sz val="11"/>
      </font>
    </dxf>
    <dxf>
      <font>
        <sz val="12"/>
      </font>
    </dxf>
    <dxf>
      <font>
        <sz val="12"/>
      </font>
    </dxf>
    <dxf>
      <font>
        <sz val="11"/>
      </font>
    </dxf>
    <dxf>
      <font>
        <sz val="14"/>
      </font>
    </dxf>
    <dxf>
      <font>
        <sz val="11"/>
      </font>
    </dxf>
    <dxf>
      <font>
        <b/>
      </font>
    </dxf>
    <dxf>
      <font>
        <b/>
      </font>
    </dxf>
    <dxf>
      <font>
        <sz val="12"/>
      </font>
    </dxf>
    <dxf>
      <font>
        <sz val="12"/>
      </font>
    </dxf>
    <dxf>
      <font>
        <sz val="11"/>
      </font>
    </dxf>
    <dxf>
      <font>
        <b/>
      </font>
    </dxf>
    <dxf>
      <font>
        <sz val="14"/>
      </font>
    </dxf>
    <dxf>
      <font>
        <b/>
      </font>
    </dxf>
    <dxf>
      <font>
        <b/>
      </font>
    </dxf>
    <dxf>
      <font>
        <b/>
      </font>
    </dxf>
    <dxf>
      <font>
        <sz val="11"/>
      </font>
    </dxf>
    <dxf>
      <font>
        <sz val="12"/>
      </font>
    </dxf>
    <dxf>
      <font>
        <sz val="12"/>
      </font>
    </dxf>
    <dxf>
      <font>
        <sz val="11"/>
      </font>
    </dxf>
    <dxf>
      <font>
        <sz val="14"/>
      </font>
    </dxf>
    <dxf>
      <font>
        <b/>
      </font>
    </dxf>
    <dxf>
      <font>
        <b/>
      </font>
    </dxf>
    <dxf>
      <font>
        <b/>
      </font>
    </dxf>
    <dxf>
      <font>
        <sz val="11"/>
      </font>
    </dxf>
    <dxf>
      <font>
        <sz val="12"/>
      </font>
    </dxf>
    <dxf>
      <font>
        <sz val="12"/>
      </font>
    </dxf>
    <dxf>
      <font>
        <sz val="11"/>
      </font>
    </dxf>
    <dxf>
      <font>
        <sz val="14"/>
      </font>
    </dxf>
    <dxf>
      <font>
        <b/>
      </font>
    </dxf>
    <dxf>
      <font>
        <b/>
      </font>
    </dxf>
    <dxf>
      <font>
        <u val="none"/>
      </font>
    </dxf>
    <dxf>
      <font>
        <sz val="12"/>
      </font>
    </dxf>
    <dxf>
      <font>
        <sz val="12"/>
      </font>
    </dxf>
    <dxf>
      <font>
        <sz val="11"/>
      </font>
    </dxf>
    <dxf>
      <font>
        <sz val="11"/>
      </font>
    </dxf>
    <dxf>
      <font>
        <sz val="14"/>
      </font>
    </dxf>
    <dxf>
      <font>
        <sz val="10"/>
      </font>
    </dxf>
    <dxf>
      <font>
        <color rgb="FF9C0006"/>
      </font>
      <fill>
        <patternFill>
          <fgColor indexed="64"/>
          <bgColor rgb="FFFFC7CE"/>
        </patternFill>
      </fill>
    </dxf>
    <dxf>
      <font>
        <color theme="0"/>
      </font>
      <fill>
        <patternFill patternType="solid">
          <bgColor theme="0"/>
        </patternFill>
      </fill>
      <border>
        <left/>
        <right/>
        <top/>
        <bottom/>
      </border>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s>
  <tableStyles count="0" defaultTableStyle="TableStyleMedium9" defaultPivotStyle="PivotStyleLight16"/>
  <colors>
    <mruColors>
      <color rgb="FFFFFF99"/>
      <color rgb="FFFFFF66"/>
      <color rgb="FF005024"/>
      <color rgb="FFAC0404"/>
      <color rgb="FF993300"/>
      <color rgb="FF622D8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2.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pivotCacheDefinition" Target="pivotCache/pivotCacheDefinition6.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openxmlformats.org/officeDocument/2006/relationships/pivotCacheDefinition" Target="pivotCache/pivotCacheDefinition4.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6"/>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5265;873"/>
  <ax:ocxPr ax:name="MatchEntry" ax:value="1"/>
  <ax:ocxPr ax:name="ShowDropButtonWhen" ax:value="2"/>
  <ax:ocxPr ax:name="Value" ax:value="Dr. Nieva"/>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535;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_rels/chart2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lang val="es-ES"/>
  <c:style val="13"/>
  <c:chart>
    <c:title>
      <c:tx>
        <c:rich>
          <a:bodyPr/>
          <a:lstStyle/>
          <a:p>
            <a:pPr>
              <a:defRPr sz="1600"/>
            </a:pPr>
            <a:r>
              <a:rPr lang="es-ES" sz="1600"/>
              <a:t>Promedio</a:t>
            </a:r>
            <a:r>
              <a:rPr lang="es-ES" sz="1600" baseline="0"/>
              <a:t> de ingreso p/turno</a:t>
            </a:r>
            <a:endParaRPr lang="es-ES" sz="1600"/>
          </a:p>
        </c:rich>
      </c:tx>
    </c:title>
    <c:plotArea>
      <c:layout/>
      <c:barChart>
        <c:barDir val="col"/>
        <c:grouping val="clustered"/>
        <c:ser>
          <c:idx val="0"/>
          <c:order val="0"/>
          <c:dLbls>
            <c:dLblPos val="inEnd"/>
            <c:showVal val="1"/>
          </c:dLbls>
          <c:cat>
            <c:strRef>
              <c:f>ESTADISTICAS!$A$116:$A$123</c:f>
              <c:strCache>
                <c:ptCount val="8"/>
                <c:pt idx="0">
                  <c:v>GAR 1</c:v>
                </c:pt>
                <c:pt idx="1">
                  <c:v>GAR 2</c:v>
                </c:pt>
                <c:pt idx="2">
                  <c:v>GAR 3</c:v>
                </c:pt>
                <c:pt idx="3">
                  <c:v>GAR 4</c:v>
                </c:pt>
                <c:pt idx="4">
                  <c:v>GAR 5</c:v>
                </c:pt>
                <c:pt idx="5">
                  <c:v>GAR 6</c:v>
                </c:pt>
                <c:pt idx="6">
                  <c:v>GAR 7</c:v>
                </c:pt>
                <c:pt idx="7">
                  <c:v>GAR 8</c:v>
                </c:pt>
              </c:strCache>
            </c:strRef>
          </c:cat>
          <c:val>
            <c:numRef>
              <c:f>ESTADISTICAS!$B$116:$B$123</c:f>
              <c:numCache>
                <c:formatCode>0</c:formatCode>
                <c:ptCount val="8"/>
                <c:pt idx="0">
                  <c:v>49.333333333333336</c:v>
                </c:pt>
                <c:pt idx="1">
                  <c:v>57</c:v>
                </c:pt>
                <c:pt idx="2">
                  <c:v>82.25</c:v>
                </c:pt>
                <c:pt idx="3">
                  <c:v>82.25</c:v>
                </c:pt>
                <c:pt idx="4">
                  <c:v>56.75</c:v>
                </c:pt>
                <c:pt idx="5">
                  <c:v>44</c:v>
                </c:pt>
                <c:pt idx="6">
                  <c:v>66.25</c:v>
                </c:pt>
                <c:pt idx="7">
                  <c:v>59.75</c:v>
                </c:pt>
              </c:numCache>
            </c:numRef>
          </c:val>
        </c:ser>
        <c:gapWidth val="75"/>
        <c:overlap val="40"/>
        <c:axId val="129582976"/>
        <c:axId val="161907840"/>
      </c:barChart>
      <c:catAx>
        <c:axId val="129582976"/>
        <c:scaling>
          <c:orientation val="minMax"/>
        </c:scaling>
        <c:axPos val="b"/>
        <c:majorTickMark val="none"/>
        <c:tickLblPos val="nextTo"/>
        <c:crossAx val="161907840"/>
        <c:crosses val="autoZero"/>
        <c:auto val="1"/>
        <c:lblAlgn val="ctr"/>
        <c:lblOffset val="100"/>
      </c:catAx>
      <c:valAx>
        <c:axId val="161907840"/>
        <c:scaling>
          <c:orientation val="minMax"/>
        </c:scaling>
        <c:axPos val="l"/>
        <c:majorGridlines/>
        <c:numFmt formatCode="0" sourceLinked="1"/>
        <c:majorTickMark val="none"/>
        <c:tickLblPos val="nextTo"/>
        <c:crossAx val="129582976"/>
        <c:crosses val="autoZero"/>
        <c:crossBetween val="between"/>
      </c:valAx>
    </c:plotArea>
    <c:plotVisOnly val="1"/>
  </c:chart>
  <c:printSettings>
    <c:headerFooter/>
    <c:pageMargins b="0.75000000000000178" l="0.70000000000000062" r="0.70000000000000062" t="0.7500000000000017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a:t>Relación</a:t>
            </a:r>
            <a:r>
              <a:rPr lang="es-ES" baseline="0"/>
              <a:t> preventivas ingresadas/resueltas</a:t>
            </a:r>
            <a:endParaRPr lang="es-ES"/>
          </a:p>
        </c:rich>
      </c:tx>
    </c:title>
    <c:plotArea>
      <c:layout/>
      <c:barChart>
        <c:barDir val="bar"/>
        <c:grouping val="clustered"/>
        <c:ser>
          <c:idx val="1"/>
          <c:order val="0"/>
          <c:tx>
            <c:v>Resueltas</c:v>
          </c:tx>
          <c:spPr>
            <a:solidFill>
              <a:schemeClr val="accent3">
                <a:lumMod val="60000"/>
                <a:lumOff val="40000"/>
              </a:schemeClr>
            </a:solidFill>
          </c:spPr>
          <c:dLbls>
            <c:dLblPos val="inEnd"/>
            <c:showVal val="1"/>
          </c:dLbls>
          <c:cat>
            <c:strRef>
              <c:f>ESTADISTICAS!$A$116:$A$123</c:f>
              <c:strCache>
                <c:ptCount val="8"/>
                <c:pt idx="0">
                  <c:v>GAR 1</c:v>
                </c:pt>
                <c:pt idx="1">
                  <c:v>GAR 2</c:v>
                </c:pt>
                <c:pt idx="2">
                  <c:v>GAR 3</c:v>
                </c:pt>
                <c:pt idx="3">
                  <c:v>GAR 4</c:v>
                </c:pt>
                <c:pt idx="4">
                  <c:v>GAR 5</c:v>
                </c:pt>
                <c:pt idx="5">
                  <c:v>GAR 6</c:v>
                </c:pt>
                <c:pt idx="6">
                  <c:v>GAR 7</c:v>
                </c:pt>
                <c:pt idx="7">
                  <c:v>GAR 8</c:v>
                </c:pt>
              </c:strCache>
            </c:strRef>
          </c:cat>
          <c:val>
            <c:numRef>
              <c:f>ESTADISTICAS!$D$116:$D$123</c:f>
              <c:numCache>
                <c:formatCode>General</c:formatCode>
                <c:ptCount val="8"/>
                <c:pt idx="0">
                  <c:v>186</c:v>
                </c:pt>
                <c:pt idx="1">
                  <c:v>264</c:v>
                </c:pt>
                <c:pt idx="2">
                  <c:v>228</c:v>
                </c:pt>
                <c:pt idx="3">
                  <c:v>262</c:v>
                </c:pt>
                <c:pt idx="4">
                  <c:v>0</c:v>
                </c:pt>
                <c:pt idx="5">
                  <c:v>68</c:v>
                </c:pt>
                <c:pt idx="6">
                  <c:v>206</c:v>
                </c:pt>
                <c:pt idx="7">
                  <c:v>254</c:v>
                </c:pt>
              </c:numCache>
            </c:numRef>
          </c:val>
        </c:ser>
        <c:ser>
          <c:idx val="0"/>
          <c:order val="1"/>
          <c:tx>
            <c:v>Ingresos</c:v>
          </c:tx>
          <c:spPr>
            <a:solidFill>
              <a:schemeClr val="accent6">
                <a:lumMod val="75000"/>
              </a:schemeClr>
            </a:solidFill>
          </c:spPr>
          <c:dLbls>
            <c:dLblPos val="inEnd"/>
            <c:showVal val="1"/>
          </c:dLbls>
          <c:cat>
            <c:strRef>
              <c:f>ESTADISTICAS!$A$116:$A$123</c:f>
              <c:strCache>
                <c:ptCount val="8"/>
                <c:pt idx="0">
                  <c:v>GAR 1</c:v>
                </c:pt>
                <c:pt idx="1">
                  <c:v>GAR 2</c:v>
                </c:pt>
                <c:pt idx="2">
                  <c:v>GAR 3</c:v>
                </c:pt>
                <c:pt idx="3">
                  <c:v>GAR 4</c:v>
                </c:pt>
                <c:pt idx="4">
                  <c:v>GAR 5</c:v>
                </c:pt>
                <c:pt idx="5">
                  <c:v>GAR 6</c:v>
                </c:pt>
                <c:pt idx="6">
                  <c:v>GAR 7</c:v>
                </c:pt>
                <c:pt idx="7">
                  <c:v>GAR 8</c:v>
                </c:pt>
              </c:strCache>
            </c:strRef>
          </c:cat>
          <c:val>
            <c:numRef>
              <c:f>ESTADISTICAS!$C$116:$C$123</c:f>
              <c:numCache>
                <c:formatCode>General</c:formatCode>
                <c:ptCount val="8"/>
                <c:pt idx="0">
                  <c:v>148</c:v>
                </c:pt>
                <c:pt idx="1">
                  <c:v>228</c:v>
                </c:pt>
                <c:pt idx="2">
                  <c:v>342</c:v>
                </c:pt>
                <c:pt idx="3">
                  <c:v>329</c:v>
                </c:pt>
                <c:pt idx="4">
                  <c:v>227</c:v>
                </c:pt>
                <c:pt idx="5">
                  <c:v>176</c:v>
                </c:pt>
                <c:pt idx="6">
                  <c:v>265</c:v>
                </c:pt>
                <c:pt idx="7">
                  <c:v>239</c:v>
                </c:pt>
              </c:numCache>
            </c:numRef>
          </c:val>
        </c:ser>
        <c:gapWidth val="75"/>
        <c:overlap val="40"/>
        <c:axId val="161929088"/>
        <c:axId val="161930624"/>
      </c:barChart>
      <c:catAx>
        <c:axId val="161929088"/>
        <c:scaling>
          <c:orientation val="minMax"/>
        </c:scaling>
        <c:axPos val="l"/>
        <c:majorTickMark val="none"/>
        <c:tickLblPos val="nextTo"/>
        <c:crossAx val="161930624"/>
        <c:crosses val="autoZero"/>
        <c:auto val="1"/>
        <c:lblAlgn val="ctr"/>
        <c:lblOffset val="100"/>
      </c:catAx>
      <c:valAx>
        <c:axId val="161930624"/>
        <c:scaling>
          <c:orientation val="minMax"/>
        </c:scaling>
        <c:axPos val="b"/>
        <c:majorGridlines/>
        <c:numFmt formatCode="General" sourceLinked="1"/>
        <c:majorTickMark val="none"/>
        <c:tickLblPos val="nextTo"/>
        <c:crossAx val="161929088"/>
        <c:crosses val="autoZero"/>
        <c:crossBetween val="between"/>
      </c:valAx>
    </c:plotArea>
    <c:legend>
      <c:legendPos val="r"/>
    </c:legend>
    <c:plotVisOnly val="1"/>
    <c:dispBlanksAs val="gap"/>
  </c:chart>
  <c:printSettings>
    <c:headerFooter/>
    <c:pageMargins b="0.750000000000001" l="0.70000000000000062" r="0.70000000000000062" t="0.75000000000000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a:t>Relación requerimientos</a:t>
            </a:r>
            <a:r>
              <a:rPr lang="es-ES" baseline="0"/>
              <a:t> ingresados/elevados</a:t>
            </a:r>
            <a:endParaRPr lang="es-ES"/>
          </a:p>
        </c:rich>
      </c:tx>
    </c:title>
    <c:plotArea>
      <c:layout/>
      <c:barChart>
        <c:barDir val="bar"/>
        <c:grouping val="clustered"/>
        <c:ser>
          <c:idx val="1"/>
          <c:order val="0"/>
          <c:tx>
            <c:v>Elevaciones</c:v>
          </c:tx>
          <c:spPr>
            <a:solidFill>
              <a:schemeClr val="accent5">
                <a:lumMod val="60000"/>
                <a:lumOff val="40000"/>
              </a:schemeClr>
            </a:solidFill>
          </c:spPr>
          <c:dLbls>
            <c:dLblPos val="inEnd"/>
            <c:showVal val="1"/>
          </c:dLbls>
          <c:cat>
            <c:strRef>
              <c:f>ESTADISTICAS!$A$116:$A$123</c:f>
              <c:strCache>
                <c:ptCount val="8"/>
                <c:pt idx="0">
                  <c:v>GAR 1</c:v>
                </c:pt>
                <c:pt idx="1">
                  <c:v>GAR 2</c:v>
                </c:pt>
                <c:pt idx="2">
                  <c:v>GAR 3</c:v>
                </c:pt>
                <c:pt idx="3">
                  <c:v>GAR 4</c:v>
                </c:pt>
                <c:pt idx="4">
                  <c:v>GAR 5</c:v>
                </c:pt>
                <c:pt idx="5">
                  <c:v>GAR 6</c:v>
                </c:pt>
                <c:pt idx="6">
                  <c:v>GAR 7</c:v>
                </c:pt>
                <c:pt idx="7">
                  <c:v>GAR 8</c:v>
                </c:pt>
              </c:strCache>
            </c:strRef>
          </c:cat>
          <c:val>
            <c:numRef>
              <c:f>ESTADISTICAS!$F$116:$F$123</c:f>
              <c:numCache>
                <c:formatCode>General</c:formatCode>
                <c:ptCount val="8"/>
                <c:pt idx="0">
                  <c:v>32</c:v>
                </c:pt>
                <c:pt idx="1">
                  <c:v>26</c:v>
                </c:pt>
                <c:pt idx="2">
                  <c:v>24</c:v>
                </c:pt>
                <c:pt idx="3">
                  <c:v>31</c:v>
                </c:pt>
                <c:pt idx="4">
                  <c:v>20</c:v>
                </c:pt>
                <c:pt idx="5">
                  <c:v>27</c:v>
                </c:pt>
                <c:pt idx="6">
                  <c:v>30</c:v>
                </c:pt>
                <c:pt idx="7">
                  <c:v>1</c:v>
                </c:pt>
              </c:numCache>
            </c:numRef>
          </c:val>
        </c:ser>
        <c:ser>
          <c:idx val="0"/>
          <c:order val="1"/>
          <c:tx>
            <c:v>Ingresos</c:v>
          </c:tx>
          <c:spPr>
            <a:solidFill>
              <a:schemeClr val="accent4">
                <a:lumMod val="75000"/>
              </a:schemeClr>
            </a:solidFill>
          </c:spPr>
          <c:dLbls>
            <c:txPr>
              <a:bodyPr/>
              <a:lstStyle/>
              <a:p>
                <a:pPr>
                  <a:defRPr>
                    <a:solidFill>
                      <a:sysClr val="windowText" lastClr="000000"/>
                    </a:solidFill>
                  </a:defRPr>
                </a:pPr>
                <a:endParaRPr lang="es-ES"/>
              </a:p>
            </c:txPr>
            <c:dLblPos val="outEnd"/>
            <c:showVal val="1"/>
          </c:dLbls>
          <c:cat>
            <c:strRef>
              <c:f>ESTADISTICAS!$A$116:$A$123</c:f>
              <c:strCache>
                <c:ptCount val="8"/>
                <c:pt idx="0">
                  <c:v>GAR 1</c:v>
                </c:pt>
                <c:pt idx="1">
                  <c:v>GAR 2</c:v>
                </c:pt>
                <c:pt idx="2">
                  <c:v>GAR 3</c:v>
                </c:pt>
                <c:pt idx="3">
                  <c:v>GAR 4</c:v>
                </c:pt>
                <c:pt idx="4">
                  <c:v>GAR 5</c:v>
                </c:pt>
                <c:pt idx="5">
                  <c:v>GAR 6</c:v>
                </c:pt>
                <c:pt idx="6">
                  <c:v>GAR 7</c:v>
                </c:pt>
                <c:pt idx="7">
                  <c:v>GAR 8</c:v>
                </c:pt>
              </c:strCache>
            </c:strRef>
          </c:cat>
          <c:val>
            <c:numRef>
              <c:f>ESTADISTICAS!$E$116:$E$123</c:f>
              <c:numCache>
                <c:formatCode>General</c:formatCode>
                <c:ptCount val="8"/>
                <c:pt idx="0">
                  <c:v>64</c:v>
                </c:pt>
                <c:pt idx="1">
                  <c:v>132</c:v>
                </c:pt>
                <c:pt idx="2">
                  <c:v>175</c:v>
                </c:pt>
                <c:pt idx="3">
                  <c:v>207</c:v>
                </c:pt>
                <c:pt idx="4">
                  <c:v>106</c:v>
                </c:pt>
                <c:pt idx="5">
                  <c:v>186</c:v>
                </c:pt>
                <c:pt idx="6">
                  <c:v>120</c:v>
                </c:pt>
                <c:pt idx="7">
                  <c:v>7</c:v>
                </c:pt>
              </c:numCache>
            </c:numRef>
          </c:val>
        </c:ser>
        <c:axId val="162678656"/>
        <c:axId val="162680192"/>
      </c:barChart>
      <c:catAx>
        <c:axId val="162678656"/>
        <c:scaling>
          <c:orientation val="minMax"/>
        </c:scaling>
        <c:axPos val="l"/>
        <c:tickLblPos val="nextTo"/>
        <c:crossAx val="162680192"/>
        <c:crosses val="autoZero"/>
        <c:auto val="1"/>
        <c:lblAlgn val="ctr"/>
        <c:lblOffset val="100"/>
      </c:catAx>
      <c:valAx>
        <c:axId val="162680192"/>
        <c:scaling>
          <c:orientation val="minMax"/>
        </c:scaling>
        <c:axPos val="b"/>
        <c:majorGridlines/>
        <c:numFmt formatCode="General" sourceLinked="1"/>
        <c:tickLblPos val="nextTo"/>
        <c:crossAx val="162678656"/>
        <c:crosses val="autoZero"/>
        <c:crossBetween val="between"/>
      </c:valAx>
    </c:plotArea>
    <c:legend>
      <c:legendPos val="r"/>
    </c:legend>
    <c:plotVisOnly val="1"/>
  </c:chart>
  <c:printSettings>
    <c:headerFooter/>
    <c:pageMargins b="0.750000000000001" l="0.70000000000000062" r="0.70000000000000062" t="0.75000000000000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Audiencias resueltas por</a:t>
            </a:r>
            <a:r>
              <a:rPr lang="es-ES" baseline="0"/>
              <a:t> Juez</a:t>
            </a:r>
            <a:endParaRPr lang="es-ES"/>
          </a:p>
        </c:rich>
      </c:tx>
    </c:title>
    <c:plotArea>
      <c:layout/>
      <c:pieChart>
        <c:varyColors val="1"/>
        <c:ser>
          <c:idx val="0"/>
          <c:order val="0"/>
          <c:dLbls>
            <c:numFmt formatCode="0.0%" sourceLinked="0"/>
            <c:txPr>
              <a:bodyPr/>
              <a:lstStyle/>
              <a:p>
                <a:pPr>
                  <a:defRPr lang="es-ES"/>
                </a:pPr>
                <a:endParaRPr lang="es-ES"/>
              </a:p>
            </c:txPr>
            <c:showPercent val="1"/>
            <c:showLeaderLines val="1"/>
          </c:dLbls>
          <c:cat>
            <c:strRef>
              <c:f>'Exp por Jueces'!$K$55:$K$57</c:f>
              <c:strCache>
                <c:ptCount val="3"/>
                <c:pt idx="0">
                  <c:v>Jueces de Garantías</c:v>
                </c:pt>
                <c:pt idx="1">
                  <c:v>Jueces de Juicio</c:v>
                </c:pt>
                <c:pt idx="2">
                  <c:v>Jueces e Impugnación</c:v>
                </c:pt>
              </c:strCache>
            </c:strRef>
          </c:cat>
          <c:val>
            <c:numRef>
              <c:f>'Exp por Jueces'!$L$55:$L$57</c:f>
              <c:numCache>
                <c:formatCode>General</c:formatCode>
                <c:ptCount val="3"/>
                <c:pt idx="0">
                  <c:v>1123</c:v>
                </c:pt>
                <c:pt idx="1">
                  <c:v>283</c:v>
                </c:pt>
                <c:pt idx="2">
                  <c:v>18</c:v>
                </c:pt>
              </c:numCache>
            </c:numRef>
          </c:val>
        </c:ser>
        <c:dLbls>
          <c:showPercent val="1"/>
        </c:dLbls>
        <c:firstSliceAng val="0"/>
      </c:pieChart>
    </c:plotArea>
    <c:legend>
      <c:legendPos val="r"/>
      <c:txPr>
        <a:bodyPr/>
        <a:lstStyle/>
        <a:p>
          <a:pPr rtl="0">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a:t>Resueltas</a:t>
            </a:r>
            <a:r>
              <a:rPr lang="es-ES" baseline="0"/>
              <a:t> por Juez de Garantías</a:t>
            </a:r>
            <a:endParaRPr lang="es-ES"/>
          </a:p>
        </c:rich>
      </c:tx>
      <c:layout>
        <c:manualLayout>
          <c:xMode val="edge"/>
          <c:yMode val="edge"/>
          <c:x val="0.10636363636363669"/>
          <c:y val="2.7777777777777936E-2"/>
        </c:manualLayout>
      </c:layout>
    </c:title>
    <c:plotArea>
      <c:layout/>
      <c:pieChart>
        <c:varyColors val="1"/>
        <c:ser>
          <c:idx val="0"/>
          <c:order val="0"/>
          <c:dLbls>
            <c:showPercent val="1"/>
          </c:dLbls>
          <c:cat>
            <c:strRef>
              <c:f>'Exp por Jueces'!$B$59:$B$65</c:f>
              <c:strCache>
                <c:ptCount val="7"/>
                <c:pt idx="0">
                  <c:v>Dr. Pastrana</c:v>
                </c:pt>
                <c:pt idx="1">
                  <c:v>Dr. Colombo</c:v>
                </c:pt>
                <c:pt idx="2">
                  <c:v>Dr. Rodriguez Pipino</c:v>
                </c:pt>
                <c:pt idx="3">
                  <c:v>Dra. Puertas</c:v>
                </c:pt>
                <c:pt idx="4">
                  <c:v>Dra. Zunino</c:v>
                </c:pt>
                <c:pt idx="5">
                  <c:v>Dra. Espeche</c:v>
                </c:pt>
                <c:pt idx="6">
                  <c:v>Dr. Zerdan</c:v>
                </c:pt>
              </c:strCache>
            </c:strRef>
          </c:cat>
          <c:val>
            <c:numRef>
              <c:f>'Exp por Jueces'!$C$59:$C$65</c:f>
              <c:numCache>
                <c:formatCode>General</c:formatCode>
                <c:ptCount val="7"/>
                <c:pt idx="0">
                  <c:v>245</c:v>
                </c:pt>
                <c:pt idx="1">
                  <c:v>274</c:v>
                </c:pt>
                <c:pt idx="2">
                  <c:v>276</c:v>
                </c:pt>
                <c:pt idx="3">
                  <c:v>280</c:v>
                </c:pt>
                <c:pt idx="4">
                  <c:v>200</c:v>
                </c:pt>
                <c:pt idx="5">
                  <c:v>73</c:v>
                </c:pt>
                <c:pt idx="6">
                  <c:v>223</c:v>
                </c:pt>
              </c:numCache>
            </c:numRef>
          </c:val>
        </c:ser>
        <c:dLbls>
          <c:showPercent val="1"/>
        </c:dLbls>
        <c:firstSliceAng val="0"/>
      </c:pieChart>
    </c:plotArea>
    <c:legend>
      <c:legendPos val="r"/>
      <c:txPr>
        <a:bodyPr/>
        <a:lstStyle/>
        <a:p>
          <a:pPr rtl="0">
            <a:defRPr/>
          </a:pPr>
          <a:endParaRPr lang="es-ES"/>
        </a:p>
      </c:txPr>
    </c:legend>
    <c:plotVisOnly val="1"/>
  </c:chart>
  <c:printSettings>
    <c:headerFooter/>
    <c:pageMargins b="0.75000000000000167" l="0.70000000000000062" r="0.70000000000000062" t="0.75000000000000167"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21"/>
  <c:chart>
    <c:title>
      <c:tx>
        <c:rich>
          <a:bodyPr/>
          <a:lstStyle/>
          <a:p>
            <a:pPr>
              <a:defRPr lang="es-ES"/>
            </a:pPr>
            <a:r>
              <a:rPr lang="en-US"/>
              <a:t>Promedio de preventivas x quincena</a:t>
            </a:r>
          </a:p>
        </c:rich>
      </c:tx>
    </c:title>
    <c:plotArea>
      <c:layout/>
      <c:lineChart>
        <c:grouping val="standard"/>
        <c:ser>
          <c:idx val="0"/>
          <c:order val="0"/>
          <c:tx>
            <c:v>Prev.</c:v>
          </c:tx>
          <c:marker>
            <c:symbol val="none"/>
          </c:marker>
          <c:cat>
            <c:strRef>
              <c:f>'[4]Prev. diarias'!$N$7:$N$18</c:f>
              <c:strCache>
                <c:ptCount val="12"/>
                <c:pt idx="0">
                  <c:v>1ra Febr.</c:v>
                </c:pt>
                <c:pt idx="1">
                  <c:v>2da Febr.</c:v>
                </c:pt>
                <c:pt idx="2">
                  <c:v>1ra Mar.</c:v>
                </c:pt>
                <c:pt idx="3">
                  <c:v>2da Mar.</c:v>
                </c:pt>
                <c:pt idx="4">
                  <c:v>1ra  Abr.</c:v>
                </c:pt>
                <c:pt idx="5">
                  <c:v>2da Abr.</c:v>
                </c:pt>
                <c:pt idx="6">
                  <c:v>1ra May.</c:v>
                </c:pt>
                <c:pt idx="7">
                  <c:v>2da May.</c:v>
                </c:pt>
                <c:pt idx="8">
                  <c:v>1ra. Jun.</c:v>
                </c:pt>
                <c:pt idx="9">
                  <c:v>2da Jun.</c:v>
                </c:pt>
                <c:pt idx="10">
                  <c:v>1ra Jul.</c:v>
                </c:pt>
                <c:pt idx="11">
                  <c:v>2da Jul.</c:v>
                </c:pt>
              </c:strCache>
            </c:strRef>
          </c:cat>
          <c:val>
            <c:numRef>
              <c:f>'Prev. diarias'!$Q$8:$Q$17</c:f>
              <c:numCache>
                <c:formatCode>0</c:formatCode>
                <c:ptCount val="10"/>
                <c:pt idx="0" formatCode="General">
                  <c:v>13</c:v>
                </c:pt>
                <c:pt idx="1">
                  <c:v>8</c:v>
                </c:pt>
                <c:pt idx="2">
                  <c:v>9</c:v>
                </c:pt>
                <c:pt idx="3">
                  <c:v>11</c:v>
                </c:pt>
                <c:pt idx="4">
                  <c:v>12</c:v>
                </c:pt>
                <c:pt idx="5">
                  <c:v>9.3000000000000007</c:v>
                </c:pt>
              </c:numCache>
            </c:numRef>
          </c:val>
        </c:ser>
        <c:marker val="1"/>
        <c:axId val="167405824"/>
        <c:axId val="113528832"/>
      </c:lineChart>
      <c:catAx>
        <c:axId val="167405824"/>
        <c:scaling>
          <c:orientation val="minMax"/>
        </c:scaling>
        <c:axPos val="b"/>
        <c:majorTickMark val="none"/>
        <c:tickLblPos val="nextTo"/>
        <c:txPr>
          <a:bodyPr/>
          <a:lstStyle/>
          <a:p>
            <a:pPr>
              <a:defRPr lang="es-ES"/>
            </a:pPr>
            <a:endParaRPr lang="es-ES"/>
          </a:p>
        </c:txPr>
        <c:crossAx val="113528832"/>
        <c:crosses val="autoZero"/>
        <c:auto val="1"/>
        <c:lblAlgn val="ctr"/>
        <c:lblOffset val="100"/>
      </c:catAx>
      <c:valAx>
        <c:axId val="113528832"/>
        <c:scaling>
          <c:orientation val="minMax"/>
        </c:scaling>
        <c:axPos val="l"/>
        <c:majorGridlines>
          <c:spPr>
            <a:ln>
              <a:solidFill>
                <a:schemeClr val="accent1"/>
              </a:solidFill>
            </a:ln>
          </c:spPr>
        </c:majorGridlines>
        <c:minorGridlines/>
        <c:numFmt formatCode="General" sourceLinked="1"/>
        <c:majorTickMark val="none"/>
        <c:tickLblPos val="nextTo"/>
        <c:txPr>
          <a:bodyPr/>
          <a:lstStyle/>
          <a:p>
            <a:pPr>
              <a:defRPr lang="es-ES"/>
            </a:pPr>
            <a:endParaRPr lang="es-ES"/>
          </a:p>
        </c:txPr>
        <c:crossAx val="167405824"/>
        <c:crosses val="autoZero"/>
        <c:crossBetween val="between"/>
        <c:minorUnit val="1"/>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18"/>
  <c:chart>
    <c:title>
      <c:tx>
        <c:rich>
          <a:bodyPr/>
          <a:lstStyle/>
          <a:p>
            <a:pPr>
              <a:defRPr lang="es-ES"/>
            </a:pPr>
            <a:r>
              <a:rPr lang="en-US"/>
              <a:t>Promedio de requerimientos x quincena</a:t>
            </a:r>
          </a:p>
        </c:rich>
      </c:tx>
    </c:title>
    <c:plotArea>
      <c:layout/>
      <c:lineChart>
        <c:grouping val="standard"/>
        <c:ser>
          <c:idx val="0"/>
          <c:order val="0"/>
          <c:tx>
            <c:v>Req.</c:v>
          </c:tx>
          <c:marker>
            <c:symbol val="none"/>
          </c:marker>
          <c:cat>
            <c:strRef>
              <c:f>'Prev. diarias'!$P$33:$P$41</c:f>
              <c:strCache>
                <c:ptCount val="9"/>
                <c:pt idx="0">
                  <c:v>2da Febr.</c:v>
                </c:pt>
                <c:pt idx="1">
                  <c:v>1ra Mar.</c:v>
                </c:pt>
                <c:pt idx="2">
                  <c:v>2da Mar.</c:v>
                </c:pt>
                <c:pt idx="3">
                  <c:v>1ra  Abr.</c:v>
                </c:pt>
                <c:pt idx="4">
                  <c:v>2da Abr.</c:v>
                </c:pt>
                <c:pt idx="5">
                  <c:v>1ra May.</c:v>
                </c:pt>
                <c:pt idx="6">
                  <c:v>2da May.</c:v>
                </c:pt>
                <c:pt idx="7">
                  <c:v>1ra. Jun.</c:v>
                </c:pt>
                <c:pt idx="8">
                  <c:v>2da Jun.</c:v>
                </c:pt>
              </c:strCache>
            </c:strRef>
          </c:cat>
          <c:val>
            <c:numRef>
              <c:f>'Prev. diarias'!$Q$33:$Q$41</c:f>
              <c:numCache>
                <c:formatCode>0</c:formatCode>
                <c:ptCount val="9"/>
                <c:pt idx="0" formatCode="General">
                  <c:v>7</c:v>
                </c:pt>
                <c:pt idx="1">
                  <c:v>5</c:v>
                </c:pt>
                <c:pt idx="2" formatCode="General">
                  <c:v>4</c:v>
                </c:pt>
                <c:pt idx="3">
                  <c:v>7</c:v>
                </c:pt>
                <c:pt idx="4">
                  <c:v>8.625</c:v>
                </c:pt>
              </c:numCache>
            </c:numRef>
          </c:val>
        </c:ser>
        <c:marker val="1"/>
        <c:axId val="113570560"/>
        <c:axId val="113572096"/>
      </c:lineChart>
      <c:catAx>
        <c:axId val="113570560"/>
        <c:scaling>
          <c:orientation val="minMax"/>
        </c:scaling>
        <c:axPos val="b"/>
        <c:majorTickMark val="none"/>
        <c:tickLblPos val="nextTo"/>
        <c:txPr>
          <a:bodyPr/>
          <a:lstStyle/>
          <a:p>
            <a:pPr>
              <a:defRPr lang="es-ES"/>
            </a:pPr>
            <a:endParaRPr lang="es-ES"/>
          </a:p>
        </c:txPr>
        <c:crossAx val="113572096"/>
        <c:crossesAt val="1"/>
        <c:auto val="1"/>
        <c:lblAlgn val="ctr"/>
        <c:lblOffset val="100"/>
      </c:catAx>
      <c:valAx>
        <c:axId val="113572096"/>
        <c:scaling>
          <c:orientation val="minMax"/>
        </c:scaling>
        <c:axPos val="l"/>
        <c:majorGridlines/>
        <c:numFmt formatCode="#,##0" sourceLinked="0"/>
        <c:majorTickMark val="none"/>
        <c:tickLblPos val="nextTo"/>
        <c:txPr>
          <a:bodyPr/>
          <a:lstStyle/>
          <a:p>
            <a:pPr>
              <a:defRPr lang="es-ES"/>
            </a:pPr>
            <a:endParaRPr lang="es-ES"/>
          </a:p>
        </c:txPr>
        <c:crossAx val="113570560"/>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n-US"/>
              <a:t>Informe de preventivas por día 1ra Quincena</a:t>
            </a:r>
          </a:p>
        </c:rich>
      </c:tx>
    </c:title>
    <c:plotArea>
      <c:layout/>
      <c:barChart>
        <c:barDir val="col"/>
        <c:grouping val="clustered"/>
        <c:ser>
          <c:idx val="0"/>
          <c:order val="0"/>
          <c:tx>
            <c:v>Prev.</c:v>
          </c:tx>
          <c:cat>
            <c:strRef>
              <c:f>'Prev. diarias'!$B$7:$B$15</c:f>
              <c:strCache>
                <c:ptCount val="9"/>
                <c:pt idx="0">
                  <c:v>03/04/2024</c:v>
                </c:pt>
                <c:pt idx="1">
                  <c:v>04/04/2024</c:v>
                </c:pt>
                <c:pt idx="2">
                  <c:v>05/04/2024</c:v>
                </c:pt>
                <c:pt idx="3">
                  <c:v>08/04/2024</c:v>
                </c:pt>
                <c:pt idx="4">
                  <c:v>09/04/2024</c:v>
                </c:pt>
                <c:pt idx="5">
                  <c:v>10/04/2024</c:v>
                </c:pt>
                <c:pt idx="6">
                  <c:v>11/04/2024</c:v>
                </c:pt>
                <c:pt idx="7">
                  <c:v>12/04/2024</c:v>
                </c:pt>
                <c:pt idx="8">
                  <c:v>15/04/2024</c:v>
                </c:pt>
              </c:strCache>
            </c:strRef>
          </c:cat>
          <c:val>
            <c:numRef>
              <c:f>'Prev. diarias'!$C$7:$C$15</c:f>
              <c:numCache>
                <c:formatCode>General</c:formatCode>
                <c:ptCount val="9"/>
                <c:pt idx="0">
                  <c:v>5</c:v>
                </c:pt>
                <c:pt idx="1">
                  <c:v>13</c:v>
                </c:pt>
                <c:pt idx="2">
                  <c:v>12</c:v>
                </c:pt>
                <c:pt idx="3">
                  <c:v>13</c:v>
                </c:pt>
                <c:pt idx="4">
                  <c:v>20</c:v>
                </c:pt>
                <c:pt idx="5">
                  <c:v>13</c:v>
                </c:pt>
                <c:pt idx="6">
                  <c:v>14</c:v>
                </c:pt>
                <c:pt idx="7">
                  <c:v>10</c:v>
                </c:pt>
                <c:pt idx="8">
                  <c:v>10</c:v>
                </c:pt>
              </c:numCache>
            </c:numRef>
          </c:val>
        </c:ser>
        <c:axId val="167460224"/>
        <c:axId val="167466112"/>
      </c:barChart>
      <c:lineChart>
        <c:grouping val="standard"/>
        <c:ser>
          <c:idx val="1"/>
          <c:order val="1"/>
          <c:tx>
            <c:v>Realiz</c:v>
          </c:tx>
          <c:dLbls>
            <c:dLblPos val="t"/>
            <c:showVal val="1"/>
          </c:dLbls>
          <c:cat>
            <c:strRef>
              <c:f>'Prev. diarias'!$B$7:$B$15</c:f>
              <c:strCache>
                <c:ptCount val="9"/>
                <c:pt idx="0">
                  <c:v>03/04/2024</c:v>
                </c:pt>
                <c:pt idx="1">
                  <c:v>04/04/2024</c:v>
                </c:pt>
                <c:pt idx="2">
                  <c:v>05/04/2024</c:v>
                </c:pt>
                <c:pt idx="3">
                  <c:v>08/04/2024</c:v>
                </c:pt>
                <c:pt idx="4">
                  <c:v>09/04/2024</c:v>
                </c:pt>
                <c:pt idx="5">
                  <c:v>10/04/2024</c:v>
                </c:pt>
                <c:pt idx="6">
                  <c:v>11/04/2024</c:v>
                </c:pt>
                <c:pt idx="7">
                  <c:v>12/04/2024</c:v>
                </c:pt>
                <c:pt idx="8">
                  <c:v>15/04/2024</c:v>
                </c:pt>
              </c:strCache>
            </c:strRef>
          </c:cat>
          <c:val>
            <c:numRef>
              <c:f>'Prev. diarias'!$D$7:$D$15</c:f>
              <c:numCache>
                <c:formatCode>General</c:formatCode>
                <c:ptCount val="9"/>
                <c:pt idx="0">
                  <c:v>8</c:v>
                </c:pt>
                <c:pt idx="1">
                  <c:v>9</c:v>
                </c:pt>
                <c:pt idx="2">
                  <c:v>10</c:v>
                </c:pt>
                <c:pt idx="3">
                  <c:v>11</c:v>
                </c:pt>
                <c:pt idx="4">
                  <c:v>9</c:v>
                </c:pt>
                <c:pt idx="5">
                  <c:v>11</c:v>
                </c:pt>
                <c:pt idx="6">
                  <c:v>10</c:v>
                </c:pt>
                <c:pt idx="7">
                  <c:v>8</c:v>
                </c:pt>
                <c:pt idx="8">
                  <c:v>7</c:v>
                </c:pt>
              </c:numCache>
            </c:numRef>
          </c:val>
        </c:ser>
        <c:marker val="1"/>
        <c:axId val="167460224"/>
        <c:axId val="167466112"/>
      </c:lineChart>
      <c:catAx>
        <c:axId val="167460224"/>
        <c:scaling>
          <c:orientation val="minMax"/>
        </c:scaling>
        <c:axPos val="b"/>
        <c:majorTickMark val="none"/>
        <c:tickLblPos val="nextTo"/>
        <c:crossAx val="167466112"/>
        <c:crosses val="autoZero"/>
        <c:auto val="1"/>
        <c:lblAlgn val="ctr"/>
        <c:lblOffset val="100"/>
      </c:catAx>
      <c:valAx>
        <c:axId val="167466112"/>
        <c:scaling>
          <c:orientation val="minMax"/>
        </c:scaling>
        <c:axPos val="l"/>
        <c:majorGridlines/>
        <c:numFmt formatCode="General" sourceLinked="1"/>
        <c:majorTickMark val="none"/>
        <c:tickLblPos val="nextTo"/>
        <c:crossAx val="167460224"/>
        <c:crosses val="autoZero"/>
        <c:crossBetween val="between"/>
      </c:valAx>
    </c:plotArea>
    <c:legend>
      <c:legendPos val="r"/>
    </c:legend>
    <c:plotVisOnly val="1"/>
    <c:dispBlanksAs val="gap"/>
  </c:chart>
  <c:printSettings>
    <c:headerFooter/>
    <c:pageMargins b="0.75000000000000488" l="0.70000000000000062" r="0.70000000000000062" t="0.75000000000000488"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n-US"/>
              <a:t>Informe de requerimientos x día 1ra quincena</a:t>
            </a:r>
          </a:p>
        </c:rich>
      </c:tx>
    </c:title>
    <c:plotArea>
      <c:layout/>
      <c:barChart>
        <c:barDir val="col"/>
        <c:grouping val="clustered"/>
        <c:ser>
          <c:idx val="0"/>
          <c:order val="0"/>
          <c:tx>
            <c:v>Ingresadas</c:v>
          </c:tx>
          <c:spPr>
            <a:solidFill>
              <a:schemeClr val="accent3">
                <a:lumMod val="60000"/>
                <a:lumOff val="40000"/>
              </a:schemeClr>
            </a:solidFill>
          </c:spPr>
          <c:cat>
            <c:strRef>
              <c:f>'Prev. diarias'!$B$32:$B$40</c:f>
              <c:strCache>
                <c:ptCount val="9"/>
                <c:pt idx="0">
                  <c:v>03/04/2024</c:v>
                </c:pt>
                <c:pt idx="1">
                  <c:v>04/04/2024</c:v>
                </c:pt>
                <c:pt idx="2">
                  <c:v>05/04/2024</c:v>
                </c:pt>
                <c:pt idx="3">
                  <c:v>08/04/2024</c:v>
                </c:pt>
                <c:pt idx="4">
                  <c:v>09/04/2024</c:v>
                </c:pt>
                <c:pt idx="5">
                  <c:v>10/04/2024</c:v>
                </c:pt>
                <c:pt idx="6">
                  <c:v>11/04/2024</c:v>
                </c:pt>
                <c:pt idx="7">
                  <c:v>12/04/2024</c:v>
                </c:pt>
                <c:pt idx="8">
                  <c:v>15/04/2024</c:v>
                </c:pt>
              </c:strCache>
            </c:strRef>
          </c:cat>
          <c:val>
            <c:numRef>
              <c:f>'Prev. diarias'!$C$32:$C$40</c:f>
              <c:numCache>
                <c:formatCode>General</c:formatCode>
                <c:ptCount val="9"/>
                <c:pt idx="0">
                  <c:v>3</c:v>
                </c:pt>
                <c:pt idx="1">
                  <c:v>3</c:v>
                </c:pt>
                <c:pt idx="2">
                  <c:v>9</c:v>
                </c:pt>
                <c:pt idx="3">
                  <c:v>13</c:v>
                </c:pt>
                <c:pt idx="4">
                  <c:v>4</c:v>
                </c:pt>
                <c:pt idx="5">
                  <c:v>9</c:v>
                </c:pt>
                <c:pt idx="6">
                  <c:v>6</c:v>
                </c:pt>
                <c:pt idx="7">
                  <c:v>8</c:v>
                </c:pt>
                <c:pt idx="8">
                  <c:v>5</c:v>
                </c:pt>
              </c:numCache>
            </c:numRef>
          </c:val>
        </c:ser>
        <c:axId val="167487744"/>
        <c:axId val="167505920"/>
      </c:barChart>
      <c:lineChart>
        <c:grouping val="stacked"/>
        <c:ser>
          <c:idx val="1"/>
          <c:order val="1"/>
          <c:tx>
            <c:v>Elevadas</c:v>
          </c:tx>
          <c:spPr>
            <a:ln w="25400" cap="flat" cmpd="sng" algn="ctr">
              <a:solidFill>
                <a:schemeClr val="accent6">
                  <a:shade val="50000"/>
                </a:schemeClr>
              </a:solidFill>
              <a:prstDash val="solid"/>
            </a:ln>
            <a:effectLst/>
          </c:spPr>
          <c:marker>
            <c:spPr>
              <a:solidFill>
                <a:schemeClr val="accent6"/>
              </a:solidFill>
              <a:ln w="25400" cap="flat" cmpd="sng" algn="ctr">
                <a:solidFill>
                  <a:schemeClr val="accent6">
                    <a:shade val="50000"/>
                  </a:schemeClr>
                </a:solidFill>
                <a:prstDash val="solid"/>
              </a:ln>
              <a:effectLst/>
            </c:spPr>
          </c:marker>
          <c:dLbls>
            <c:dLblPos val="t"/>
            <c:showVal val="1"/>
          </c:dLbls>
          <c:cat>
            <c:strRef>
              <c:f>'Prev. diarias'!$B$32:$B$40</c:f>
              <c:strCache>
                <c:ptCount val="9"/>
                <c:pt idx="0">
                  <c:v>03/04/2024</c:v>
                </c:pt>
                <c:pt idx="1">
                  <c:v>04/04/2024</c:v>
                </c:pt>
                <c:pt idx="2">
                  <c:v>05/04/2024</c:v>
                </c:pt>
                <c:pt idx="3">
                  <c:v>08/04/2024</c:v>
                </c:pt>
                <c:pt idx="4">
                  <c:v>09/04/2024</c:v>
                </c:pt>
                <c:pt idx="5">
                  <c:v>10/04/2024</c:v>
                </c:pt>
                <c:pt idx="6">
                  <c:v>11/04/2024</c:v>
                </c:pt>
                <c:pt idx="7">
                  <c:v>12/04/2024</c:v>
                </c:pt>
                <c:pt idx="8">
                  <c:v>15/04/2024</c:v>
                </c:pt>
              </c:strCache>
            </c:strRef>
          </c:cat>
          <c:val>
            <c:numRef>
              <c:f>'Prev. diarias'!$D$32:$D$40</c:f>
              <c:numCache>
                <c:formatCode>General</c:formatCode>
                <c:ptCount val="9"/>
                <c:pt idx="0">
                  <c:v>1</c:v>
                </c:pt>
                <c:pt idx="1">
                  <c:v>1</c:v>
                </c:pt>
                <c:pt idx="2">
                  <c:v>0</c:v>
                </c:pt>
                <c:pt idx="3">
                  <c:v>0</c:v>
                </c:pt>
                <c:pt idx="4">
                  <c:v>3</c:v>
                </c:pt>
                <c:pt idx="5">
                  <c:v>0</c:v>
                </c:pt>
                <c:pt idx="6">
                  <c:v>5</c:v>
                </c:pt>
                <c:pt idx="7">
                  <c:v>1</c:v>
                </c:pt>
                <c:pt idx="8">
                  <c:v>3</c:v>
                </c:pt>
              </c:numCache>
            </c:numRef>
          </c:val>
        </c:ser>
        <c:marker val="1"/>
        <c:axId val="167487744"/>
        <c:axId val="167505920"/>
      </c:lineChart>
      <c:catAx>
        <c:axId val="167487744"/>
        <c:scaling>
          <c:orientation val="minMax"/>
        </c:scaling>
        <c:axPos val="b"/>
        <c:majorTickMark val="none"/>
        <c:tickLblPos val="nextTo"/>
        <c:crossAx val="167505920"/>
        <c:crosses val="autoZero"/>
        <c:auto val="1"/>
        <c:lblAlgn val="ctr"/>
        <c:lblOffset val="100"/>
      </c:catAx>
      <c:valAx>
        <c:axId val="167505920"/>
        <c:scaling>
          <c:orientation val="minMax"/>
        </c:scaling>
        <c:axPos val="l"/>
        <c:majorGridlines/>
        <c:numFmt formatCode="General" sourceLinked="1"/>
        <c:majorTickMark val="none"/>
        <c:tickLblPos val="nextTo"/>
        <c:crossAx val="167487744"/>
        <c:crosses val="autoZero"/>
        <c:crossBetween val="between"/>
      </c:valAx>
    </c:plotArea>
    <c:legend>
      <c:legendPos val="r"/>
    </c:legend>
    <c:plotVisOnly val="1"/>
    <c:dispBlanksAs val="zero"/>
  </c:chart>
  <c:printSettings>
    <c:headerFooter/>
    <c:pageMargins b="0.75000000000000477" l="0.70000000000000062" r="0.70000000000000062" t="0.75000000000000477"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n-US"/>
              <a:t>Informe de preventivas por día 2da Quincena</a:t>
            </a:r>
          </a:p>
        </c:rich>
      </c:tx>
      <c:overlay val="1"/>
    </c:title>
    <c:plotArea>
      <c:layout>
        <c:manualLayout>
          <c:layoutTarget val="inner"/>
          <c:xMode val="edge"/>
          <c:yMode val="edge"/>
          <c:x val="0.10182136315365592"/>
          <c:y val="0.13329373038811401"/>
          <c:w val="0.72154617493543916"/>
          <c:h val="0.59200138022727256"/>
        </c:manualLayout>
      </c:layout>
      <c:barChart>
        <c:barDir val="col"/>
        <c:grouping val="clustered"/>
        <c:ser>
          <c:idx val="0"/>
          <c:order val="0"/>
          <c:tx>
            <c:v>Ingresadas</c:v>
          </c:tx>
          <c:cat>
            <c:strRef>
              <c:f>'Prev. diarias'!$B$60:$B$70</c:f>
              <c:strCache>
                <c:ptCount val="11"/>
                <c:pt idx="0">
                  <c:v>16/04/2024</c:v>
                </c:pt>
                <c:pt idx="1">
                  <c:v>17/04/2024</c:v>
                </c:pt>
                <c:pt idx="2">
                  <c:v>18/04/2024</c:v>
                </c:pt>
                <c:pt idx="3">
                  <c:v>19/04/2024</c:v>
                </c:pt>
                <c:pt idx="4">
                  <c:v>22/04/2024</c:v>
                </c:pt>
                <c:pt idx="5">
                  <c:v>23/04/2024</c:v>
                </c:pt>
                <c:pt idx="6">
                  <c:v>24/04/2024</c:v>
                </c:pt>
                <c:pt idx="7">
                  <c:v>25/04/2024</c:v>
                </c:pt>
                <c:pt idx="8">
                  <c:v>26/04/2024</c:v>
                </c:pt>
                <c:pt idx="9">
                  <c:v>29/04/2024</c:v>
                </c:pt>
                <c:pt idx="10">
                  <c:v>4/30/2024</c:v>
                </c:pt>
              </c:strCache>
            </c:strRef>
          </c:cat>
          <c:val>
            <c:numRef>
              <c:f>'Prev. diarias'!$C$60:$C$70</c:f>
              <c:numCache>
                <c:formatCode>General</c:formatCode>
                <c:ptCount val="11"/>
                <c:pt idx="0">
                  <c:v>11</c:v>
                </c:pt>
                <c:pt idx="1">
                  <c:v>12</c:v>
                </c:pt>
                <c:pt idx="2">
                  <c:v>7</c:v>
                </c:pt>
                <c:pt idx="3">
                  <c:v>16</c:v>
                </c:pt>
                <c:pt idx="4">
                  <c:v>8</c:v>
                </c:pt>
                <c:pt idx="5">
                  <c:v>8</c:v>
                </c:pt>
                <c:pt idx="6">
                  <c:v>9</c:v>
                </c:pt>
                <c:pt idx="7">
                  <c:v>9</c:v>
                </c:pt>
                <c:pt idx="8">
                  <c:v>12</c:v>
                </c:pt>
                <c:pt idx="9">
                  <c:v>1</c:v>
                </c:pt>
                <c:pt idx="10">
                  <c:v>0</c:v>
                </c:pt>
              </c:numCache>
            </c:numRef>
          </c:val>
        </c:ser>
        <c:axId val="167539840"/>
        <c:axId val="167541376"/>
      </c:barChart>
      <c:lineChart>
        <c:grouping val="standard"/>
        <c:ser>
          <c:idx val="1"/>
          <c:order val="1"/>
          <c:tx>
            <c:v>Realizadas</c:v>
          </c:tx>
          <c:dLbls>
            <c:dLblPos val="t"/>
            <c:showVal val="1"/>
          </c:dLbls>
          <c:cat>
            <c:strRef>
              <c:f>'Prev. diarias'!$B$60:$B$70</c:f>
              <c:strCache>
                <c:ptCount val="11"/>
                <c:pt idx="0">
                  <c:v>16/04/2024</c:v>
                </c:pt>
                <c:pt idx="1">
                  <c:v>17/04/2024</c:v>
                </c:pt>
                <c:pt idx="2">
                  <c:v>18/04/2024</c:v>
                </c:pt>
                <c:pt idx="3">
                  <c:v>19/04/2024</c:v>
                </c:pt>
                <c:pt idx="4">
                  <c:v>22/04/2024</c:v>
                </c:pt>
                <c:pt idx="5">
                  <c:v>23/04/2024</c:v>
                </c:pt>
                <c:pt idx="6">
                  <c:v>24/04/2024</c:v>
                </c:pt>
                <c:pt idx="7">
                  <c:v>25/04/2024</c:v>
                </c:pt>
                <c:pt idx="8">
                  <c:v>26/04/2024</c:v>
                </c:pt>
                <c:pt idx="9">
                  <c:v>29/04/2024</c:v>
                </c:pt>
                <c:pt idx="10">
                  <c:v>30/04/2024</c:v>
                </c:pt>
              </c:strCache>
            </c:strRef>
          </c:cat>
          <c:val>
            <c:numRef>
              <c:f>'Prev. diarias'!$D$60:$D$70</c:f>
              <c:numCache>
                <c:formatCode>General</c:formatCode>
                <c:ptCount val="11"/>
                <c:pt idx="0">
                  <c:v>7</c:v>
                </c:pt>
                <c:pt idx="1">
                  <c:v>10</c:v>
                </c:pt>
                <c:pt idx="2">
                  <c:v>10</c:v>
                </c:pt>
                <c:pt idx="3">
                  <c:v>8</c:v>
                </c:pt>
                <c:pt idx="4">
                  <c:v>9</c:v>
                </c:pt>
                <c:pt idx="5">
                  <c:v>10</c:v>
                </c:pt>
                <c:pt idx="6">
                  <c:v>12</c:v>
                </c:pt>
                <c:pt idx="7">
                  <c:v>6</c:v>
                </c:pt>
                <c:pt idx="8">
                  <c:v>10</c:v>
                </c:pt>
                <c:pt idx="9">
                  <c:v>0</c:v>
                </c:pt>
                <c:pt idx="10">
                  <c:v>0</c:v>
                </c:pt>
              </c:numCache>
            </c:numRef>
          </c:val>
        </c:ser>
        <c:marker val="1"/>
        <c:axId val="167539840"/>
        <c:axId val="167541376"/>
      </c:lineChart>
      <c:catAx>
        <c:axId val="167539840"/>
        <c:scaling>
          <c:orientation val="minMax"/>
        </c:scaling>
        <c:axPos val="b"/>
        <c:tickLblPos val="nextTo"/>
        <c:crossAx val="167541376"/>
        <c:crosses val="autoZero"/>
        <c:auto val="1"/>
        <c:lblAlgn val="ctr"/>
        <c:lblOffset val="100"/>
      </c:catAx>
      <c:valAx>
        <c:axId val="167541376"/>
        <c:scaling>
          <c:orientation val="minMax"/>
        </c:scaling>
        <c:axPos val="l"/>
        <c:majorGridlines/>
        <c:numFmt formatCode="General" sourceLinked="1"/>
        <c:tickLblPos val="nextTo"/>
        <c:crossAx val="167539840"/>
        <c:crosses val="autoZero"/>
        <c:crossBetween val="between"/>
      </c:valAx>
    </c:plotArea>
    <c:legend>
      <c:legendPos val="r"/>
    </c:legend>
    <c:plotVisOnly val="1"/>
    <c:dispBlanksAs val="gap"/>
  </c:chart>
  <c:printSettings>
    <c:headerFooter/>
    <c:pageMargins b="0.75000000000000433" l="0.70000000000000062" r="0.70000000000000062" t="0.75000000000000433"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n-US"/>
              <a:t>Informe de requerimientos x día 2da quincena</a:t>
            </a:r>
          </a:p>
        </c:rich>
      </c:tx>
    </c:title>
    <c:plotArea>
      <c:layout/>
      <c:barChart>
        <c:barDir val="col"/>
        <c:grouping val="clustered"/>
        <c:ser>
          <c:idx val="0"/>
          <c:order val="0"/>
          <c:tx>
            <c:v>Ingresadas</c:v>
          </c:tx>
          <c:spPr>
            <a:solidFill>
              <a:schemeClr val="accent3">
                <a:lumMod val="60000"/>
                <a:lumOff val="40000"/>
              </a:schemeClr>
            </a:solidFill>
          </c:spPr>
          <c:cat>
            <c:strRef>
              <c:f>'Prev. diarias'!$B$32:$B$40</c:f>
              <c:strCache>
                <c:ptCount val="9"/>
                <c:pt idx="0">
                  <c:v>03/04/2024</c:v>
                </c:pt>
                <c:pt idx="1">
                  <c:v>04/04/2024</c:v>
                </c:pt>
                <c:pt idx="2">
                  <c:v>05/04/2024</c:v>
                </c:pt>
                <c:pt idx="3">
                  <c:v>08/04/2024</c:v>
                </c:pt>
                <c:pt idx="4">
                  <c:v>09/04/2024</c:v>
                </c:pt>
                <c:pt idx="5">
                  <c:v>10/04/2024</c:v>
                </c:pt>
                <c:pt idx="6">
                  <c:v>11/04/2024</c:v>
                </c:pt>
                <c:pt idx="7">
                  <c:v>12/04/2024</c:v>
                </c:pt>
                <c:pt idx="8">
                  <c:v>15/04/2024</c:v>
                </c:pt>
              </c:strCache>
            </c:strRef>
          </c:cat>
          <c:val>
            <c:numRef>
              <c:f>'Prev. diarias'!$C$86:$C$96</c:f>
              <c:numCache>
                <c:formatCode>General</c:formatCode>
                <c:ptCount val="11"/>
                <c:pt idx="0">
                  <c:v>3</c:v>
                </c:pt>
                <c:pt idx="1">
                  <c:v>15</c:v>
                </c:pt>
                <c:pt idx="2">
                  <c:v>8</c:v>
                </c:pt>
                <c:pt idx="3">
                  <c:v>12</c:v>
                </c:pt>
                <c:pt idx="4">
                  <c:v>7</c:v>
                </c:pt>
                <c:pt idx="5">
                  <c:v>12</c:v>
                </c:pt>
                <c:pt idx="6">
                  <c:v>5</c:v>
                </c:pt>
                <c:pt idx="7">
                  <c:v>7</c:v>
                </c:pt>
                <c:pt idx="8">
                  <c:v>0</c:v>
                </c:pt>
                <c:pt idx="9">
                  <c:v>0</c:v>
                </c:pt>
                <c:pt idx="10">
                  <c:v>0</c:v>
                </c:pt>
              </c:numCache>
            </c:numRef>
          </c:val>
        </c:ser>
        <c:axId val="167717888"/>
        <c:axId val="167736448"/>
      </c:barChart>
      <c:lineChart>
        <c:grouping val="stacked"/>
        <c:ser>
          <c:idx val="1"/>
          <c:order val="1"/>
          <c:tx>
            <c:v>Elevadas</c:v>
          </c:tx>
          <c:spPr>
            <a:ln w="25400" cap="flat" cmpd="sng" algn="ctr">
              <a:solidFill>
                <a:schemeClr val="accent6">
                  <a:shade val="50000"/>
                </a:schemeClr>
              </a:solidFill>
              <a:prstDash val="solid"/>
            </a:ln>
            <a:effectLst/>
          </c:spPr>
          <c:marker>
            <c:spPr>
              <a:solidFill>
                <a:schemeClr val="accent6"/>
              </a:solidFill>
              <a:ln w="25400" cap="flat" cmpd="sng" algn="ctr">
                <a:solidFill>
                  <a:schemeClr val="accent6">
                    <a:shade val="50000"/>
                  </a:schemeClr>
                </a:solidFill>
                <a:prstDash val="solid"/>
              </a:ln>
              <a:effectLst/>
            </c:spPr>
          </c:marker>
          <c:cat>
            <c:strRef>
              <c:f>'Prev. diarias'!$B$32:$B$40</c:f>
              <c:strCache>
                <c:ptCount val="9"/>
                <c:pt idx="0">
                  <c:v>03/04/2024</c:v>
                </c:pt>
                <c:pt idx="1">
                  <c:v>04/04/2024</c:v>
                </c:pt>
                <c:pt idx="2">
                  <c:v>05/04/2024</c:v>
                </c:pt>
                <c:pt idx="3">
                  <c:v>08/04/2024</c:v>
                </c:pt>
                <c:pt idx="4">
                  <c:v>09/04/2024</c:v>
                </c:pt>
                <c:pt idx="5">
                  <c:v>10/04/2024</c:v>
                </c:pt>
                <c:pt idx="6">
                  <c:v>11/04/2024</c:v>
                </c:pt>
                <c:pt idx="7">
                  <c:v>12/04/2024</c:v>
                </c:pt>
                <c:pt idx="8">
                  <c:v>15/04/2024</c:v>
                </c:pt>
              </c:strCache>
            </c:strRef>
          </c:cat>
          <c:val>
            <c:numRef>
              <c:f>'Prev. diarias'!$D$86:$D$96</c:f>
              <c:numCache>
                <c:formatCode>General</c:formatCode>
                <c:ptCount val="11"/>
                <c:pt idx="0">
                  <c:v>1</c:v>
                </c:pt>
                <c:pt idx="1">
                  <c:v>2</c:v>
                </c:pt>
                <c:pt idx="2">
                  <c:v>2</c:v>
                </c:pt>
                <c:pt idx="3">
                  <c:v>2</c:v>
                </c:pt>
                <c:pt idx="4">
                  <c:v>0</c:v>
                </c:pt>
                <c:pt idx="5">
                  <c:v>1</c:v>
                </c:pt>
                <c:pt idx="6">
                  <c:v>4</c:v>
                </c:pt>
                <c:pt idx="7">
                  <c:v>2</c:v>
                </c:pt>
                <c:pt idx="8">
                  <c:v>0</c:v>
                </c:pt>
                <c:pt idx="9">
                  <c:v>0</c:v>
                </c:pt>
                <c:pt idx="10">
                  <c:v>0</c:v>
                </c:pt>
              </c:numCache>
            </c:numRef>
          </c:val>
        </c:ser>
        <c:marker val="1"/>
        <c:axId val="167717888"/>
        <c:axId val="167736448"/>
      </c:lineChart>
      <c:catAx>
        <c:axId val="167717888"/>
        <c:scaling>
          <c:orientation val="minMax"/>
        </c:scaling>
        <c:axPos val="b"/>
        <c:majorTickMark val="none"/>
        <c:tickLblPos val="nextTo"/>
        <c:crossAx val="167736448"/>
        <c:crosses val="autoZero"/>
        <c:auto val="1"/>
        <c:lblAlgn val="ctr"/>
        <c:lblOffset val="100"/>
      </c:catAx>
      <c:valAx>
        <c:axId val="167736448"/>
        <c:scaling>
          <c:orientation val="minMax"/>
        </c:scaling>
        <c:axPos val="l"/>
        <c:majorGridlines/>
        <c:numFmt formatCode="General" sourceLinked="1"/>
        <c:majorTickMark val="none"/>
        <c:tickLblPos val="nextTo"/>
        <c:crossAx val="167717888"/>
        <c:crosses val="autoZero"/>
        <c:crossBetween val="between"/>
      </c:valAx>
    </c:plotArea>
    <c:legend>
      <c:legendPos val="r"/>
    </c:legend>
    <c:plotVisOnly val="1"/>
    <c:dispBlanksAs val="zero"/>
  </c:chart>
  <c:printSettings>
    <c:headerFooter/>
    <c:pageMargins b="0.750000000000005" l="0.70000000000000062" r="0.70000000000000062" t="0.75000000000000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axId val="167895424"/>
        <c:axId val="167896960"/>
      </c:barChart>
      <c:catAx>
        <c:axId val="167895424"/>
        <c:scaling>
          <c:orientation val="minMax"/>
        </c:scaling>
        <c:axPos val="b"/>
        <c:majorTickMark val="none"/>
        <c:tickLblPos val="nextTo"/>
        <c:txPr>
          <a:bodyPr/>
          <a:lstStyle/>
          <a:p>
            <a:pPr>
              <a:defRPr lang="es-ES"/>
            </a:pPr>
            <a:endParaRPr lang="es-ES"/>
          </a:p>
        </c:txPr>
        <c:crossAx val="167896960"/>
        <c:crosses val="autoZero"/>
        <c:auto val="1"/>
        <c:lblAlgn val="ctr"/>
        <c:lblOffset val="100"/>
      </c:catAx>
      <c:valAx>
        <c:axId val="167896960"/>
        <c:scaling>
          <c:orientation val="minMax"/>
        </c:scaling>
        <c:axPos val="l"/>
        <c:majorGridlines/>
        <c:numFmt formatCode="General" sourceLinked="1"/>
        <c:majorTickMark val="none"/>
        <c:tickLblPos val="nextTo"/>
        <c:txPr>
          <a:bodyPr/>
          <a:lstStyle/>
          <a:p>
            <a:pPr>
              <a:defRPr lang="es-ES"/>
            </a:pPr>
            <a:endParaRPr lang="es-ES"/>
          </a:p>
        </c:txPr>
        <c:crossAx val="16789542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axId val="167945344"/>
        <c:axId val="167946880"/>
      </c:barChart>
      <c:catAx>
        <c:axId val="167945344"/>
        <c:scaling>
          <c:orientation val="minMax"/>
        </c:scaling>
        <c:axPos val="b"/>
        <c:majorTickMark val="none"/>
        <c:tickLblPos val="nextTo"/>
        <c:txPr>
          <a:bodyPr/>
          <a:lstStyle/>
          <a:p>
            <a:pPr>
              <a:defRPr lang="es-ES"/>
            </a:pPr>
            <a:endParaRPr lang="es-ES"/>
          </a:p>
        </c:txPr>
        <c:crossAx val="167946880"/>
        <c:crosses val="autoZero"/>
        <c:auto val="1"/>
        <c:lblAlgn val="ctr"/>
        <c:lblOffset val="100"/>
      </c:catAx>
      <c:valAx>
        <c:axId val="167946880"/>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6794534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A8ED-472C-9D17-794079663604}"/>
              </c:ext>
            </c:extLst>
          </c:dPt>
          <c:dPt>
            <c:idx val="1"/>
            <c:spPr>
              <a:solidFill>
                <a:srgbClr val="00B050"/>
              </a:solidFill>
            </c:spPr>
            <c:extLst xmlns:c16r2="http://schemas.microsoft.com/office/drawing/2015/06/chart">
              <c:ext xmlns:c16="http://schemas.microsoft.com/office/drawing/2014/chart" uri="{C3380CC4-5D6E-409C-BE32-E72D297353CC}">
                <c16:uniqueId val="{00000001-A8ED-472C-9D17-794079663604}"/>
              </c:ext>
            </c:extLst>
          </c:dPt>
          <c:dPt>
            <c:idx val="2"/>
            <c:spPr>
              <a:solidFill>
                <a:srgbClr val="92D050"/>
              </a:solidFill>
            </c:spPr>
            <c:extLst xmlns:c16r2="http://schemas.microsoft.com/office/drawing/2015/06/chart">
              <c:ext xmlns:c16="http://schemas.microsoft.com/office/drawing/2014/chart" uri="{C3380CC4-5D6E-409C-BE32-E72D297353CC}">
                <c16:uniqueId val="{00000002-A8ED-472C-9D17-794079663604}"/>
              </c:ext>
            </c:extLst>
          </c:dPt>
          <c:dPt>
            <c:idx val="4"/>
            <c:spPr>
              <a:solidFill>
                <a:srgbClr val="7030A0"/>
              </a:solidFill>
            </c:spPr>
            <c:extLst xmlns:c16r2="http://schemas.microsoft.com/office/drawing/2015/06/char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4-A8ED-472C-9D17-794079663604}"/>
            </c:ext>
          </c:extLst>
        </c:ser>
        <c:axId val="167986688"/>
        <c:axId val="167988224"/>
      </c:barChart>
      <c:catAx>
        <c:axId val="167986688"/>
        <c:scaling>
          <c:orientation val="minMax"/>
        </c:scaling>
        <c:axPos val="b"/>
        <c:numFmt formatCode="General" sourceLinked="0"/>
        <c:majorTickMark val="none"/>
        <c:tickLblPos val="nextTo"/>
        <c:txPr>
          <a:bodyPr/>
          <a:lstStyle/>
          <a:p>
            <a:pPr>
              <a:defRPr lang="es-ES"/>
            </a:pPr>
            <a:endParaRPr lang="es-ES"/>
          </a:p>
        </c:txPr>
        <c:crossAx val="167988224"/>
        <c:crosses val="autoZero"/>
        <c:auto val="1"/>
        <c:lblAlgn val="ctr"/>
        <c:lblOffset val="100"/>
      </c:catAx>
      <c:valAx>
        <c:axId val="167988224"/>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6798668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s-ES"/>
  <c:style val="10"/>
  <c:chart>
    <c:autoTitleDeleted val="1"/>
    <c:plotArea>
      <c:layout/>
      <c:pieChart>
        <c:varyColors val="1"/>
        <c:ser>
          <c:idx val="0"/>
          <c:order val="0"/>
          <c:dLbls>
            <c:numFmt formatCode="0.0%" sourceLinked="0"/>
            <c:showPercent val="1"/>
            <c:showLeaderLines val="1"/>
            <c:extLst xmlns:c16r2="http://schemas.microsoft.com/office/drawing/2015/06/char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Difiere Resolución</c:v>
                </c:pt>
                <c:pt idx="7">
                  <c:v>Sobreseimiento</c:v>
                </c:pt>
                <c:pt idx="8">
                  <c:v>Medida de seguridad provisoria</c:v>
                </c:pt>
              </c:strCache>
            </c:strRef>
          </c:cat>
          <c:val>
            <c:numRef>
              <c:f>'Graficos Estadisticos'!$AP$6:$AP$14</c:f>
              <c:numCache>
                <c:formatCode>General</c:formatCode>
                <c:ptCount val="9"/>
                <c:pt idx="0">
                  <c:v>860</c:v>
                </c:pt>
                <c:pt idx="1">
                  <c:v>624</c:v>
                </c:pt>
                <c:pt idx="2">
                  <c:v>232</c:v>
                </c:pt>
                <c:pt idx="3">
                  <c:v>126</c:v>
                </c:pt>
                <c:pt idx="4">
                  <c:v>75</c:v>
                </c:pt>
                <c:pt idx="5">
                  <c:v>39</c:v>
                </c:pt>
                <c:pt idx="6">
                  <c:v>2</c:v>
                </c:pt>
                <c:pt idx="7">
                  <c:v>9</c:v>
                </c:pt>
                <c:pt idx="8">
                  <c:v>3</c:v>
                </c:pt>
              </c:numCache>
            </c:numRef>
          </c:val>
          <c:extLst xmlns:c16r2="http://schemas.microsoft.com/office/drawing/2015/06/chart">
            <c:ext xmlns:c16="http://schemas.microsoft.com/office/drawing/2014/chart" uri="{C3380CC4-5D6E-409C-BE32-E72D297353CC}">
              <c16:uniqueId val="{00000000-7966-459D-9595-B0ED6771A6B6}"/>
            </c:ext>
          </c:extLst>
        </c:ser>
        <c:dLbls>
          <c:showPercent val="1"/>
        </c:dLbls>
        <c:firstSliceAng val="0"/>
      </c:pieChart>
    </c:plotArea>
    <c:legend>
      <c:legendPos val="r"/>
      <c:layout/>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s-ES"/>
  <c:style val="34"/>
  <c:chart>
    <c:autoTitleDeleted val="1"/>
    <c:plotArea>
      <c:layout/>
      <c:barChart>
        <c:barDir val="col"/>
        <c:grouping val="clustered"/>
        <c:ser>
          <c:idx val="0"/>
          <c:order val="0"/>
          <c:dPt>
            <c:idx val="0"/>
            <c:spPr>
              <a:solidFill>
                <a:srgbClr val="AC0404"/>
              </a:solidFill>
            </c:spPr>
          </c:dPt>
          <c:dPt>
            <c:idx val="1"/>
            <c:spPr>
              <a:solidFill>
                <a:srgbClr val="005024"/>
              </a:solidFill>
            </c:spPr>
          </c:dPt>
          <c:dPt>
            <c:idx val="2"/>
            <c:spPr>
              <a:solidFill>
                <a:schemeClr val="accent2"/>
              </a:solidFill>
            </c:spPr>
          </c:dPt>
          <c:dPt>
            <c:idx val="3"/>
            <c:spPr>
              <a:solidFill>
                <a:schemeClr val="bg2">
                  <a:lumMod val="50000"/>
                </a:schemeClr>
              </a:solidFill>
            </c:spPr>
          </c:dPt>
          <c:dPt>
            <c:idx val="4"/>
            <c:spPr>
              <a:solidFill>
                <a:schemeClr val="accent3">
                  <a:lumMod val="60000"/>
                  <a:lumOff val="40000"/>
                </a:schemeClr>
              </a:solidFill>
            </c:spPr>
          </c:dPt>
          <c:dPt>
            <c:idx val="5"/>
            <c:spPr>
              <a:solidFill>
                <a:srgbClr val="92D050"/>
              </a:solidFill>
            </c:spPr>
          </c:dPt>
          <c:dPt>
            <c:idx val="6"/>
            <c:spPr>
              <a:solidFill>
                <a:schemeClr val="accent5">
                  <a:lumMod val="40000"/>
                  <a:lumOff val="60000"/>
                </a:schemeClr>
              </a:solidFill>
            </c:spPr>
          </c:dPt>
          <c:dPt>
            <c:idx val="7"/>
            <c:spPr>
              <a:solidFill>
                <a:srgbClr val="7030A0"/>
              </a:solidFill>
            </c:spPr>
          </c:dPt>
          <c:dPt>
            <c:idx val="8"/>
            <c:spPr>
              <a:solidFill>
                <a:schemeClr val="accent2">
                  <a:lumMod val="60000"/>
                  <a:lumOff val="40000"/>
                </a:schemeClr>
              </a:solidFill>
            </c:spPr>
          </c:dPt>
          <c:dPt>
            <c:idx val="9"/>
            <c:spPr>
              <a:solidFill>
                <a:schemeClr val="accent6">
                  <a:lumMod val="75000"/>
                </a:schemeClr>
              </a:solidFill>
            </c:spPr>
          </c:dPt>
          <c:dPt>
            <c:idx val="10"/>
            <c:spPr>
              <a:solidFill>
                <a:srgbClr val="00B0F0"/>
              </a:solidFill>
            </c:spPr>
          </c:dPt>
          <c:cat>
            <c:strRef>
              <c:f>'Graficos Estadisticos'!$AR$25:$AR$36</c:f>
              <c:strCache>
                <c:ptCount val="12"/>
                <c:pt idx="0">
                  <c:v>Difiere Resolución - PRUEBA</c:v>
                </c:pt>
                <c:pt idx="1">
                  <c:v>Juicio Abreviado - Condicional</c:v>
                </c:pt>
                <c:pt idx="2">
                  <c:v>Juicio Abreviado - Efectiva</c:v>
                </c:pt>
                <c:pt idx="3">
                  <c:v>Libertad</c:v>
                </c:pt>
                <c:pt idx="4">
                  <c:v>Libertad con medidas sustitutivas</c:v>
                </c:pt>
                <c:pt idx="5">
                  <c:v>Prision domiciliaria</c:v>
                </c:pt>
                <c:pt idx="6">
                  <c:v>Prisión domiciliaria - Medidas sustitutivas: </c:v>
                </c:pt>
                <c:pt idx="7">
                  <c:v>Prisión Preventiva</c:v>
                </c:pt>
                <c:pt idx="8">
                  <c:v>Suspensión de juicio a prueba</c:v>
                </c:pt>
                <c:pt idx="9">
                  <c:v>Sobreseimiento</c:v>
                </c:pt>
                <c:pt idx="10">
                  <c:v>Medida de seguridad provisoria</c:v>
                </c:pt>
                <c:pt idx="11">
                  <c:v>Suspendida</c:v>
                </c:pt>
              </c:strCache>
            </c:strRef>
          </c:cat>
          <c:val>
            <c:numRef>
              <c:f>'Graficos Estadisticos'!$AQ$25:$AQ$36</c:f>
              <c:numCache>
                <c:formatCode>General</c:formatCode>
                <c:ptCount val="12"/>
                <c:pt idx="0">
                  <c:v>2</c:v>
                </c:pt>
                <c:pt idx="1">
                  <c:v>276</c:v>
                </c:pt>
                <c:pt idx="2">
                  <c:v>584</c:v>
                </c:pt>
                <c:pt idx="3">
                  <c:v>15</c:v>
                </c:pt>
                <c:pt idx="4">
                  <c:v>217</c:v>
                </c:pt>
                <c:pt idx="5">
                  <c:v>70</c:v>
                </c:pt>
                <c:pt idx="6">
                  <c:v>5</c:v>
                </c:pt>
                <c:pt idx="7">
                  <c:v>624</c:v>
                </c:pt>
                <c:pt idx="8">
                  <c:v>39</c:v>
                </c:pt>
                <c:pt idx="9">
                  <c:v>9</c:v>
                </c:pt>
                <c:pt idx="10">
                  <c:v>3</c:v>
                </c:pt>
                <c:pt idx="11" formatCode="0">
                  <c:v>126</c:v>
                </c:pt>
              </c:numCache>
            </c:numRef>
          </c:val>
        </c:ser>
        <c:axId val="168178816"/>
        <c:axId val="168180352"/>
      </c:barChart>
      <c:catAx>
        <c:axId val="168178816"/>
        <c:scaling>
          <c:orientation val="minMax"/>
        </c:scaling>
        <c:axPos val="b"/>
        <c:majorTickMark val="none"/>
        <c:tickLblPos val="nextTo"/>
        <c:txPr>
          <a:bodyPr/>
          <a:lstStyle/>
          <a:p>
            <a:pPr>
              <a:defRPr lang="es-ES"/>
            </a:pPr>
            <a:endParaRPr lang="es-ES"/>
          </a:p>
        </c:txPr>
        <c:crossAx val="168180352"/>
        <c:crosses val="autoZero"/>
        <c:auto val="1"/>
        <c:lblAlgn val="ctr"/>
        <c:lblOffset val="100"/>
      </c:catAx>
      <c:valAx>
        <c:axId val="168180352"/>
        <c:scaling>
          <c:orientation val="minMax"/>
        </c:scaling>
        <c:axPos val="l"/>
        <c:majorGridlines/>
        <c:numFmt formatCode="General" sourceLinked="1"/>
        <c:majorTickMark val="none"/>
        <c:tickLblPos val="nextTo"/>
        <c:txPr>
          <a:bodyPr/>
          <a:lstStyle/>
          <a:p>
            <a:pPr>
              <a:defRPr lang="es-ES"/>
            </a:pPr>
            <a:endParaRPr lang="es-ES"/>
          </a:p>
        </c:txPr>
        <c:crossAx val="168178816"/>
        <c:crosses val="autoZero"/>
        <c:crossBetween val="between"/>
      </c:valAx>
      <c:dTable>
        <c:showHorzBorder val="1"/>
        <c:showVertBorder val="1"/>
        <c:showOutline val="1"/>
        <c:showKeys val="1"/>
        <c:txPr>
          <a:bodyPr/>
          <a:lstStyle/>
          <a:p>
            <a:pPr rtl="0">
              <a:defRPr lang="es-ES"/>
            </a:pPr>
            <a:endParaRPr lang="es-ES"/>
          </a:p>
        </c:txPr>
      </c:dTable>
    </c:plotArea>
    <c:plotVisOnly val="1"/>
  </c:chart>
  <c:spPr>
    <a:effectLst>
      <a:outerShdw blurRad="50800" dist="50800" dir="5400000" algn="ctr" rotWithShape="0">
        <a:srgbClr val="000000"/>
      </a:outerShdw>
    </a:effectLst>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s-ES"/>
  <c:style val="36"/>
  <c:chart>
    <c:autoTitleDeleted val="1"/>
    <c:plotArea>
      <c:layout/>
      <c:lineChart>
        <c:grouping val="standard"/>
        <c:ser>
          <c:idx val="0"/>
          <c:order val="0"/>
          <c:tx>
            <c:strRef>
              <c:f>'Graficos Estadisticos'!$BI$7:$BI$19</c:f>
              <c:strCache>
                <c:ptCount val="1"/>
                <c:pt idx="0">
                  <c:v>0,00% 33,33% 31,75% 22,73% 28,74% 34,38% 37,50% 38,46% 37,58% 30,95% 25,13% 33,68% 30,85%</c:v>
                </c:pt>
              </c:strCache>
            </c:strRef>
          </c:tx>
          <c:dLbls>
            <c:txPr>
              <a:bodyPr rot="0" vert="horz"/>
              <a:lstStyle/>
              <a:p>
                <a:pPr>
                  <a:defRPr lang="es-ES"/>
                </a:pPr>
                <a:endParaRPr lang="es-ES"/>
              </a:p>
            </c:txPr>
            <c:dLblPos val="t"/>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Estadisticos'!$BG$7:$BG$19</c:f>
              <c:strCache>
                <c:ptCount val="13"/>
                <c:pt idx="0">
                  <c:v>Febrero</c:v>
                </c:pt>
                <c:pt idx="1">
                  <c:v>Marzo</c:v>
                </c:pt>
                <c:pt idx="2">
                  <c:v>Abril</c:v>
                </c:pt>
                <c:pt idx="3">
                  <c:v>Mayo</c:v>
                </c:pt>
                <c:pt idx="4">
                  <c:v>Junio</c:v>
                </c:pt>
                <c:pt idx="5">
                  <c:v>Julio</c:v>
                </c:pt>
                <c:pt idx="6">
                  <c:v>Agosto</c:v>
                </c:pt>
                <c:pt idx="7">
                  <c:v>Septiembre</c:v>
                </c:pt>
                <c:pt idx="8">
                  <c:v>Octubre</c:v>
                </c:pt>
                <c:pt idx="9">
                  <c:v>Noviembre</c:v>
                </c:pt>
                <c:pt idx="10">
                  <c:v>Diciembre</c:v>
                </c:pt>
                <c:pt idx="11">
                  <c:v>Enero</c:v>
                </c:pt>
                <c:pt idx="12">
                  <c:v>Febrero</c:v>
                </c:pt>
              </c:strCache>
            </c:strRef>
          </c:cat>
          <c:val>
            <c:numRef>
              <c:f>'Graficos Estadisticos'!$BI$7:$BI$19</c:f>
              <c:numCache>
                <c:formatCode>0.00%</c:formatCode>
                <c:ptCount val="13"/>
                <c:pt idx="0">
                  <c:v>0</c:v>
                </c:pt>
                <c:pt idx="1">
                  <c:v>0.33333333333333331</c:v>
                </c:pt>
                <c:pt idx="2">
                  <c:v>0.31746031746031744</c:v>
                </c:pt>
                <c:pt idx="3">
                  <c:v>0.22727272727272727</c:v>
                </c:pt>
                <c:pt idx="4">
                  <c:v>0.28735632183908044</c:v>
                </c:pt>
                <c:pt idx="5">
                  <c:v>0.34375</c:v>
                </c:pt>
                <c:pt idx="6">
                  <c:v>0.375</c:v>
                </c:pt>
                <c:pt idx="7">
                  <c:v>0.38461538461538464</c:v>
                </c:pt>
                <c:pt idx="8">
                  <c:v>0.37579617834394907</c:v>
                </c:pt>
                <c:pt idx="9">
                  <c:v>0.30952380952380953</c:v>
                </c:pt>
                <c:pt idx="10">
                  <c:v>0.2513089005235602</c:v>
                </c:pt>
                <c:pt idx="11">
                  <c:v>0.33684210526315789</c:v>
                </c:pt>
                <c:pt idx="12">
                  <c:v>0.30845771144278605</c:v>
                </c:pt>
              </c:numCache>
            </c:numRef>
          </c:val>
          <c:extLst xmlns:c16r2="http://schemas.microsoft.com/office/drawing/2015/06/chart">
            <c:ext xmlns:c16="http://schemas.microsoft.com/office/drawing/2014/chart" uri="{C3380CC4-5D6E-409C-BE32-E72D297353CC}">
              <c16:uniqueId val="{00000001-0304-40B1-A25C-DF975EC09553}"/>
            </c:ext>
          </c:extLst>
        </c:ser>
        <c:dLbls>
          <c:showVal val="1"/>
        </c:dLbls>
        <c:dropLines/>
        <c:marker val="1"/>
        <c:axId val="168222720"/>
        <c:axId val="168224640"/>
      </c:lineChart>
      <c:catAx>
        <c:axId val="168222720"/>
        <c:scaling>
          <c:orientation val="minMax"/>
        </c:scaling>
        <c:axPos val="b"/>
        <c:title>
          <c:tx>
            <c:rich>
              <a:bodyPr rot="0" vert="horz"/>
              <a:lstStyle/>
              <a:p>
                <a:pPr>
                  <a:defRPr lang="es-ES"/>
                </a:pPr>
                <a:r>
                  <a:rPr lang="es-ES" sz="1600" u="sng"/>
                  <a:t>Variación</a:t>
                </a:r>
                <a:r>
                  <a:rPr lang="es-ES" sz="1600" u="sng" baseline="0"/>
                  <a:t> mensual respecto de las prisiones preventivas en audiencia</a:t>
                </a:r>
                <a:endParaRPr lang="es-ES" sz="1600" u="sng"/>
              </a:p>
            </c:rich>
          </c:tx>
          <c:layout>
            <c:manualLayout>
              <c:xMode val="edge"/>
              <c:yMode val="edge"/>
              <c:x val="0.16335233086253162"/>
              <c:y val="0.87256122880094356"/>
            </c:manualLayout>
          </c:layout>
        </c:title>
        <c:numFmt formatCode="General" sourceLinked="1"/>
        <c:majorTickMark val="none"/>
        <c:tickLblPos val="nextTo"/>
        <c:txPr>
          <a:bodyPr rot="-60000000" vert="horz"/>
          <a:lstStyle/>
          <a:p>
            <a:pPr>
              <a:defRPr lang="es-ES"/>
            </a:pPr>
            <a:endParaRPr lang="es-ES"/>
          </a:p>
        </c:txPr>
        <c:crossAx val="168224640"/>
        <c:crosses val="autoZero"/>
        <c:auto val="1"/>
        <c:lblAlgn val="ctr"/>
        <c:lblOffset val="100"/>
      </c:catAx>
      <c:valAx>
        <c:axId val="168224640"/>
        <c:scaling>
          <c:orientation val="minMax"/>
        </c:scaling>
        <c:axPos val="l"/>
        <c:majorGridlines/>
        <c:numFmt formatCode="0.00%" sourceLinked="1"/>
        <c:tickLblPos val="nextTo"/>
        <c:txPr>
          <a:bodyPr rot="-60000000" vert="horz"/>
          <a:lstStyle/>
          <a:p>
            <a:pPr>
              <a:defRPr lang="es-ES"/>
            </a:pPr>
            <a:endParaRPr lang="es-ES"/>
          </a:p>
        </c:txPr>
        <c:crossAx val="168222720"/>
        <c:crosses val="autoZero"/>
        <c:crossBetween val="between"/>
      </c:valAx>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s-ES"/>
  <c:style val="35"/>
  <c:chart>
    <c:autoTitleDeleted val="1"/>
    <c:plotArea>
      <c:layout/>
      <c:lineChart>
        <c:grouping val="standard"/>
        <c:ser>
          <c:idx val="0"/>
          <c:order val="0"/>
          <c:tx>
            <c:strRef>
              <c:f>'Graficos Estadisticos'!$BI$7:$BI$19</c:f>
              <c:strCache>
                <c:ptCount val="1"/>
                <c:pt idx="0">
                  <c:v>0,00% 33,33% 31,75% 22,73% 28,74% 34,38% 37,50% 38,46% 37,58% 30,95% 25,13% 33,68% 30,85%</c:v>
                </c:pt>
              </c:strCache>
            </c:strRef>
          </c:tx>
          <c:dLbls>
            <c:txPr>
              <a:bodyPr rot="0" vert="horz"/>
              <a:lstStyle/>
              <a:p>
                <a:pPr>
                  <a:defRPr lang="es-ES"/>
                </a:pPr>
                <a:endParaRPr lang="es-ES"/>
              </a:p>
            </c:txPr>
            <c:dLblPos val="t"/>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Estadisticos'!$BG$25:$BG$37</c:f>
              <c:strCache>
                <c:ptCount val="13"/>
                <c:pt idx="0">
                  <c:v>Febrero</c:v>
                </c:pt>
                <c:pt idx="1">
                  <c:v>Marzo</c:v>
                </c:pt>
                <c:pt idx="2">
                  <c:v>Abril</c:v>
                </c:pt>
                <c:pt idx="3">
                  <c:v>Mayo</c:v>
                </c:pt>
                <c:pt idx="4">
                  <c:v>Junio</c:v>
                </c:pt>
                <c:pt idx="5">
                  <c:v>Julio</c:v>
                </c:pt>
                <c:pt idx="6">
                  <c:v>Agosto</c:v>
                </c:pt>
                <c:pt idx="7">
                  <c:v>Septiembre</c:v>
                </c:pt>
                <c:pt idx="8">
                  <c:v>Octubre</c:v>
                </c:pt>
                <c:pt idx="9">
                  <c:v>Noviembre</c:v>
                </c:pt>
                <c:pt idx="10">
                  <c:v>Diciembre</c:v>
                </c:pt>
                <c:pt idx="11">
                  <c:v>Enero</c:v>
                </c:pt>
                <c:pt idx="12">
                  <c:v>Febrero</c:v>
                </c:pt>
              </c:strCache>
            </c:strRef>
          </c:cat>
          <c:val>
            <c:numRef>
              <c:f>'Graficos Estadisticos'!$BI$25:$BI$37</c:f>
              <c:numCache>
                <c:formatCode>0.00%</c:formatCode>
                <c:ptCount val="13"/>
                <c:pt idx="0">
                  <c:v>0.75</c:v>
                </c:pt>
                <c:pt idx="1">
                  <c:v>0.47619047619047616</c:v>
                </c:pt>
                <c:pt idx="2">
                  <c:v>0.55555555555555558</c:v>
                </c:pt>
                <c:pt idx="3">
                  <c:v>0.52272727272727271</c:v>
                </c:pt>
                <c:pt idx="4">
                  <c:v>0.56321839080459768</c:v>
                </c:pt>
                <c:pt idx="5">
                  <c:v>0.4296875</c:v>
                </c:pt>
                <c:pt idx="6">
                  <c:v>0.390625</c:v>
                </c:pt>
                <c:pt idx="7">
                  <c:v>0.44444444444444442</c:v>
                </c:pt>
                <c:pt idx="8">
                  <c:v>0.43312101910828027</c:v>
                </c:pt>
                <c:pt idx="9">
                  <c:v>0.41666666666666669</c:v>
                </c:pt>
                <c:pt idx="10">
                  <c:v>0.44502617801047123</c:v>
                </c:pt>
                <c:pt idx="11">
                  <c:v>0.4263157894736842</c:v>
                </c:pt>
                <c:pt idx="12">
                  <c:v>0.43283582089552236</c:v>
                </c:pt>
              </c:numCache>
            </c:numRef>
          </c:val>
          <c:extLst xmlns:c16r2="http://schemas.microsoft.com/office/drawing/2015/06/chart">
            <c:ext xmlns:c16="http://schemas.microsoft.com/office/drawing/2014/chart" uri="{C3380CC4-5D6E-409C-BE32-E72D297353CC}">
              <c16:uniqueId val="{00000001-0304-40B1-A25C-DF975EC09553}"/>
            </c:ext>
          </c:extLst>
        </c:ser>
        <c:dLbls>
          <c:showVal val="1"/>
        </c:dLbls>
        <c:dropLines/>
        <c:marker val="1"/>
        <c:axId val="168260736"/>
        <c:axId val="168262656"/>
      </c:lineChart>
      <c:catAx>
        <c:axId val="168260736"/>
        <c:scaling>
          <c:orientation val="minMax"/>
        </c:scaling>
        <c:axPos val="b"/>
        <c:title>
          <c:tx>
            <c:rich>
              <a:bodyPr rot="0" vert="horz"/>
              <a:lstStyle/>
              <a:p>
                <a:pPr>
                  <a:defRPr lang="es-ES"/>
                </a:pPr>
                <a:r>
                  <a:rPr lang="es-ES" sz="1600" u="sng"/>
                  <a:t>Variación</a:t>
                </a:r>
                <a:r>
                  <a:rPr lang="es-ES" sz="1600" u="sng" baseline="0"/>
                  <a:t> mensual respecto de las condenas en audiencia</a:t>
                </a:r>
              </a:p>
            </c:rich>
          </c:tx>
        </c:title>
        <c:numFmt formatCode="General" sourceLinked="1"/>
        <c:majorTickMark val="none"/>
        <c:tickLblPos val="nextTo"/>
        <c:txPr>
          <a:bodyPr rot="-60000000" vert="horz"/>
          <a:lstStyle/>
          <a:p>
            <a:pPr>
              <a:defRPr lang="es-ES"/>
            </a:pPr>
            <a:endParaRPr lang="es-ES"/>
          </a:p>
        </c:txPr>
        <c:crossAx val="168262656"/>
        <c:crosses val="autoZero"/>
        <c:auto val="1"/>
        <c:lblAlgn val="ctr"/>
        <c:lblOffset val="100"/>
      </c:catAx>
      <c:valAx>
        <c:axId val="168262656"/>
        <c:scaling>
          <c:orientation val="minMax"/>
        </c:scaling>
        <c:axPos val="l"/>
        <c:majorGridlines/>
        <c:numFmt formatCode="0.00%" sourceLinked="1"/>
        <c:tickLblPos val="nextTo"/>
        <c:txPr>
          <a:bodyPr rot="-60000000" vert="horz"/>
          <a:lstStyle/>
          <a:p>
            <a:pPr>
              <a:defRPr lang="es-ES"/>
            </a:pPr>
            <a:endParaRPr lang="es-ES"/>
          </a:p>
        </c:txPr>
        <c:crossAx val="168260736"/>
        <c:crosses val="autoZero"/>
        <c:crossBetween val="between"/>
      </c:valAx>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s-ES"/>
  <c:style val="37"/>
  <c:chart>
    <c:autoTitleDeleted val="1"/>
    <c:plotArea>
      <c:layout/>
      <c:lineChart>
        <c:grouping val="standard"/>
        <c:ser>
          <c:idx val="0"/>
          <c:order val="0"/>
          <c:dLbls>
            <c:txPr>
              <a:bodyPr rot="0" vert="horz"/>
              <a:lstStyle/>
              <a:p>
                <a:pPr>
                  <a:defRPr lang="es-ES"/>
                </a:pPr>
                <a:endParaRPr lang="es-ES"/>
              </a:p>
            </c:txPr>
            <c:dLblPos val="t"/>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Estadisticos'!$BG$43:$BG$55</c:f>
              <c:strCache>
                <c:ptCount val="13"/>
                <c:pt idx="0">
                  <c:v>Febrero</c:v>
                </c:pt>
                <c:pt idx="1">
                  <c:v>Marzo</c:v>
                </c:pt>
                <c:pt idx="2">
                  <c:v>Abril</c:v>
                </c:pt>
                <c:pt idx="3">
                  <c:v>Mayo</c:v>
                </c:pt>
                <c:pt idx="4">
                  <c:v>Junio</c:v>
                </c:pt>
                <c:pt idx="5">
                  <c:v>Julio</c:v>
                </c:pt>
                <c:pt idx="6">
                  <c:v>Agosto</c:v>
                </c:pt>
                <c:pt idx="7">
                  <c:v>Septiembre</c:v>
                </c:pt>
                <c:pt idx="8">
                  <c:v>Octubre</c:v>
                </c:pt>
                <c:pt idx="9">
                  <c:v>Noviembre</c:v>
                </c:pt>
                <c:pt idx="10">
                  <c:v>Diciembre</c:v>
                </c:pt>
                <c:pt idx="11">
                  <c:v>Enero</c:v>
                </c:pt>
                <c:pt idx="12">
                  <c:v>Febrero</c:v>
                </c:pt>
              </c:strCache>
            </c:strRef>
          </c:cat>
          <c:val>
            <c:numRef>
              <c:f>'Graficos Estadisticos'!$BI$43:$BI$55</c:f>
              <c:numCache>
                <c:formatCode>0.00%</c:formatCode>
                <c:ptCount val="13"/>
                <c:pt idx="0">
                  <c:v>0</c:v>
                </c:pt>
                <c:pt idx="1">
                  <c:v>0.11904761904761904</c:v>
                </c:pt>
                <c:pt idx="2">
                  <c:v>7.9365079365079361E-2</c:v>
                </c:pt>
                <c:pt idx="3">
                  <c:v>0.25</c:v>
                </c:pt>
                <c:pt idx="4">
                  <c:v>0.10344827586206896</c:v>
                </c:pt>
                <c:pt idx="5">
                  <c:v>0.203125</c:v>
                </c:pt>
                <c:pt idx="6">
                  <c:v>0.1953125</c:v>
                </c:pt>
                <c:pt idx="7">
                  <c:v>0.1623931623931624</c:v>
                </c:pt>
                <c:pt idx="8">
                  <c:v>0.16560509554140126</c:v>
                </c:pt>
                <c:pt idx="9">
                  <c:v>0.17857142857142858</c:v>
                </c:pt>
                <c:pt idx="10">
                  <c:v>0.21989528795811519</c:v>
                </c:pt>
                <c:pt idx="11">
                  <c:v>0.16842105263157894</c:v>
                </c:pt>
                <c:pt idx="12">
                  <c:v>0.18407960199004975</c:v>
                </c:pt>
              </c:numCache>
            </c:numRef>
          </c:val>
          <c:extLst xmlns:c16r2="http://schemas.microsoft.com/office/drawing/2015/06/chart">
            <c:ext xmlns:c16="http://schemas.microsoft.com/office/drawing/2014/chart" uri="{C3380CC4-5D6E-409C-BE32-E72D297353CC}">
              <c16:uniqueId val="{00000001-0304-40B1-A25C-DF975EC09553}"/>
            </c:ext>
          </c:extLst>
        </c:ser>
        <c:dLbls>
          <c:showVal val="1"/>
        </c:dLbls>
        <c:dropLines/>
        <c:marker val="1"/>
        <c:axId val="168295040"/>
        <c:axId val="168313600"/>
      </c:lineChart>
      <c:catAx>
        <c:axId val="168295040"/>
        <c:scaling>
          <c:orientation val="minMax"/>
        </c:scaling>
        <c:axPos val="b"/>
        <c:title>
          <c:tx>
            <c:rich>
              <a:bodyPr rot="0" vert="horz"/>
              <a:lstStyle/>
              <a:p>
                <a:pPr>
                  <a:defRPr lang="es-ES"/>
                </a:pPr>
                <a:r>
                  <a:rPr lang="es-ES" sz="1800" u="sng"/>
                  <a:t>Variación</a:t>
                </a:r>
                <a:r>
                  <a:rPr lang="es-ES" sz="1800" u="sng" baseline="0"/>
                  <a:t> mensual respecto de las libertades otorgadas en audiencia</a:t>
                </a:r>
                <a:endParaRPr lang="es-ES" sz="1800" u="sng"/>
              </a:p>
            </c:rich>
          </c:tx>
        </c:title>
        <c:numFmt formatCode="General" sourceLinked="1"/>
        <c:majorTickMark val="none"/>
        <c:tickLblPos val="nextTo"/>
        <c:txPr>
          <a:bodyPr rot="-60000000" vert="horz"/>
          <a:lstStyle/>
          <a:p>
            <a:pPr>
              <a:defRPr lang="es-ES"/>
            </a:pPr>
            <a:endParaRPr lang="es-ES"/>
          </a:p>
        </c:txPr>
        <c:crossAx val="168313600"/>
        <c:crosses val="autoZero"/>
        <c:auto val="1"/>
        <c:lblAlgn val="ctr"/>
        <c:lblOffset val="100"/>
      </c:catAx>
      <c:valAx>
        <c:axId val="168313600"/>
        <c:scaling>
          <c:orientation val="minMax"/>
        </c:scaling>
        <c:axPos val="l"/>
        <c:majorGridlines/>
        <c:numFmt formatCode="0.00%" sourceLinked="1"/>
        <c:tickLblPos val="nextTo"/>
        <c:txPr>
          <a:bodyPr rot="-60000000" vert="horz"/>
          <a:lstStyle/>
          <a:p>
            <a:pPr>
              <a:defRPr lang="es-ES"/>
            </a:pPr>
            <a:endParaRPr lang="es-ES"/>
          </a:p>
        </c:txPr>
        <c:crossAx val="168295040"/>
        <c:crosses val="autoZero"/>
        <c:crossBetween val="between"/>
      </c:valAx>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sz="1200" u="sng"/>
            </a:pPr>
            <a:r>
              <a:rPr lang="es-ES" sz="1200" u="sng"/>
              <a:t>HORARIO</a:t>
            </a:r>
            <a:r>
              <a:rPr lang="es-ES" sz="1200" u="sng" baseline="0"/>
              <a:t> DE FIJACIÓN DE AUDIENCIA</a:t>
            </a:r>
          </a:p>
          <a:p>
            <a:pPr>
              <a:defRPr lang="es-ES" sz="1200" u="sng"/>
            </a:pPr>
            <a:endParaRPr lang="es-ES" sz="1200" u="sng"/>
          </a:p>
        </c:rich>
      </c:tx>
      <c:layout>
        <c:manualLayout>
          <c:xMode val="edge"/>
          <c:yMode val="edge"/>
          <c:x val="0.20658407541155552"/>
          <c:y val="4.3209876543209756E-2"/>
        </c:manualLayout>
      </c:layout>
    </c:title>
    <c:plotArea>
      <c:layout/>
      <c:pieChart>
        <c:varyColors val="1"/>
        <c:ser>
          <c:idx val="0"/>
          <c:order val="0"/>
          <c:dLbls>
            <c:txPr>
              <a:bodyPr/>
              <a:lstStyle/>
              <a:p>
                <a:pPr>
                  <a:defRPr lang="es-ES" sz="1200"/>
                </a:pPr>
                <a:endParaRPr lang="es-ES"/>
              </a:p>
            </c:txPr>
            <c:showPercent val="1"/>
            <c:showLeaderLines val="1"/>
          </c:dLbls>
          <c:cat>
            <c:strRef>
              <c:f>'Graficos Estadisticos'!$BY$16:$BY$18</c:f>
              <c:strCache>
                <c:ptCount val="3"/>
                <c:pt idx="0">
                  <c:v>08:00 a 08:45</c:v>
                </c:pt>
                <c:pt idx="1">
                  <c:v>08:45 a 09:30</c:v>
                </c:pt>
                <c:pt idx="2">
                  <c:v>09:30 en adelante</c:v>
                </c:pt>
              </c:strCache>
            </c:strRef>
          </c:cat>
          <c:val>
            <c:numRef>
              <c:f>'Graficos Estadisticos'!$BZ$16:$BZ$18</c:f>
              <c:numCache>
                <c:formatCode>General</c:formatCode>
                <c:ptCount val="3"/>
                <c:pt idx="0">
                  <c:v>655</c:v>
                </c:pt>
                <c:pt idx="1">
                  <c:v>427</c:v>
                </c:pt>
                <c:pt idx="2">
                  <c:v>342</c:v>
                </c:pt>
              </c:numCache>
            </c:numRef>
          </c:val>
        </c:ser>
        <c:dLbls>
          <c:showPercent val="1"/>
        </c:dLbls>
        <c:firstSliceAng val="0"/>
      </c:pieChart>
    </c:plotArea>
    <c:legend>
      <c:legendPos val="r"/>
      <c:layout>
        <c:manualLayout>
          <c:xMode val="edge"/>
          <c:yMode val="edge"/>
          <c:x val="0.63999471341412417"/>
          <c:y val="0.33013147662097792"/>
          <c:w val="0.34761789883243188"/>
          <c:h val="0.5031627296587925"/>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s-ES"/>
  <c:style val="10"/>
  <c:chart>
    <c:title>
      <c:tx>
        <c:rich>
          <a:bodyPr/>
          <a:lstStyle/>
          <a:p>
            <a:pPr>
              <a:defRPr/>
            </a:pPr>
            <a:r>
              <a:rPr lang="es-ES"/>
              <a:t>Audiencias suspendidas</a:t>
            </a:r>
          </a:p>
        </c:rich>
      </c:tx>
      <c:layout/>
    </c:title>
    <c:plotArea>
      <c:layout>
        <c:manualLayout>
          <c:layoutTarget val="inner"/>
          <c:xMode val="edge"/>
          <c:yMode val="edge"/>
          <c:x val="0.12500787863560867"/>
          <c:y val="0.20248542915459841"/>
          <c:w val="0.34916051770967654"/>
          <c:h val="0.60133192493861132"/>
        </c:manualLayout>
      </c:layout>
      <c:pieChart>
        <c:varyColors val="1"/>
        <c:ser>
          <c:idx val="0"/>
          <c:order val="0"/>
          <c:dLbls>
            <c:showPercent val="1"/>
          </c:dLbls>
          <c:cat>
            <c:strRef>
              <c:f>'Graficos Estadisticos'!$AR$67:$AR$70</c:f>
              <c:strCache>
                <c:ptCount val="4"/>
                <c:pt idx="0">
                  <c:v>Suspendida por otras causas procesales</c:v>
                </c:pt>
                <c:pt idx="1">
                  <c:v>Suspendida por pedido de las partes</c:v>
                </c:pt>
                <c:pt idx="2">
                  <c:v>Suspensión por incomparecencia de las partes</c:v>
                </c:pt>
                <c:pt idx="3">
                  <c:v>Suspendida por inimputabilidad</c:v>
                </c:pt>
              </c:strCache>
            </c:strRef>
          </c:cat>
          <c:val>
            <c:numRef>
              <c:f>'Graficos Estadisticos'!$AP$67:$AP$70</c:f>
              <c:numCache>
                <c:formatCode>General</c:formatCode>
                <c:ptCount val="4"/>
                <c:pt idx="0">
                  <c:v>52</c:v>
                </c:pt>
                <c:pt idx="1">
                  <c:v>40</c:v>
                </c:pt>
                <c:pt idx="2">
                  <c:v>31</c:v>
                </c:pt>
                <c:pt idx="3">
                  <c:v>3</c:v>
                </c:pt>
              </c:numCache>
            </c:numRef>
          </c:val>
        </c:ser>
        <c:dLbls>
          <c:showPercent val="1"/>
        </c:dLbls>
        <c:firstSliceAng val="0"/>
      </c:pieChart>
    </c:plotArea>
    <c:legend>
      <c:legendPos val="r"/>
      <c:layout>
        <c:manualLayout>
          <c:xMode val="edge"/>
          <c:yMode val="edge"/>
          <c:x val="0.55585593632885233"/>
          <c:y val="0.22720951645824081"/>
          <c:w val="0.33954381182871618"/>
          <c:h val="0.47243137341065738"/>
        </c:manualLayout>
      </c:layout>
    </c:legend>
    <c:plotVisOnly val="1"/>
  </c:chart>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Comparacion</a:t>
            </a:r>
            <a:r>
              <a:rPr lang="es-ES" baseline="0"/>
              <a:t> Defensor Oficial/ Defensor particular</a:t>
            </a:r>
          </a:p>
        </c:rich>
      </c:tx>
    </c:title>
    <c:plotArea>
      <c:layout/>
      <c:pieChart>
        <c:varyColors val="1"/>
        <c:ser>
          <c:idx val="0"/>
          <c:order val="0"/>
          <c:dLbls>
            <c:txPr>
              <a:bodyPr/>
              <a:lstStyle/>
              <a:p>
                <a:pPr>
                  <a:defRPr lang="es-ES" sz="1400"/>
                </a:pPr>
                <a:endParaRPr lang="es-ES"/>
              </a:p>
            </c:txPr>
            <c:showPercent val="1"/>
            <c:showLeaderLines val="1"/>
          </c:dLbls>
          <c:cat>
            <c:strRef>
              <c:f>('Graficos Estadisticos'!$BY$7,'Graficos Estadisticos'!$BY$9)</c:f>
              <c:strCache>
                <c:ptCount val="2"/>
                <c:pt idx="0">
                  <c:v>Defensoria oficial</c:v>
                </c:pt>
                <c:pt idx="1">
                  <c:v>Abogado particular</c:v>
                </c:pt>
              </c:strCache>
            </c:strRef>
          </c:cat>
          <c:val>
            <c:numRef>
              <c:f>('Graficos Estadisticos'!$CA$7,'Graficos Estadisticos'!$CA$9)</c:f>
              <c:numCache>
                <c:formatCode>0.0%</c:formatCode>
                <c:ptCount val="2"/>
                <c:pt idx="0">
                  <c:v>0.58324873096446705</c:v>
                </c:pt>
                <c:pt idx="1">
                  <c:v>0.19137055837563452</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lang val="es-ES"/>
  <c:style val="10"/>
  <c:chart>
    <c:title>
      <c:tx>
        <c:rich>
          <a:bodyPr/>
          <a:lstStyle/>
          <a:p>
            <a:pPr>
              <a:defRPr/>
            </a:pPr>
            <a:r>
              <a:rPr lang="es-ES"/>
              <a:t>Total de Audiencias</a:t>
            </a:r>
          </a:p>
        </c:rich>
      </c:tx>
      <c:layout/>
    </c:title>
    <c:plotArea>
      <c:layout/>
      <c:pieChart>
        <c:varyColors val="1"/>
        <c:ser>
          <c:idx val="0"/>
          <c:order val="0"/>
          <c:dLbls>
            <c:showPercent val="1"/>
          </c:dLbls>
          <c:cat>
            <c:strRef>
              <c:f>'Graficos Estadisticos'!$AR$47:$AR$49</c:f>
              <c:strCache>
                <c:ptCount val="3"/>
                <c:pt idx="0">
                  <c:v>No Realizadas</c:v>
                </c:pt>
                <c:pt idx="1">
                  <c:v>Total realizadas</c:v>
                </c:pt>
                <c:pt idx="2">
                  <c:v>Pendientes</c:v>
                </c:pt>
              </c:strCache>
            </c:strRef>
          </c:cat>
          <c:val>
            <c:numRef>
              <c:f>'Graficos Estadisticos'!$AP$47:$AP$49</c:f>
              <c:numCache>
                <c:formatCode>General</c:formatCode>
                <c:ptCount val="3"/>
                <c:pt idx="0">
                  <c:v>4</c:v>
                </c:pt>
                <c:pt idx="1">
                  <c:v>1970</c:v>
                </c:pt>
                <c:pt idx="2">
                  <c:v>110</c:v>
                </c:pt>
              </c:numCache>
            </c:numRef>
          </c:val>
        </c:ser>
        <c:dLbls>
          <c:showPercent val="1"/>
        </c:dLbls>
        <c:firstSliceAng val="0"/>
      </c:pieChart>
    </c:plotArea>
    <c:legend>
      <c:legendPos val="r"/>
      <c:layout>
        <c:manualLayout>
          <c:xMode val="edge"/>
          <c:yMode val="edge"/>
          <c:x val="0.74947316481023518"/>
          <c:y val="0.32251529753293567"/>
          <c:w val="0.23794337243596231"/>
          <c:h val="0.3211662843887545"/>
        </c:manualLayout>
      </c:layout>
    </c:legend>
    <c:plotVisOnly val="1"/>
  </c:chart>
  <c:printSettings>
    <c:headerFooter/>
    <c:pageMargins b="0.75000000000000411" l="0.70000000000000062" r="0.70000000000000062" t="0.75000000000000411"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lang val="es-ES"/>
  <c:style val="10"/>
  <c:chart>
    <c:title>
      <c:tx>
        <c:rich>
          <a:bodyPr/>
          <a:lstStyle/>
          <a:p>
            <a:pPr>
              <a:defRPr/>
            </a:pPr>
            <a:r>
              <a:rPr lang="es-ES"/>
              <a:t>INFORME SEMANAL</a:t>
            </a:r>
          </a:p>
        </c:rich>
      </c:tx>
      <c:layout/>
    </c:title>
    <c:plotArea>
      <c:layout>
        <c:manualLayout>
          <c:layoutTarget val="inner"/>
          <c:xMode val="edge"/>
          <c:yMode val="edge"/>
          <c:x val="4.0918495723830814E-2"/>
          <c:y val="0.1725681542788412"/>
          <c:w val="0.47477318897292958"/>
          <c:h val="0.80574500302849017"/>
        </c:manualLayout>
      </c:layout>
      <c:pieChart>
        <c:varyColors val="1"/>
        <c:ser>
          <c:idx val="0"/>
          <c:order val="0"/>
          <c:dLbls>
            <c:numFmt formatCode="0.0%" sourceLinked="0"/>
            <c:dLblPos val="bestFit"/>
            <c:showPercent val="1"/>
            <c:showLeaderLines val="1"/>
            <c:extLst xmlns:c16r2="http://schemas.microsoft.com/office/drawing/2015/06/chart">
              <c:ext xmlns:c15="http://schemas.microsoft.com/office/drawing/2012/chart" uri="{CE6537A1-D6FC-4f65-9D91-7224C49458BB}"/>
            </c:extLst>
          </c:dLbls>
          <c:cat>
            <c:strRef>
              <c:f>'Informe semana'!$C$6:$C$13</c:f>
              <c:strCache>
                <c:ptCount val="8"/>
                <c:pt idx="0">
                  <c:v>Prision preventiva</c:v>
                </c:pt>
                <c:pt idx="1">
                  <c:v>Juicio abreviado</c:v>
                </c:pt>
                <c:pt idx="2">
                  <c:v>Libertad</c:v>
                </c:pt>
                <c:pt idx="3">
                  <c:v>Prision domiciliaria</c:v>
                </c:pt>
                <c:pt idx="4">
                  <c:v>Suspendida por pedido de las partes</c:v>
                </c:pt>
                <c:pt idx="5">
                  <c:v>Suspensión por incomparecencia de las partes</c:v>
                </c:pt>
                <c:pt idx="6">
                  <c:v>Suspensión de juicio a prueba</c:v>
                </c:pt>
                <c:pt idx="7">
                  <c:v>Sobreseimiento</c:v>
                </c:pt>
              </c:strCache>
            </c:strRef>
          </c:cat>
          <c:val>
            <c:numRef>
              <c:f>'Informe semana'!$A$6:$A$13</c:f>
              <c:numCache>
                <c:formatCode>General</c:formatCode>
                <c:ptCount val="8"/>
                <c:pt idx="0">
                  <c:v>11</c:v>
                </c:pt>
                <c:pt idx="1">
                  <c:v>30</c:v>
                </c:pt>
                <c:pt idx="2">
                  <c:v>1</c:v>
                </c:pt>
                <c:pt idx="3">
                  <c:v>3</c:v>
                </c:pt>
                <c:pt idx="4">
                  <c:v>4</c:v>
                </c:pt>
                <c:pt idx="5">
                  <c:v>3</c:v>
                </c:pt>
                <c:pt idx="6">
                  <c:v>1</c:v>
                </c:pt>
                <c:pt idx="7">
                  <c:v>1</c:v>
                </c:pt>
              </c:numCache>
            </c:numRef>
          </c:val>
          <c:extLst xmlns:c16r2="http://schemas.microsoft.com/office/drawing/2015/06/chart">
            <c:ext xmlns:c16="http://schemas.microsoft.com/office/drawing/2014/chart" uri="{C3380CC4-5D6E-409C-BE32-E72D297353CC}">
              <c16:uniqueId val="{00000000-D19E-46A1-986B-9A64517EC926}"/>
            </c:ext>
          </c:extLst>
        </c:ser>
        <c:dLbls>
          <c:showPercent val="1"/>
        </c:dLbls>
        <c:firstSliceAng val="0"/>
      </c:pieChart>
    </c:plotArea>
    <c:legend>
      <c:legendPos val="r"/>
      <c:layout>
        <c:manualLayout>
          <c:xMode val="edge"/>
          <c:yMode val="edge"/>
          <c:x val="0.6036022789112"/>
          <c:y val="0.11835481847954844"/>
          <c:w val="0.35126372955143653"/>
          <c:h val="0.84300490093605551"/>
        </c:manualLayout>
      </c:layout>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layout/>
    </c:title>
    <c:plotArea>
      <c:layout>
        <c:manualLayout>
          <c:layoutTarget val="inner"/>
          <c:xMode val="edge"/>
          <c:yMode val="edge"/>
          <c:x val="2.3978939911902798E-2"/>
          <c:y val="0.14701438353594956"/>
          <c:w val="0.51972238197349951"/>
          <c:h val="0.76078598283322685"/>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Percent val="1"/>
            <c:showLeaderLines val="1"/>
            <c:extLst xmlns:c16r2="http://schemas.microsoft.com/office/drawing/2015/06/chart">
              <c:ext xmlns:c15="http://schemas.microsoft.com/office/drawing/2012/chart" uri="{CE6537A1-D6FC-4f65-9D91-7224C49458BB}"/>
            </c:extLst>
          </c:dLbls>
          <c:cat>
            <c:strRef>
              <c:f>'Informe semana'!$C$28:$C$33</c:f>
              <c:strCache>
                <c:ptCount val="6"/>
                <c:pt idx="0">
                  <c:v>Prision preventiva</c:v>
                </c:pt>
                <c:pt idx="1">
                  <c:v>Juicio abreviado</c:v>
                </c:pt>
                <c:pt idx="2">
                  <c:v>Libertad</c:v>
                </c:pt>
                <c:pt idx="3">
                  <c:v>Sobreseimiento</c:v>
                </c:pt>
                <c:pt idx="4">
                  <c:v>Suspensión de juicio a prueba</c:v>
                </c:pt>
                <c:pt idx="5">
                  <c:v>Suspendida</c:v>
                </c:pt>
              </c:strCache>
            </c:strRef>
          </c:cat>
          <c:val>
            <c:numRef>
              <c:f>'Informe semana'!$A$28:$A$33</c:f>
              <c:numCache>
                <c:formatCode>General</c:formatCode>
                <c:ptCount val="6"/>
                <c:pt idx="0">
                  <c:v>28</c:v>
                </c:pt>
                <c:pt idx="1">
                  <c:v>44</c:v>
                </c:pt>
                <c:pt idx="2">
                  <c:v>12</c:v>
                </c:pt>
                <c:pt idx="3">
                  <c:v>1</c:v>
                </c:pt>
                <c:pt idx="4">
                  <c:v>1</c:v>
                </c:pt>
                <c:pt idx="5">
                  <c:v>6</c:v>
                </c:pt>
              </c:numCache>
            </c:numRef>
          </c:val>
          <c:extLst xmlns:c16r2="http://schemas.microsoft.com/office/drawing/2015/06/chart">
            <c:ext xmlns:c16="http://schemas.microsoft.com/office/drawing/2014/chart" uri="{C3380CC4-5D6E-409C-BE32-E72D297353CC}">
              <c16:uniqueId val="{00000000-D19E-46A1-986B-9A64517EC926}"/>
            </c:ext>
          </c:extLst>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lang val="es-ES"/>
  <c:chart>
    <c:autoTitleDeleted val="1"/>
    <c:plotArea>
      <c:layout/>
      <c:lineChart>
        <c:grouping val="standard"/>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lang="es-ES" sz="900" b="0" i="0" u="none" strike="noStrike" kern="1200" baseline="0">
                    <a:solidFill>
                      <a:schemeClr val="tx1">
                        <a:lumMod val="75000"/>
                        <a:lumOff val="25000"/>
                      </a:schemeClr>
                    </a:solidFill>
                    <a:latin typeface="+mn-lt"/>
                    <a:ea typeface="+mn-ea"/>
                    <a:cs typeface="+mn-cs"/>
                  </a:defRPr>
                </a:pPr>
                <a:endParaRPr lang="es-ES"/>
              </a:p>
            </c:txPr>
            <c:dLblPos val="t"/>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'Informe de Gestión'!$A$7:$A$20</c:f>
              <c:strCache>
                <c:ptCount val="14"/>
                <c:pt idx="0">
                  <c:v>Marzo</c:v>
                </c:pt>
                <c:pt idx="1">
                  <c:v>Abril</c:v>
                </c:pt>
                <c:pt idx="2">
                  <c:v>Mayo</c:v>
                </c:pt>
                <c:pt idx="3">
                  <c:v>Junio</c:v>
                </c:pt>
                <c:pt idx="4">
                  <c:v>Julio</c:v>
                </c:pt>
                <c:pt idx="5">
                  <c:v>Agosto</c:v>
                </c:pt>
                <c:pt idx="6">
                  <c:v>Septiembre</c:v>
                </c:pt>
                <c:pt idx="7">
                  <c:v>Octubre</c:v>
                </c:pt>
                <c:pt idx="8">
                  <c:v>Noviembre</c:v>
                </c:pt>
                <c:pt idx="9">
                  <c:v>Diciembre</c:v>
                </c:pt>
                <c:pt idx="10">
                  <c:v>Enero</c:v>
                </c:pt>
                <c:pt idx="11">
                  <c:v>Febrero</c:v>
                </c:pt>
                <c:pt idx="12">
                  <c:v>Marzo</c:v>
                </c:pt>
                <c:pt idx="13">
                  <c:v>Abril</c:v>
                </c:pt>
              </c:strCache>
            </c:strRef>
          </c:cat>
          <c:val>
            <c:numRef>
              <c:f>'Informe de Gestión'!$B$7:$B$20</c:f>
              <c:numCache>
                <c:formatCode>General</c:formatCode>
                <c:ptCount val="14"/>
                <c:pt idx="0">
                  <c:v>12</c:v>
                </c:pt>
                <c:pt idx="1">
                  <c:v>7</c:v>
                </c:pt>
                <c:pt idx="2">
                  <c:v>6</c:v>
                </c:pt>
                <c:pt idx="3">
                  <c:v>5</c:v>
                </c:pt>
                <c:pt idx="4">
                  <c:v>8</c:v>
                </c:pt>
                <c:pt idx="5">
                  <c:v>6</c:v>
                </c:pt>
                <c:pt idx="6">
                  <c:v>9</c:v>
                </c:pt>
                <c:pt idx="7">
                  <c:v>11</c:v>
                </c:pt>
                <c:pt idx="8">
                  <c:v>12</c:v>
                </c:pt>
                <c:pt idx="9">
                  <c:v>12</c:v>
                </c:pt>
                <c:pt idx="10">
                  <c:v>12</c:v>
                </c:pt>
                <c:pt idx="11">
                  <c:v>10</c:v>
                </c:pt>
                <c:pt idx="12">
                  <c:v>8</c:v>
                </c:pt>
                <c:pt idx="13">
                  <c:v>9</c:v>
                </c:pt>
              </c:numCache>
            </c:numRef>
          </c:val>
          <c:extLst xmlns:c16r2="http://schemas.microsoft.com/office/drawing/2015/06/chart">
            <c:ext xmlns:c16="http://schemas.microsoft.com/office/drawing/2014/chart" uri="{C3380CC4-5D6E-409C-BE32-E72D297353CC}">
              <c16:uniqueId val="{00000001-0304-40B1-A25C-DF975EC09553}"/>
            </c:ext>
          </c:extLst>
        </c:ser>
        <c:dLbls>
          <c:showVal val="1"/>
        </c:dLbls>
        <c:dropLines>
          <c:spPr>
            <a:ln w="9525" cap="flat" cmpd="sng" algn="ctr">
              <a:solidFill>
                <a:schemeClr val="tx1">
                  <a:lumMod val="35000"/>
                  <a:lumOff val="65000"/>
                </a:schemeClr>
              </a:solidFill>
              <a:round/>
            </a:ln>
            <a:effectLst/>
          </c:spPr>
        </c:dropLines>
        <c:marker val="1"/>
        <c:axId val="168664064"/>
        <c:axId val="168703104"/>
      </c:lineChart>
      <c:catAx>
        <c:axId val="168664064"/>
        <c:scaling>
          <c:orientation val="minMax"/>
        </c:scaling>
        <c:axPos val="b"/>
        <c:title>
          <c:tx>
            <c:rich>
              <a:bodyPr rot="0" spcFirstLastPara="1" vertOverflow="ellipsis" vert="horz" wrap="square" anchor="ctr" anchorCtr="1"/>
              <a:lstStyle/>
              <a:p>
                <a:pPr>
                  <a:defRPr lang="es-ES" sz="1000" b="0" i="0" u="none" strike="noStrike" kern="1200" baseline="0">
                    <a:solidFill>
                      <a:schemeClr val="tx1">
                        <a:lumMod val="65000"/>
                        <a:lumOff val="35000"/>
                      </a:schemeClr>
                    </a:solidFill>
                    <a:latin typeface="+mn-lt"/>
                    <a:ea typeface="+mn-ea"/>
                    <a:cs typeface="+mn-cs"/>
                  </a:defRPr>
                </a:pPr>
                <a:r>
                  <a:rPr lang="es-ES"/>
                  <a:t>Tiempo</a:t>
                </a:r>
                <a:r>
                  <a:rPr lang="es-ES" baseline="0"/>
                  <a:t> (dias) desde llegada del escrito hasta la fecha de audiencia</a:t>
                </a:r>
              </a:p>
            </c:rich>
          </c:tx>
          <c:spPr>
            <a:noFill/>
            <a:ln>
              <a:noFill/>
            </a:ln>
            <a:effectLst/>
          </c:spPr>
        </c:title>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s-ES" sz="900" b="0" i="0" u="none" strike="noStrike" kern="1200" baseline="0">
                <a:solidFill>
                  <a:schemeClr val="tx1">
                    <a:lumMod val="65000"/>
                    <a:lumOff val="35000"/>
                  </a:schemeClr>
                </a:solidFill>
                <a:latin typeface="+mn-lt"/>
                <a:ea typeface="+mn-ea"/>
                <a:cs typeface="+mn-cs"/>
              </a:defRPr>
            </a:pPr>
            <a:endParaRPr lang="es-ES"/>
          </a:p>
        </c:txPr>
        <c:crossAx val="168703104"/>
        <c:crosses val="autoZero"/>
        <c:auto val="1"/>
        <c:lblAlgn val="ctr"/>
        <c:lblOffset val="100"/>
      </c:catAx>
      <c:valAx>
        <c:axId val="168703104"/>
        <c:scaling>
          <c:orientation val="minMax"/>
        </c:scaling>
        <c:axPos val="l"/>
        <c:majorGridlines>
          <c:spPr>
            <a:ln w="9525" cap="flat" cmpd="sng" algn="ctr">
              <a:solidFill>
                <a:schemeClr val="tx1">
                  <a:lumMod val="15000"/>
                  <a:lumOff val="85000"/>
                </a:schemeClr>
              </a:solidFill>
              <a:round/>
            </a:ln>
            <a:effectLst/>
          </c:spPr>
        </c:majorGridlines>
        <c:numFmt formatCode="General" sourceLinked="1"/>
        <c:tickLblPos val="nextTo"/>
        <c:spPr>
          <a:noFill/>
          <a:ln>
            <a:noFill/>
          </a:ln>
          <a:effectLst/>
        </c:spPr>
        <c:txPr>
          <a:bodyPr rot="-60000000" spcFirstLastPara="1" vertOverflow="ellipsis" vert="horz" wrap="square" anchor="ctr" anchorCtr="1"/>
          <a:lstStyle/>
          <a:p>
            <a:pPr>
              <a:defRPr lang="es-ES" sz="900" b="0" i="0" u="none" strike="noStrike" kern="1200" baseline="0">
                <a:solidFill>
                  <a:schemeClr val="tx1">
                    <a:lumMod val="65000"/>
                    <a:lumOff val="35000"/>
                  </a:schemeClr>
                </a:solidFill>
                <a:latin typeface="+mn-lt"/>
                <a:ea typeface="+mn-ea"/>
                <a:cs typeface="+mn-cs"/>
              </a:defRPr>
            </a:pPr>
            <a:endParaRPr lang="es-ES"/>
          </a:p>
        </c:txPr>
        <c:crossAx val="168664064"/>
        <c:crosses val="autoZero"/>
        <c:crossBetween val="between"/>
      </c:valAx>
      <c:spPr>
        <a:noFill/>
        <a:ln>
          <a:noFill/>
        </a:ln>
        <a:effectLst/>
      </c:spPr>
    </c:plotArea>
    <c:plotVisOnly val="1"/>
    <c:dispBlanksAs val="gap"/>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000000000001465" l="0.70000000000000062" r="0.70000000000000062" t="0.75000000000001465"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lang val="es-ES"/>
  <c:chart>
    <c:title>
      <c:tx>
        <c:rich>
          <a:bodyPr rot="0" spcFirstLastPara="1" vertOverflow="ellipsis" vert="horz" wrap="square" anchor="ctr" anchorCtr="1"/>
          <a:lstStyle/>
          <a:p>
            <a:pPr>
              <a:defRPr lang="es-ES" sz="1400" b="0" i="0" u="none" strike="noStrike" kern="1200" spc="0" baseline="0">
                <a:solidFill>
                  <a:schemeClr val="tx1">
                    <a:lumMod val="65000"/>
                    <a:lumOff val="35000"/>
                  </a:schemeClr>
                </a:solidFill>
                <a:latin typeface="+mn-lt"/>
                <a:ea typeface="+mn-ea"/>
                <a:cs typeface="+mn-cs"/>
              </a:defRPr>
            </a:pPr>
            <a:r>
              <a:rPr lang="es-ES"/>
              <a:t>Comparacion audiencias realizadas/Preventivas recibidas</a:t>
            </a:r>
          </a:p>
        </c:rich>
      </c:tx>
      <c:spPr>
        <a:noFill/>
        <a:ln>
          <a:noFill/>
        </a:ln>
        <a:effectLst/>
      </c:spPr>
    </c:title>
    <c:plotArea>
      <c:layout/>
      <c:lineChart>
        <c:grouping val="standard"/>
        <c:ser>
          <c:idx val="0"/>
          <c:order val="0"/>
          <c:tx>
            <c:v>Audiencias</c:v>
          </c:tx>
          <c:spPr>
            <a:ln w="28575" cap="rnd">
              <a:solidFill>
                <a:srgbClr val="00B050"/>
              </a:solidFill>
              <a:round/>
            </a:ln>
            <a:effectLst/>
          </c:spPr>
          <c:marker>
            <c:symbol val="circle"/>
            <c:size val="5"/>
            <c:spPr>
              <a:solidFill>
                <a:srgbClr val="005024"/>
              </a:solidFill>
              <a:ln w="9525">
                <a:solidFill>
                  <a:srgbClr val="00B050"/>
                </a:solidFill>
              </a:ln>
              <a:effectLst/>
            </c:spPr>
          </c:marker>
          <c:cat>
            <c:strRef>
              <c:f>'Informe de Gestión'!$J$6:$J$20</c:f>
              <c:strCache>
                <c:ptCount val="15"/>
                <c:pt idx="0">
                  <c:v>Febrero</c:v>
                </c:pt>
                <c:pt idx="1">
                  <c:v>Marzo</c:v>
                </c:pt>
                <c:pt idx="2">
                  <c:v>Abril</c:v>
                </c:pt>
                <c:pt idx="3">
                  <c:v>Mayo</c:v>
                </c:pt>
                <c:pt idx="4">
                  <c:v>Junio</c:v>
                </c:pt>
                <c:pt idx="5">
                  <c:v>Julio</c:v>
                </c:pt>
                <c:pt idx="6">
                  <c:v>Agosto</c:v>
                </c:pt>
                <c:pt idx="7">
                  <c:v>Septiembre</c:v>
                </c:pt>
                <c:pt idx="8">
                  <c:v>Octubre</c:v>
                </c:pt>
                <c:pt idx="9">
                  <c:v>Noviembre</c:v>
                </c:pt>
                <c:pt idx="10">
                  <c:v>Diciembre</c:v>
                </c:pt>
                <c:pt idx="11">
                  <c:v>Enero</c:v>
                </c:pt>
                <c:pt idx="12">
                  <c:v>Febrero</c:v>
                </c:pt>
                <c:pt idx="13">
                  <c:v>Marzo</c:v>
                </c:pt>
                <c:pt idx="14">
                  <c:v>Abril</c:v>
                </c:pt>
              </c:strCache>
            </c:strRef>
          </c:cat>
          <c:val>
            <c:numRef>
              <c:f>'Informe de Gestión'!$K$6:$K$20</c:f>
              <c:numCache>
                <c:formatCode>General</c:formatCode>
                <c:ptCount val="15"/>
                <c:pt idx="0">
                  <c:v>4</c:v>
                </c:pt>
                <c:pt idx="1">
                  <c:v>84</c:v>
                </c:pt>
                <c:pt idx="2">
                  <c:v>63</c:v>
                </c:pt>
                <c:pt idx="3">
                  <c:v>44</c:v>
                </c:pt>
                <c:pt idx="4">
                  <c:v>87</c:v>
                </c:pt>
                <c:pt idx="5">
                  <c:v>128</c:v>
                </c:pt>
                <c:pt idx="6">
                  <c:v>128</c:v>
                </c:pt>
                <c:pt idx="7">
                  <c:v>117</c:v>
                </c:pt>
                <c:pt idx="8">
                  <c:v>157</c:v>
                </c:pt>
                <c:pt idx="9">
                  <c:v>168</c:v>
                </c:pt>
                <c:pt idx="10">
                  <c:v>191</c:v>
                </c:pt>
                <c:pt idx="11">
                  <c:v>190</c:v>
                </c:pt>
                <c:pt idx="12">
                  <c:v>201</c:v>
                </c:pt>
                <c:pt idx="13">
                  <c:v>219</c:v>
                </c:pt>
                <c:pt idx="14">
                  <c:v>189</c:v>
                </c:pt>
              </c:numCache>
            </c:numRef>
          </c:val>
          <c:extLst xmlns:c16r2="http://schemas.microsoft.com/office/drawing/2015/06/chart">
            <c:ext xmlns:c16="http://schemas.microsoft.com/office/drawing/2014/chart" uri="{C3380CC4-5D6E-409C-BE32-E72D297353CC}">
              <c16:uniqueId val="{00000000-252E-47C5-8AD5-1771689A7756}"/>
            </c:ext>
          </c:extLst>
        </c:ser>
        <c:ser>
          <c:idx val="1"/>
          <c:order val="1"/>
          <c:tx>
            <c:v>Preventivas</c:v>
          </c:tx>
          <c:spPr>
            <a:ln w="28575" cap="rnd">
              <a:solidFill>
                <a:srgbClr val="FF0000"/>
              </a:solidFill>
              <a:round/>
            </a:ln>
            <a:effectLst/>
          </c:spPr>
          <c:marker>
            <c:symbol val="circle"/>
            <c:size val="5"/>
            <c:spPr>
              <a:solidFill>
                <a:schemeClr val="accent2">
                  <a:lumMod val="50000"/>
                </a:schemeClr>
              </a:solidFill>
              <a:ln w="9525">
                <a:solidFill>
                  <a:schemeClr val="accent2"/>
                </a:solidFill>
              </a:ln>
              <a:effectLst/>
            </c:spPr>
          </c:marker>
          <c:cat>
            <c:strRef>
              <c:f>'Informe de Gestión'!$J$6:$J$20</c:f>
              <c:strCache>
                <c:ptCount val="15"/>
                <c:pt idx="0">
                  <c:v>Febrero</c:v>
                </c:pt>
                <c:pt idx="1">
                  <c:v>Marzo</c:v>
                </c:pt>
                <c:pt idx="2">
                  <c:v>Abril</c:v>
                </c:pt>
                <c:pt idx="3">
                  <c:v>Mayo</c:v>
                </c:pt>
                <c:pt idx="4">
                  <c:v>Junio</c:v>
                </c:pt>
                <c:pt idx="5">
                  <c:v>Julio</c:v>
                </c:pt>
                <c:pt idx="6">
                  <c:v>Agosto</c:v>
                </c:pt>
                <c:pt idx="7">
                  <c:v>Septiembre</c:v>
                </c:pt>
                <c:pt idx="8">
                  <c:v>Octubre</c:v>
                </c:pt>
                <c:pt idx="9">
                  <c:v>Noviembre</c:v>
                </c:pt>
                <c:pt idx="10">
                  <c:v>Diciembre</c:v>
                </c:pt>
                <c:pt idx="11">
                  <c:v>Enero</c:v>
                </c:pt>
                <c:pt idx="12">
                  <c:v>Febrero</c:v>
                </c:pt>
                <c:pt idx="13">
                  <c:v>Marzo</c:v>
                </c:pt>
                <c:pt idx="14">
                  <c:v>Abril</c:v>
                </c:pt>
              </c:strCache>
            </c:strRef>
          </c:cat>
          <c:val>
            <c:numRef>
              <c:f>'Informe de Gestión'!$H$6:$H$20</c:f>
              <c:numCache>
                <c:formatCode>General</c:formatCode>
                <c:ptCount val="15"/>
                <c:pt idx="0">
                  <c:v>17</c:v>
                </c:pt>
                <c:pt idx="1">
                  <c:v>131</c:v>
                </c:pt>
                <c:pt idx="2">
                  <c:v>6</c:v>
                </c:pt>
                <c:pt idx="3">
                  <c:v>64</c:v>
                </c:pt>
                <c:pt idx="4">
                  <c:v>110</c:v>
                </c:pt>
                <c:pt idx="5">
                  <c:v>116</c:v>
                </c:pt>
                <c:pt idx="6">
                  <c:v>139</c:v>
                </c:pt>
                <c:pt idx="7">
                  <c:v>150</c:v>
                </c:pt>
                <c:pt idx="8">
                  <c:v>162</c:v>
                </c:pt>
                <c:pt idx="9">
                  <c:v>177</c:v>
                </c:pt>
                <c:pt idx="10">
                  <c:v>216</c:v>
                </c:pt>
                <c:pt idx="11">
                  <c:v>191</c:v>
                </c:pt>
                <c:pt idx="12">
                  <c:v>196</c:v>
                </c:pt>
                <c:pt idx="13">
                  <c:v>202</c:v>
                </c:pt>
                <c:pt idx="14">
                  <c:v>203</c:v>
                </c:pt>
              </c:numCache>
            </c:numRef>
          </c:val>
          <c:extLst xmlns:c16r2="http://schemas.microsoft.com/office/drawing/2015/06/chart">
            <c:ext xmlns:c16="http://schemas.microsoft.com/office/drawing/2014/chart" uri="{C3380CC4-5D6E-409C-BE32-E72D297353CC}">
              <c16:uniqueId val="{00000001-252E-47C5-8AD5-1771689A7756}"/>
            </c:ext>
          </c:extLst>
        </c:ser>
        <c:dropLines>
          <c:spPr>
            <a:ln w="9525" cap="flat" cmpd="sng" algn="ctr">
              <a:solidFill>
                <a:schemeClr val="tx1">
                  <a:lumMod val="35000"/>
                  <a:lumOff val="65000"/>
                </a:schemeClr>
              </a:solidFill>
              <a:round/>
            </a:ln>
            <a:effectLst/>
          </c:spPr>
        </c:dropLines>
        <c:marker val="1"/>
        <c:axId val="168744064"/>
        <c:axId val="168745600"/>
      </c:lineChart>
      <c:catAx>
        <c:axId val="168744064"/>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s-ES" sz="900" b="0" i="0" u="none" strike="noStrike" kern="1200" baseline="0">
                <a:solidFill>
                  <a:schemeClr val="tx1">
                    <a:lumMod val="65000"/>
                    <a:lumOff val="35000"/>
                  </a:schemeClr>
                </a:solidFill>
                <a:latin typeface="+mn-lt"/>
                <a:ea typeface="+mn-ea"/>
                <a:cs typeface="+mn-cs"/>
              </a:defRPr>
            </a:pPr>
            <a:endParaRPr lang="es-ES"/>
          </a:p>
        </c:txPr>
        <c:crossAx val="168745600"/>
        <c:crosses val="autoZero"/>
        <c:auto val="1"/>
        <c:lblAlgn val="ctr"/>
        <c:lblOffset val="100"/>
      </c:catAx>
      <c:valAx>
        <c:axId val="168745600"/>
        <c:scaling>
          <c:orientation val="minMax"/>
        </c:scaling>
        <c:axPos val="l"/>
        <c:majorGridlines>
          <c:spPr>
            <a:ln w="9525" cap="flat" cmpd="sng" algn="ctr">
              <a:solidFill>
                <a:schemeClr val="tx1">
                  <a:lumMod val="15000"/>
                  <a:lumOff val="85000"/>
                </a:schemeClr>
              </a:solidFill>
              <a:round/>
            </a:ln>
            <a:effectLst/>
          </c:spPr>
        </c:majorGridlines>
        <c:numFmt formatCode="General" sourceLinked="1"/>
        <c:tickLblPos val="nextTo"/>
        <c:spPr>
          <a:noFill/>
          <a:ln>
            <a:noFill/>
          </a:ln>
          <a:effectLst/>
        </c:spPr>
        <c:txPr>
          <a:bodyPr rot="-60000000" spcFirstLastPara="1" vertOverflow="ellipsis" vert="horz" wrap="square" anchor="ctr" anchorCtr="1"/>
          <a:lstStyle/>
          <a:p>
            <a:pPr>
              <a:defRPr lang="es-ES" sz="900" b="0" i="0" u="none" strike="noStrike" kern="1200" baseline="0">
                <a:solidFill>
                  <a:schemeClr val="tx1">
                    <a:lumMod val="65000"/>
                    <a:lumOff val="35000"/>
                  </a:schemeClr>
                </a:solidFill>
                <a:latin typeface="+mn-lt"/>
                <a:ea typeface="+mn-ea"/>
                <a:cs typeface="+mn-cs"/>
              </a:defRPr>
            </a:pPr>
            <a:endParaRPr lang="es-ES"/>
          </a:p>
        </c:txPr>
        <c:crossAx val="168744064"/>
        <c:crosses val="autoZero"/>
        <c:crossBetween val="between"/>
      </c:valAx>
      <c:spPr>
        <a:noFill/>
        <a:ln>
          <a:noFill/>
        </a:ln>
        <a:effectLst/>
      </c:spPr>
    </c:plotArea>
    <c:legend>
      <c:legendPos val="r"/>
      <c:spPr>
        <a:noFill/>
        <a:ln>
          <a:noFill/>
        </a:ln>
        <a:effectLst/>
      </c:spPr>
      <c:txPr>
        <a:bodyPr rot="0" spcFirstLastPara="1" vertOverflow="ellipsis" vert="horz" wrap="square" anchor="ctr" anchorCtr="1"/>
        <a:lstStyle/>
        <a:p>
          <a:pPr>
            <a:defRPr lang="es-ES"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000000000001465" l="0.70000000000000062" r="0.70000000000000062" t="0.75000000000001465"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sz="1400"/>
              <a:t>Tipo</a:t>
            </a:r>
            <a:r>
              <a:rPr lang="es-ES" sz="1400" baseline="0"/>
              <a:t> de audiencia</a:t>
            </a:r>
            <a:endParaRPr lang="es-ES" sz="1400"/>
          </a:p>
        </c:rich>
      </c:tx>
    </c:title>
    <c:plotArea>
      <c:layout>
        <c:manualLayout>
          <c:layoutTarget val="inner"/>
          <c:xMode val="edge"/>
          <c:yMode val="edge"/>
          <c:x val="0.14824226517141698"/>
          <c:y val="0.1906900699912511"/>
          <c:w val="0.48287998091150225"/>
          <c:h val="0.73035597112860895"/>
        </c:manualLayout>
      </c:layout>
      <c:pieChart>
        <c:varyColors val="1"/>
        <c:ser>
          <c:idx val="0"/>
          <c:order val="0"/>
          <c:dLbls>
            <c:numFmt formatCode="0.0%" sourceLinked="0"/>
            <c:txPr>
              <a:bodyPr/>
              <a:lstStyle/>
              <a:p>
                <a:pPr>
                  <a:defRPr lang="es-ES"/>
                </a:pPr>
                <a:endParaRPr lang="es-ES"/>
              </a:p>
            </c:txPr>
            <c:showPercent val="1"/>
            <c:showLeaderLines val="1"/>
          </c:dLbls>
          <c:cat>
            <c:strRef>
              <c:f>'Informe de Gestión'!$U$10:$U$11</c:f>
              <c:strCache>
                <c:ptCount val="2"/>
                <c:pt idx="0">
                  <c:v>virtuales</c:v>
                </c:pt>
                <c:pt idx="1">
                  <c:v>Presenciales</c:v>
                </c:pt>
              </c:strCache>
            </c:strRef>
          </c:cat>
          <c:val>
            <c:numRef>
              <c:f>'Informe de Gestión'!$T$10:$T$11</c:f>
              <c:numCache>
                <c:formatCode>General</c:formatCode>
                <c:ptCount val="2"/>
                <c:pt idx="0">
                  <c:v>179</c:v>
                </c:pt>
                <c:pt idx="1">
                  <c:v>1245</c:v>
                </c:pt>
              </c:numCache>
            </c:numRef>
          </c:val>
        </c:ser>
        <c:dLbls>
          <c:showPercent val="1"/>
        </c:dLbls>
        <c:firstSliceAng val="0"/>
      </c:pieChart>
    </c:plotArea>
    <c:legend>
      <c:legendPos val="r"/>
      <c:txPr>
        <a:bodyPr/>
        <a:lstStyle/>
        <a:p>
          <a:pPr rtl="0">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lang val="es-ES"/>
  <c:style val="11"/>
  <c:chart>
    <c:autoTitleDeleted val="1"/>
    <c:plotArea>
      <c:layout/>
      <c:lineChart>
        <c:grouping val="standard"/>
        <c:ser>
          <c:idx val="0"/>
          <c:order val="0"/>
          <c:dLbls>
            <c:dLbl>
              <c:idx val="0"/>
              <c:layout>
                <c:manualLayout>
                  <c:x val="-3.6892361111111202E-2"/>
                  <c:y val="-4.9467275494672794E-2"/>
                </c:manualLayout>
              </c:layout>
              <c:showVal val="1"/>
            </c:dLbl>
            <c:dLbl>
              <c:idx val="1"/>
              <c:layout>
                <c:manualLayout>
                  <c:x val="-3.2552083333333315E-2"/>
                  <c:y val="-4.5662100456621134E-2"/>
                </c:manualLayout>
              </c:layout>
              <c:showVal val="1"/>
            </c:dLbl>
            <c:dLbl>
              <c:idx val="2"/>
              <c:layout>
                <c:manualLayout>
                  <c:x val="-3.4722222222222224E-2"/>
                  <c:y val="-5.7077625570776183E-2"/>
                </c:manualLayout>
              </c:layout>
              <c:showVal val="1"/>
            </c:dLbl>
            <c:dLbl>
              <c:idx val="3"/>
              <c:layout>
                <c:manualLayout>
                  <c:x val="-3.4722222222222224E-2"/>
                  <c:y val="-6.0882800608828114E-2"/>
                </c:manualLayout>
              </c:layout>
              <c:showVal val="1"/>
            </c:dLbl>
            <c:dLbl>
              <c:idx val="4"/>
              <c:layout>
                <c:manualLayout>
                  <c:x val="-3.6892361111111202E-2"/>
                  <c:y val="-5.7077625570776322E-2"/>
                </c:manualLayout>
              </c:layout>
              <c:showVal val="1"/>
            </c:dLbl>
            <c:dLbl>
              <c:idx val="5"/>
              <c:layout>
                <c:manualLayout>
                  <c:x val="-3.90625E-2"/>
                  <c:y val="-3.8051750380517502E-2"/>
                </c:manualLayout>
              </c:layout>
              <c:showVal val="1"/>
            </c:dLbl>
            <c:dLbl>
              <c:idx val="6"/>
              <c:layout>
                <c:manualLayout>
                  <c:x val="-3.6892361111111202E-2"/>
                  <c:y val="-3.4246575342465752E-2"/>
                </c:manualLayout>
              </c:layout>
              <c:showVal val="1"/>
            </c:dLbl>
            <c:dLbl>
              <c:idx val="7"/>
              <c:layout>
                <c:manualLayout>
                  <c:x val="-4.1232638888888923E-2"/>
                  <c:y val="-4.5662100456621134E-2"/>
                </c:manualLayout>
              </c:layout>
              <c:showVal val="1"/>
            </c:dLbl>
            <c:dLbl>
              <c:idx val="8"/>
              <c:layout>
                <c:manualLayout>
                  <c:x val="-4.3402777777777783E-2"/>
                  <c:y val="-4.1856925418569273E-2"/>
                </c:manualLayout>
              </c:layout>
              <c:showVal val="1"/>
            </c:dLbl>
            <c:dLbl>
              <c:idx val="9"/>
              <c:layout>
                <c:manualLayout>
                  <c:x val="-4.5572916666666761E-2"/>
                  <c:y val="-4.1856925418569273E-2"/>
                </c:manualLayout>
              </c:layout>
              <c:showVal val="1"/>
            </c:dLbl>
            <c:dLbl>
              <c:idx val="10"/>
              <c:layout>
                <c:manualLayout>
                  <c:x val="-3.6892361111111202E-2"/>
                  <c:y val="-4.9467275494672794E-2"/>
                </c:manualLayout>
              </c:layout>
              <c:showVal val="1"/>
            </c:dLbl>
            <c:dLbl>
              <c:idx val="11"/>
              <c:layout>
                <c:manualLayout>
                  <c:x val="-3.90625E-2"/>
                  <c:y val="-5.3272450532724516E-2"/>
                </c:manualLayout>
              </c:layout>
              <c:showVal val="1"/>
            </c:dLbl>
            <c:dLbl>
              <c:idx val="12"/>
              <c:layout>
                <c:manualLayout>
                  <c:x val="-3.4722222222222224E-2"/>
                  <c:y val="-5.3272450532724516E-2"/>
                </c:manualLayout>
              </c:layout>
              <c:showVal val="1"/>
            </c:dLbl>
            <c:txPr>
              <a:bodyPr/>
              <a:lstStyle/>
              <a:p>
                <a:pPr>
                  <a:defRPr lang="es-ES"/>
                </a:pPr>
                <a:endParaRPr lang="es-ES"/>
              </a:p>
            </c:txPr>
            <c:showVal val="1"/>
          </c:dLbls>
          <c:cat>
            <c:strRef>
              <c:f>'Informe de Gestión'!$J$6:$J$20</c:f>
              <c:strCache>
                <c:ptCount val="15"/>
                <c:pt idx="0">
                  <c:v>Febrero</c:v>
                </c:pt>
                <c:pt idx="1">
                  <c:v>Marzo</c:v>
                </c:pt>
                <c:pt idx="2">
                  <c:v>Abril</c:v>
                </c:pt>
                <c:pt idx="3">
                  <c:v>Mayo</c:v>
                </c:pt>
                <c:pt idx="4">
                  <c:v>Junio</c:v>
                </c:pt>
                <c:pt idx="5">
                  <c:v>Julio</c:v>
                </c:pt>
                <c:pt idx="6">
                  <c:v>Agosto</c:v>
                </c:pt>
                <c:pt idx="7">
                  <c:v>Septiembre</c:v>
                </c:pt>
                <c:pt idx="8">
                  <c:v>Octubre</c:v>
                </c:pt>
                <c:pt idx="9">
                  <c:v>Noviembre</c:v>
                </c:pt>
                <c:pt idx="10">
                  <c:v>Diciembre</c:v>
                </c:pt>
                <c:pt idx="11">
                  <c:v>Enero</c:v>
                </c:pt>
                <c:pt idx="12">
                  <c:v>Febrero</c:v>
                </c:pt>
                <c:pt idx="13">
                  <c:v>Marzo</c:v>
                </c:pt>
                <c:pt idx="14">
                  <c:v>Abril</c:v>
                </c:pt>
              </c:strCache>
            </c:strRef>
          </c:cat>
          <c:val>
            <c:numRef>
              <c:f>'Informe de Gestión'!$K$6:$K$20</c:f>
              <c:numCache>
                <c:formatCode>General</c:formatCode>
                <c:ptCount val="15"/>
                <c:pt idx="0">
                  <c:v>4</c:v>
                </c:pt>
                <c:pt idx="1">
                  <c:v>84</c:v>
                </c:pt>
                <c:pt idx="2">
                  <c:v>63</c:v>
                </c:pt>
                <c:pt idx="3">
                  <c:v>44</c:v>
                </c:pt>
                <c:pt idx="4">
                  <c:v>87</c:v>
                </c:pt>
                <c:pt idx="5">
                  <c:v>128</c:v>
                </c:pt>
                <c:pt idx="6">
                  <c:v>128</c:v>
                </c:pt>
                <c:pt idx="7">
                  <c:v>117</c:v>
                </c:pt>
                <c:pt idx="8">
                  <c:v>157</c:v>
                </c:pt>
                <c:pt idx="9">
                  <c:v>168</c:v>
                </c:pt>
                <c:pt idx="10">
                  <c:v>191</c:v>
                </c:pt>
                <c:pt idx="11">
                  <c:v>190</c:v>
                </c:pt>
                <c:pt idx="12">
                  <c:v>201</c:v>
                </c:pt>
                <c:pt idx="13">
                  <c:v>219</c:v>
                </c:pt>
                <c:pt idx="14">
                  <c:v>189</c:v>
                </c:pt>
              </c:numCache>
            </c:numRef>
          </c:val>
        </c:ser>
        <c:dropLines/>
        <c:marker val="1"/>
        <c:axId val="168928768"/>
        <c:axId val="168930688"/>
      </c:lineChart>
      <c:catAx>
        <c:axId val="168928768"/>
        <c:scaling>
          <c:orientation val="minMax"/>
        </c:scaling>
        <c:axPos val="b"/>
        <c:title>
          <c:tx>
            <c:rich>
              <a:bodyPr/>
              <a:lstStyle/>
              <a:p>
                <a:pPr>
                  <a:defRPr lang="es-ES" sz="1200" u="sng"/>
                </a:pPr>
                <a:r>
                  <a:rPr lang="es-ES" sz="1200" u="sng"/>
                  <a:t>Audiencias realizadas</a:t>
                </a:r>
                <a:r>
                  <a:rPr lang="es-ES" sz="1200" u="sng" baseline="0"/>
                  <a:t> por mes</a:t>
                </a:r>
                <a:endParaRPr lang="es-ES" sz="1200" u="sng"/>
              </a:p>
            </c:rich>
          </c:tx>
        </c:title>
        <c:majorTickMark val="none"/>
        <c:tickLblPos val="nextTo"/>
        <c:txPr>
          <a:bodyPr/>
          <a:lstStyle/>
          <a:p>
            <a:pPr>
              <a:defRPr lang="es-ES"/>
            </a:pPr>
            <a:endParaRPr lang="es-ES"/>
          </a:p>
        </c:txPr>
        <c:crossAx val="168930688"/>
        <c:crosses val="autoZero"/>
        <c:auto val="1"/>
        <c:lblAlgn val="ctr"/>
        <c:lblOffset val="100"/>
      </c:catAx>
      <c:valAx>
        <c:axId val="168930688"/>
        <c:scaling>
          <c:orientation val="minMax"/>
        </c:scaling>
        <c:axPos val="l"/>
        <c:majorGridlines/>
        <c:numFmt formatCode="General" sourceLinked="1"/>
        <c:tickLblPos val="nextTo"/>
        <c:txPr>
          <a:bodyPr/>
          <a:lstStyle/>
          <a:p>
            <a:pPr>
              <a:defRPr lang="es-ES"/>
            </a:pPr>
            <a:endParaRPr lang="es-ES"/>
          </a:p>
        </c:txPr>
        <c:crossAx val="168928768"/>
        <c:crosses val="autoZero"/>
        <c:crossBetween val="between"/>
      </c:valAx>
    </c:plotArea>
    <c:plotVisOnly val="1"/>
  </c:chart>
  <c:printSettings>
    <c:headerFooter/>
    <c:pageMargins b="0.75000000000001465" l="0.70000000000000062" r="0.70000000000000062" t="0.75000000000001465"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lang val="es-ES"/>
  <c:style val="4"/>
  <c:chart>
    <c:title>
      <c:tx>
        <c:rich>
          <a:bodyPr/>
          <a:lstStyle/>
          <a:p>
            <a:pPr>
              <a:defRPr lang="es-ES" sz="1200" u="sng"/>
            </a:pPr>
            <a:r>
              <a:rPr lang="en-US" sz="1200" u="sng"/>
              <a:t>Preventivas ingresadas x mes</a:t>
            </a:r>
          </a:p>
        </c:rich>
      </c:tx>
      <c:layout>
        <c:manualLayout>
          <c:xMode val="edge"/>
          <c:yMode val="edge"/>
          <c:x val="0.24035485924248959"/>
          <c:y val="0.88115915214452123"/>
        </c:manualLayout>
      </c:layout>
    </c:title>
    <c:plotArea>
      <c:layout>
        <c:manualLayout>
          <c:layoutTarget val="inner"/>
          <c:xMode val="edge"/>
          <c:yMode val="edge"/>
          <c:x val="8.2573171075809304E-2"/>
          <c:y val="5.0541275654068005E-2"/>
          <c:w val="0.8918305567088437"/>
          <c:h val="0.59681673800698243"/>
        </c:manualLayout>
      </c:layout>
      <c:lineChart>
        <c:grouping val="standard"/>
        <c:ser>
          <c:idx val="0"/>
          <c:order val="0"/>
          <c:dLbls>
            <c:txPr>
              <a:bodyPr/>
              <a:lstStyle/>
              <a:p>
                <a:pPr>
                  <a:defRPr lang="es-ES"/>
                </a:pPr>
                <a:endParaRPr lang="es-ES"/>
              </a:p>
            </c:txPr>
            <c:dLblPos val="t"/>
            <c:showVal val="1"/>
          </c:dLbls>
          <c:cat>
            <c:strRef>
              <c:f>'Informe de Gestión'!$G$6:$G$20</c:f>
              <c:strCache>
                <c:ptCount val="15"/>
                <c:pt idx="0">
                  <c:v>Febrero</c:v>
                </c:pt>
                <c:pt idx="1">
                  <c:v>Marzo</c:v>
                </c:pt>
                <c:pt idx="2">
                  <c:v>Abril</c:v>
                </c:pt>
                <c:pt idx="3">
                  <c:v>Mayo</c:v>
                </c:pt>
                <c:pt idx="4">
                  <c:v>Junio</c:v>
                </c:pt>
                <c:pt idx="5">
                  <c:v>Julio</c:v>
                </c:pt>
                <c:pt idx="6">
                  <c:v>Agosto</c:v>
                </c:pt>
                <c:pt idx="7">
                  <c:v>Septiembre</c:v>
                </c:pt>
                <c:pt idx="8">
                  <c:v>Octubre</c:v>
                </c:pt>
                <c:pt idx="9">
                  <c:v>Noviembre</c:v>
                </c:pt>
                <c:pt idx="10">
                  <c:v>Diciembre</c:v>
                </c:pt>
                <c:pt idx="11">
                  <c:v>Enero</c:v>
                </c:pt>
                <c:pt idx="12">
                  <c:v>Febrero</c:v>
                </c:pt>
                <c:pt idx="13">
                  <c:v>Marzo</c:v>
                </c:pt>
                <c:pt idx="14">
                  <c:v>Abril</c:v>
                </c:pt>
              </c:strCache>
            </c:strRef>
          </c:cat>
          <c:val>
            <c:numRef>
              <c:f>'Informe de Gestión'!$H$6:$H$20</c:f>
              <c:numCache>
                <c:formatCode>General</c:formatCode>
                <c:ptCount val="15"/>
                <c:pt idx="0">
                  <c:v>17</c:v>
                </c:pt>
                <c:pt idx="1">
                  <c:v>131</c:v>
                </c:pt>
                <c:pt idx="2">
                  <c:v>6</c:v>
                </c:pt>
                <c:pt idx="3">
                  <c:v>64</c:v>
                </c:pt>
                <c:pt idx="4">
                  <c:v>110</c:v>
                </c:pt>
                <c:pt idx="5">
                  <c:v>116</c:v>
                </c:pt>
                <c:pt idx="6">
                  <c:v>139</c:v>
                </c:pt>
                <c:pt idx="7">
                  <c:v>150</c:v>
                </c:pt>
                <c:pt idx="8">
                  <c:v>162</c:v>
                </c:pt>
                <c:pt idx="9">
                  <c:v>177</c:v>
                </c:pt>
                <c:pt idx="10">
                  <c:v>216</c:v>
                </c:pt>
                <c:pt idx="11">
                  <c:v>191</c:v>
                </c:pt>
                <c:pt idx="12">
                  <c:v>196</c:v>
                </c:pt>
                <c:pt idx="13">
                  <c:v>202</c:v>
                </c:pt>
                <c:pt idx="14">
                  <c:v>203</c:v>
                </c:pt>
              </c:numCache>
            </c:numRef>
          </c:val>
        </c:ser>
        <c:dLbls>
          <c:showVal val="1"/>
        </c:dLbls>
        <c:dropLines/>
        <c:marker val="1"/>
        <c:axId val="166878208"/>
        <c:axId val="166888192"/>
      </c:lineChart>
      <c:catAx>
        <c:axId val="166878208"/>
        <c:scaling>
          <c:orientation val="minMax"/>
        </c:scaling>
        <c:axPos val="b"/>
        <c:majorTickMark val="none"/>
        <c:tickLblPos val="nextTo"/>
        <c:txPr>
          <a:bodyPr/>
          <a:lstStyle/>
          <a:p>
            <a:pPr>
              <a:defRPr lang="es-ES"/>
            </a:pPr>
            <a:endParaRPr lang="es-ES"/>
          </a:p>
        </c:txPr>
        <c:crossAx val="166888192"/>
        <c:crosses val="autoZero"/>
        <c:auto val="1"/>
        <c:lblAlgn val="ctr"/>
        <c:lblOffset val="100"/>
      </c:catAx>
      <c:valAx>
        <c:axId val="166888192"/>
        <c:scaling>
          <c:orientation val="minMax"/>
        </c:scaling>
        <c:axPos val="l"/>
        <c:majorGridlines/>
        <c:numFmt formatCode="General" sourceLinked="1"/>
        <c:majorTickMark val="none"/>
        <c:tickLblPos val="nextTo"/>
        <c:spPr>
          <a:ln w="9525">
            <a:noFill/>
          </a:ln>
        </c:spPr>
        <c:txPr>
          <a:bodyPr/>
          <a:lstStyle/>
          <a:p>
            <a:pPr>
              <a:defRPr lang="es-ES"/>
            </a:pPr>
            <a:endParaRPr lang="es-ES"/>
          </a:p>
        </c:txPr>
        <c:crossAx val="166878208"/>
        <c:crosses val="autoZero"/>
        <c:crossBetween val="between"/>
      </c:valAx>
    </c:plotArea>
    <c:plotVisOnly val="1"/>
  </c:chart>
  <c:printSettings>
    <c:headerFooter/>
    <c:pageMargins b="0.75000000000001465" l="0.70000000000000062" r="0.70000000000000062" t="0.75000000000001465"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axId val="170124800"/>
        <c:axId val="170126336"/>
      </c:barChart>
      <c:catAx>
        <c:axId val="170124800"/>
        <c:scaling>
          <c:orientation val="minMax"/>
        </c:scaling>
        <c:axPos val="b"/>
        <c:majorTickMark val="none"/>
        <c:tickLblPos val="nextTo"/>
        <c:txPr>
          <a:bodyPr/>
          <a:lstStyle/>
          <a:p>
            <a:pPr>
              <a:defRPr lang="es-ES"/>
            </a:pPr>
            <a:endParaRPr lang="es-ES"/>
          </a:p>
        </c:txPr>
        <c:crossAx val="170126336"/>
        <c:crosses val="autoZero"/>
        <c:auto val="1"/>
        <c:lblAlgn val="ctr"/>
        <c:lblOffset val="100"/>
      </c:catAx>
      <c:valAx>
        <c:axId val="170126336"/>
        <c:scaling>
          <c:orientation val="minMax"/>
        </c:scaling>
        <c:axPos val="l"/>
        <c:majorGridlines/>
        <c:numFmt formatCode="General" sourceLinked="1"/>
        <c:majorTickMark val="none"/>
        <c:tickLblPos val="nextTo"/>
        <c:txPr>
          <a:bodyPr/>
          <a:lstStyle/>
          <a:p>
            <a:pPr>
              <a:defRPr lang="es-ES"/>
            </a:pPr>
            <a:endParaRPr lang="es-ES"/>
          </a:p>
        </c:txPr>
        <c:crossAx val="170124800"/>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axId val="172873600"/>
        <c:axId val="172875136"/>
      </c:barChart>
      <c:catAx>
        <c:axId val="172873600"/>
        <c:scaling>
          <c:orientation val="minMax"/>
        </c:scaling>
        <c:axPos val="b"/>
        <c:majorTickMark val="none"/>
        <c:tickLblPos val="nextTo"/>
        <c:txPr>
          <a:bodyPr/>
          <a:lstStyle/>
          <a:p>
            <a:pPr>
              <a:defRPr lang="es-ES"/>
            </a:pPr>
            <a:endParaRPr lang="es-ES"/>
          </a:p>
        </c:txPr>
        <c:crossAx val="172875136"/>
        <c:crosses val="autoZero"/>
        <c:auto val="1"/>
        <c:lblAlgn val="ctr"/>
        <c:lblOffset val="100"/>
      </c:catAx>
      <c:valAx>
        <c:axId val="172875136"/>
        <c:scaling>
          <c:orientation val="minMax"/>
        </c:scaling>
        <c:axPos val="l"/>
        <c:majorGridlines/>
        <c:numFmt formatCode="General" sourceLinked="1"/>
        <c:majorTickMark val="none"/>
        <c:tickLblPos val="nextTo"/>
        <c:txPr>
          <a:bodyPr/>
          <a:lstStyle/>
          <a:p>
            <a:pPr>
              <a:defRPr lang="es-ES"/>
            </a:pPr>
            <a:endParaRPr lang="es-ES"/>
          </a:p>
        </c:txPr>
        <c:crossAx val="17287360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axId val="170613376"/>
        <c:axId val="170643840"/>
      </c:barChart>
      <c:catAx>
        <c:axId val="170613376"/>
        <c:scaling>
          <c:orientation val="minMax"/>
        </c:scaling>
        <c:axPos val="b"/>
        <c:majorTickMark val="none"/>
        <c:tickLblPos val="nextTo"/>
        <c:txPr>
          <a:bodyPr/>
          <a:lstStyle/>
          <a:p>
            <a:pPr>
              <a:defRPr lang="es-ES"/>
            </a:pPr>
            <a:endParaRPr lang="es-ES"/>
          </a:p>
        </c:txPr>
        <c:crossAx val="170643840"/>
        <c:crosses val="autoZero"/>
        <c:auto val="1"/>
        <c:lblAlgn val="ctr"/>
        <c:lblOffset val="100"/>
      </c:catAx>
      <c:valAx>
        <c:axId val="170643840"/>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70613376"/>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A8ED-472C-9D17-794079663604}"/>
              </c:ext>
            </c:extLst>
          </c:dPt>
          <c:dPt>
            <c:idx val="1"/>
            <c:spPr>
              <a:solidFill>
                <a:srgbClr val="00B050"/>
              </a:solidFill>
            </c:spPr>
            <c:extLst xmlns:c16r2="http://schemas.microsoft.com/office/drawing/2015/06/chart">
              <c:ext xmlns:c16="http://schemas.microsoft.com/office/drawing/2014/chart" uri="{C3380CC4-5D6E-409C-BE32-E72D297353CC}">
                <c16:uniqueId val="{00000001-A8ED-472C-9D17-794079663604}"/>
              </c:ext>
            </c:extLst>
          </c:dPt>
          <c:dPt>
            <c:idx val="2"/>
            <c:spPr>
              <a:solidFill>
                <a:srgbClr val="92D050"/>
              </a:solidFill>
            </c:spPr>
            <c:extLst xmlns:c16r2="http://schemas.microsoft.com/office/drawing/2015/06/chart">
              <c:ext xmlns:c16="http://schemas.microsoft.com/office/drawing/2014/chart" uri="{C3380CC4-5D6E-409C-BE32-E72D297353CC}">
                <c16:uniqueId val="{00000002-A8ED-472C-9D17-794079663604}"/>
              </c:ext>
            </c:extLst>
          </c:dPt>
          <c:dPt>
            <c:idx val="4"/>
            <c:spPr>
              <a:solidFill>
                <a:srgbClr val="7030A0"/>
              </a:solidFill>
            </c:spPr>
            <c:extLst xmlns:c16r2="http://schemas.microsoft.com/office/drawing/2015/06/char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4-A8ED-472C-9D17-794079663604}"/>
            </c:ext>
          </c:extLst>
        </c:ser>
        <c:axId val="172915712"/>
        <c:axId val="172929792"/>
      </c:barChart>
      <c:catAx>
        <c:axId val="172915712"/>
        <c:scaling>
          <c:orientation val="minMax"/>
        </c:scaling>
        <c:axPos val="b"/>
        <c:numFmt formatCode="General" sourceLinked="0"/>
        <c:majorTickMark val="none"/>
        <c:tickLblPos val="nextTo"/>
        <c:txPr>
          <a:bodyPr/>
          <a:lstStyle/>
          <a:p>
            <a:pPr>
              <a:defRPr lang="es-ES"/>
            </a:pPr>
            <a:endParaRPr lang="es-ES"/>
          </a:p>
        </c:txPr>
        <c:crossAx val="172929792"/>
        <c:crosses val="autoZero"/>
        <c:auto val="1"/>
        <c:lblAlgn val="ctr"/>
        <c:lblOffset val="100"/>
      </c:catAx>
      <c:valAx>
        <c:axId val="172929792"/>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7291571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Percent val="1"/>
        </c:dLbls>
        <c:firstSliceAng val="0"/>
      </c:pieChart>
    </c:plotArea>
    <c:legend>
      <c:legendPos val="r"/>
      <c:txPr>
        <a:bodyPr/>
        <a:lstStyle/>
        <a:p>
          <a:pPr rtl="0">
            <a:defRPr lang="es-ES"/>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lang val="es-ES"/>
  <c:chart>
    <c:autoTitleDeleted val="1"/>
    <c:plotArea>
      <c:layout>
        <c:manualLayout>
          <c:layoutTarget val="inner"/>
          <c:xMode val="edge"/>
          <c:yMode val="edge"/>
          <c:x val="8.6170445308967725E-2"/>
          <c:y val="8.6996923657074746E-2"/>
          <c:w val="0.5598236652447236"/>
          <c:h val="0.87500003013896765"/>
        </c:manualLayout>
      </c:layout>
      <c:pieChart>
        <c:varyColors val="1"/>
        <c:ser>
          <c:idx val="0"/>
          <c:order val="0"/>
          <c:dLbls>
            <c:numFmt formatCode="0.0%" sourceLinked="0"/>
            <c:spPr>
              <a:noFill/>
              <a:ln>
                <a:noFill/>
              </a:ln>
              <a:effectLst/>
            </c:spPr>
            <c:txPr>
              <a:bodyPr/>
              <a:lstStyle/>
              <a:p>
                <a:pPr>
                  <a:defRPr lang="es-ES" sz="1200" b="1"/>
                </a:pPr>
                <a:endParaRPr lang="es-ES"/>
              </a:p>
            </c:txPr>
            <c:showPercent val="1"/>
            <c:showLeaderLines val="1"/>
            <c:extLst xmlns:c16r2="http://schemas.microsoft.com/office/drawing/2015/06/chart">
              <c:ext xmlns:c15="http://schemas.microsoft.com/office/drawing/2012/chart" uri="{CE6537A1-D6FC-4f65-9D91-7224C49458BB}"/>
            </c:extLst>
          </c:dLbls>
          <c:cat>
            <c:strRef>
              <c:f>Feria!$AR$6:$AR$12</c:f>
              <c:strCache>
                <c:ptCount val="7"/>
                <c:pt idx="0">
                  <c:v>Juicio Abreviado</c:v>
                </c:pt>
                <c:pt idx="1">
                  <c:v>Prisión Preventiva</c:v>
                </c:pt>
                <c:pt idx="2">
                  <c:v>Libertad</c:v>
                </c:pt>
                <c:pt idx="3">
                  <c:v>Suspendida</c:v>
                </c:pt>
                <c:pt idx="4">
                  <c:v>Prision domiciliaria</c:v>
                </c:pt>
                <c:pt idx="5">
                  <c:v>Suspensión de juicio a prueba</c:v>
                </c:pt>
                <c:pt idx="6">
                  <c:v>Sobreseimiento</c:v>
                </c:pt>
              </c:strCache>
            </c:strRef>
          </c:cat>
          <c:val>
            <c:numRef>
              <c:f>Feria!$AQ$6:$AQ$12</c:f>
              <c:numCache>
                <c:formatCode>General</c:formatCode>
                <c:ptCount val="7"/>
                <c:pt idx="0">
                  <c:v>44</c:v>
                </c:pt>
                <c:pt idx="1">
                  <c:v>26</c:v>
                </c:pt>
                <c:pt idx="2">
                  <c:v>12</c:v>
                </c:pt>
                <c:pt idx="3">
                  <c:v>6</c:v>
                </c:pt>
                <c:pt idx="4">
                  <c:v>2</c:v>
                </c:pt>
                <c:pt idx="5">
                  <c:v>1</c:v>
                </c:pt>
                <c:pt idx="6">
                  <c:v>1</c:v>
                </c:pt>
              </c:numCache>
            </c:numRef>
          </c:val>
          <c:extLst xmlns:c16r2="http://schemas.microsoft.com/office/drawing/2015/06/chart">
            <c:ext xmlns:c16="http://schemas.microsoft.com/office/drawing/2014/chart" uri="{C3380CC4-5D6E-409C-BE32-E72D297353CC}">
              <c16:uniqueId val="{00000000-7966-459D-9595-B0ED6771A6B6}"/>
            </c:ext>
          </c:extLst>
        </c:ser>
        <c:dLbls>
          <c:showPercent val="1"/>
        </c:dLbls>
        <c:firstSliceAng val="0"/>
      </c:pieChart>
    </c:plotArea>
    <c:legend>
      <c:legendPos val="r"/>
      <c:txPr>
        <a:bodyPr/>
        <a:lstStyle/>
        <a:p>
          <a:pPr rtl="0">
            <a:defRPr lang="es-ES" sz="14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lang val="es-ES"/>
  <c:chart>
    <c:autoTitleDeleted val="1"/>
    <c:plotArea>
      <c:layout>
        <c:manualLayout>
          <c:layoutTarget val="inner"/>
          <c:xMode val="edge"/>
          <c:yMode val="edge"/>
          <c:x val="8.6170445308967725E-2"/>
          <c:y val="8.6996923657074746E-2"/>
          <c:w val="0.5598236652447236"/>
          <c:h val="0.87500003013896765"/>
        </c:manualLayout>
      </c:layout>
      <c:pieChart>
        <c:varyColors val="1"/>
        <c:ser>
          <c:idx val="0"/>
          <c:order val="0"/>
          <c:dLbls>
            <c:numFmt formatCode="0.0%" sourceLinked="0"/>
            <c:spPr>
              <a:noFill/>
              <a:ln>
                <a:noFill/>
              </a:ln>
              <a:effectLst/>
            </c:spPr>
            <c:txPr>
              <a:bodyPr/>
              <a:lstStyle/>
              <a:p>
                <a:pPr>
                  <a:defRPr lang="es-ES" sz="1200" b="1"/>
                </a:pPr>
                <a:endParaRPr lang="es-ES"/>
              </a:p>
            </c:txPr>
            <c:showPercent val="1"/>
            <c:showLeaderLines val="1"/>
            <c:extLst xmlns:c16r2="http://schemas.microsoft.com/office/drawing/2015/06/chart">
              <c:ext xmlns:c15="http://schemas.microsoft.com/office/drawing/2012/chart" uri="{CE6537A1-D6FC-4f65-9D91-7224C49458BB}"/>
            </c:extLst>
          </c:dLbls>
          <c:cat>
            <c:strRef>
              <c:f>Feria!$AR$28:$AR$33</c:f>
              <c:strCache>
                <c:ptCount val="6"/>
                <c:pt idx="0">
                  <c:v>Juicio Abreviado</c:v>
                </c:pt>
                <c:pt idx="1">
                  <c:v>Prisión Preventiva</c:v>
                </c:pt>
                <c:pt idx="2">
                  <c:v>Libertad</c:v>
                </c:pt>
                <c:pt idx="3">
                  <c:v>Suspendida</c:v>
                </c:pt>
                <c:pt idx="4">
                  <c:v>Prision domiciliaria</c:v>
                </c:pt>
                <c:pt idx="5">
                  <c:v>Suspensión de juicio a prueba</c:v>
                </c:pt>
              </c:strCache>
            </c:strRef>
          </c:cat>
          <c:val>
            <c:numRef>
              <c:f>Feria!$AQ$28:$AQ$33</c:f>
              <c:numCache>
                <c:formatCode>General</c:formatCode>
                <c:ptCount val="6"/>
                <c:pt idx="0">
                  <c:v>37</c:v>
                </c:pt>
                <c:pt idx="1">
                  <c:v>38</c:v>
                </c:pt>
                <c:pt idx="2">
                  <c:v>9</c:v>
                </c:pt>
                <c:pt idx="3">
                  <c:v>6</c:v>
                </c:pt>
                <c:pt idx="4">
                  <c:v>4</c:v>
                </c:pt>
                <c:pt idx="5">
                  <c:v>4</c:v>
                </c:pt>
              </c:numCache>
            </c:numRef>
          </c:val>
          <c:extLst xmlns:c16r2="http://schemas.microsoft.com/office/drawing/2015/06/chart">
            <c:ext xmlns:c16="http://schemas.microsoft.com/office/drawing/2014/chart" uri="{C3380CC4-5D6E-409C-BE32-E72D297353CC}">
              <c16:uniqueId val="{00000000-7966-459D-9595-B0ED6771A6B6}"/>
            </c:ext>
          </c:extLst>
        </c:ser>
        <c:dLbls>
          <c:showPercent val="1"/>
        </c:dLbls>
        <c:firstSliceAng val="0"/>
      </c:pieChart>
    </c:plotArea>
    <c:legend>
      <c:legendPos val="r"/>
      <c:txPr>
        <a:bodyPr/>
        <a:lstStyle/>
        <a:p>
          <a:pPr rtl="0">
            <a:defRPr lang="es-ES" sz="14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lang val="es-ES"/>
  <c:chart>
    <c:autoTitleDeleted val="1"/>
    <c:plotArea>
      <c:layout>
        <c:manualLayout>
          <c:layoutTarget val="inner"/>
          <c:xMode val="edge"/>
          <c:yMode val="edge"/>
          <c:x val="8.6170445308967725E-2"/>
          <c:y val="8.6996923657074746E-2"/>
          <c:w val="0.5598236652447236"/>
          <c:h val="0.87500003013896765"/>
        </c:manualLayout>
      </c:layout>
      <c:pieChart>
        <c:varyColors val="1"/>
        <c:ser>
          <c:idx val="0"/>
          <c:order val="0"/>
          <c:dLbls>
            <c:numFmt formatCode="0.0%" sourceLinked="0"/>
            <c:spPr>
              <a:noFill/>
              <a:ln>
                <a:noFill/>
              </a:ln>
              <a:effectLst/>
            </c:spPr>
            <c:txPr>
              <a:bodyPr/>
              <a:lstStyle/>
              <a:p>
                <a:pPr>
                  <a:defRPr lang="es-ES" sz="1200" b="1"/>
                </a:pPr>
                <a:endParaRPr lang="es-ES"/>
              </a:p>
            </c:txPr>
            <c:showPercent val="1"/>
            <c:showLeaderLines val="1"/>
            <c:extLst xmlns:c16r2="http://schemas.microsoft.com/office/drawing/2015/06/chart">
              <c:ext xmlns:c15="http://schemas.microsoft.com/office/drawing/2012/chart" uri="{CE6537A1-D6FC-4f65-9D91-7224C49458BB}"/>
            </c:extLst>
          </c:dLbls>
          <c:cat>
            <c:strRef>
              <c:f>Feria!$AR$6:$AR$12</c:f>
              <c:strCache>
                <c:ptCount val="7"/>
                <c:pt idx="0">
                  <c:v>Juicio Abreviado</c:v>
                </c:pt>
                <c:pt idx="1">
                  <c:v>Prisión Preventiva</c:v>
                </c:pt>
                <c:pt idx="2">
                  <c:v>Libertad</c:v>
                </c:pt>
                <c:pt idx="3">
                  <c:v>Suspendida</c:v>
                </c:pt>
                <c:pt idx="4">
                  <c:v>Prision domiciliaria</c:v>
                </c:pt>
                <c:pt idx="5">
                  <c:v>Suspensión de juicio a prueba</c:v>
                </c:pt>
                <c:pt idx="6">
                  <c:v>Sobreseimiento</c:v>
                </c:pt>
              </c:strCache>
            </c:strRef>
          </c:cat>
          <c:val>
            <c:numRef>
              <c:f>Feria!$AQ$6:$AQ$12</c:f>
              <c:numCache>
                <c:formatCode>General</c:formatCode>
                <c:ptCount val="7"/>
                <c:pt idx="0">
                  <c:v>44</c:v>
                </c:pt>
                <c:pt idx="1">
                  <c:v>26</c:v>
                </c:pt>
                <c:pt idx="2">
                  <c:v>12</c:v>
                </c:pt>
                <c:pt idx="3">
                  <c:v>6</c:v>
                </c:pt>
                <c:pt idx="4">
                  <c:v>2</c:v>
                </c:pt>
                <c:pt idx="5">
                  <c:v>1</c:v>
                </c:pt>
                <c:pt idx="6">
                  <c:v>1</c:v>
                </c:pt>
              </c:numCache>
            </c:numRef>
          </c:val>
          <c:extLst xmlns:c16r2="http://schemas.microsoft.com/office/drawing/2015/06/chart">
            <c:ext xmlns:c16="http://schemas.microsoft.com/office/drawing/2014/chart" uri="{C3380CC4-5D6E-409C-BE32-E72D297353CC}">
              <c16:uniqueId val="{00000000-7966-459D-9595-B0ED6771A6B6}"/>
            </c:ext>
          </c:extLst>
        </c:ser>
        <c:dLbls>
          <c:showPercent val="1"/>
        </c:dLbls>
        <c:firstSliceAng val="0"/>
      </c:pieChart>
    </c:plotArea>
    <c:legend>
      <c:legendPos val="r"/>
      <c:txPr>
        <a:bodyPr/>
        <a:lstStyle/>
        <a:p>
          <a:pPr rtl="0">
            <a:defRPr lang="es-ES" sz="14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lang val="es-ES"/>
  <c:chart>
    <c:autoTitleDeleted val="1"/>
    <c:plotArea>
      <c:layout>
        <c:manualLayout>
          <c:layoutTarget val="inner"/>
          <c:xMode val="edge"/>
          <c:yMode val="edge"/>
          <c:x val="8.6170445308967725E-2"/>
          <c:y val="8.6996923657074746E-2"/>
          <c:w val="0.5598236652447236"/>
          <c:h val="0.87500003013896765"/>
        </c:manualLayout>
      </c:layout>
      <c:pieChart>
        <c:varyColors val="1"/>
        <c:ser>
          <c:idx val="0"/>
          <c:order val="0"/>
          <c:dLbls>
            <c:numFmt formatCode="0.0%" sourceLinked="0"/>
            <c:spPr>
              <a:noFill/>
              <a:ln>
                <a:noFill/>
              </a:ln>
              <a:effectLst/>
            </c:spPr>
            <c:txPr>
              <a:bodyPr/>
              <a:lstStyle/>
              <a:p>
                <a:pPr>
                  <a:defRPr lang="es-ES" sz="1200" b="1"/>
                </a:pPr>
                <a:endParaRPr lang="es-ES"/>
              </a:p>
            </c:txPr>
            <c:showPercent val="1"/>
            <c:showLeaderLines val="1"/>
            <c:extLst xmlns:c16r2="http://schemas.microsoft.com/office/drawing/2015/06/chart">
              <c:ext xmlns:c15="http://schemas.microsoft.com/office/drawing/2012/chart" uri="{CE6537A1-D6FC-4f65-9D91-7224C49458BB}"/>
            </c:extLst>
          </c:dLbls>
          <c:cat>
            <c:strRef>
              <c:f>Feria!$AR$71:$AR$73</c:f>
              <c:strCache>
                <c:ptCount val="3"/>
                <c:pt idx="0">
                  <c:v>Suspendida por otras causas procesales</c:v>
                </c:pt>
                <c:pt idx="1">
                  <c:v>Suspendida por pedido de las partes</c:v>
                </c:pt>
                <c:pt idx="2">
                  <c:v>Suspensión por incomparecencia de las partes</c:v>
                </c:pt>
              </c:strCache>
            </c:strRef>
          </c:cat>
          <c:val>
            <c:numRef>
              <c:f>Feria!$AQ$71:$AQ$73</c:f>
              <c:numCache>
                <c:formatCode>General</c:formatCode>
                <c:ptCount val="3"/>
                <c:pt idx="0">
                  <c:v>4</c:v>
                </c:pt>
                <c:pt idx="1">
                  <c:v>6</c:v>
                </c:pt>
                <c:pt idx="2">
                  <c:v>2</c:v>
                </c:pt>
              </c:numCache>
            </c:numRef>
          </c:val>
          <c:extLst xmlns:c16r2="http://schemas.microsoft.com/office/drawing/2015/06/chart">
            <c:ext xmlns:c16="http://schemas.microsoft.com/office/drawing/2014/chart" uri="{C3380CC4-5D6E-409C-BE32-E72D297353CC}">
              <c16:uniqueId val="{00000000-7966-459D-9595-B0ED6771A6B6}"/>
            </c:ext>
          </c:extLst>
        </c:ser>
        <c:dLbls>
          <c:showPercent val="1"/>
        </c:dLbls>
        <c:firstSliceAng val="0"/>
      </c:pieChart>
    </c:plotArea>
    <c:legend>
      <c:legendPos val="r"/>
      <c:txPr>
        <a:bodyPr/>
        <a:lstStyle/>
        <a:p>
          <a:pPr rtl="0">
            <a:defRPr lang="es-ES" sz="14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9.xml"/><Relationship Id="rId13" Type="http://schemas.openxmlformats.org/officeDocument/2006/relationships/chart" Target="../charts/chart24.xml"/><Relationship Id="rId3" Type="http://schemas.openxmlformats.org/officeDocument/2006/relationships/chart" Target="../charts/chart14.xml"/><Relationship Id="rId7" Type="http://schemas.openxmlformats.org/officeDocument/2006/relationships/chart" Target="../charts/chart18.xml"/><Relationship Id="rId12" Type="http://schemas.openxmlformats.org/officeDocument/2006/relationships/chart" Target="../charts/chart23.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11" Type="http://schemas.openxmlformats.org/officeDocument/2006/relationships/chart" Target="../charts/chart22.xml"/><Relationship Id="rId5" Type="http://schemas.openxmlformats.org/officeDocument/2006/relationships/chart" Target="../charts/chart16.xml"/><Relationship Id="rId15" Type="http://schemas.openxmlformats.org/officeDocument/2006/relationships/chart" Target="../charts/chart26.xml"/><Relationship Id="rId10" Type="http://schemas.openxmlformats.org/officeDocument/2006/relationships/chart" Target="../charts/chart21.xml"/><Relationship Id="rId4" Type="http://schemas.openxmlformats.org/officeDocument/2006/relationships/chart" Target="../charts/chart15.xml"/><Relationship Id="rId9" Type="http://schemas.openxmlformats.org/officeDocument/2006/relationships/chart" Target="../charts/chart20.xml"/><Relationship Id="rId1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5" Type="http://schemas.openxmlformats.org/officeDocument/2006/relationships/chart" Target="../charts/chart33.xml"/><Relationship Id="rId4" Type="http://schemas.openxmlformats.org/officeDocument/2006/relationships/chart" Target="../charts/chart32.xml"/></Relationships>
</file>

<file path=xl/drawings/_rels/drawing9.xml.rels><?xml version="1.0" encoding="UTF-8" standalone="yes"?>
<Relationships xmlns="http://schemas.openxmlformats.org/package/2006/relationships"><Relationship Id="rId8" Type="http://schemas.openxmlformats.org/officeDocument/2006/relationships/chart" Target="../charts/chart41.xml"/><Relationship Id="rId3" Type="http://schemas.openxmlformats.org/officeDocument/2006/relationships/chart" Target="../charts/chart36.xml"/><Relationship Id="rId7" Type="http://schemas.openxmlformats.org/officeDocument/2006/relationships/chart" Target="../charts/chart40.xml"/><Relationship Id="rId12" Type="http://schemas.openxmlformats.org/officeDocument/2006/relationships/chart" Target="../charts/chart45.xml"/><Relationship Id="rId2" Type="http://schemas.openxmlformats.org/officeDocument/2006/relationships/chart" Target="../charts/chart35.xml"/><Relationship Id="rId1" Type="http://schemas.openxmlformats.org/officeDocument/2006/relationships/chart" Target="../charts/chart34.xml"/><Relationship Id="rId6" Type="http://schemas.openxmlformats.org/officeDocument/2006/relationships/chart" Target="../charts/chart39.xml"/><Relationship Id="rId11" Type="http://schemas.openxmlformats.org/officeDocument/2006/relationships/chart" Target="../charts/chart44.xml"/><Relationship Id="rId5" Type="http://schemas.openxmlformats.org/officeDocument/2006/relationships/chart" Target="../charts/chart38.xml"/><Relationship Id="rId10" Type="http://schemas.openxmlformats.org/officeDocument/2006/relationships/chart" Target="../charts/chart43.xml"/><Relationship Id="rId4" Type="http://schemas.openxmlformats.org/officeDocument/2006/relationships/chart" Target="../charts/chart37.xml"/><Relationship Id="rId9" Type="http://schemas.openxmlformats.org/officeDocument/2006/relationships/chart" Target="../charts/chart4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550328</xdr:colOff>
      <xdr:row>0</xdr:row>
      <xdr:rowOff>1339904</xdr:rowOff>
    </xdr:from>
    <xdr:to>
      <xdr:col>7</xdr:col>
      <xdr:colOff>777831</xdr:colOff>
      <xdr:row>0</xdr:row>
      <xdr:rowOff>1552816</xdr:rowOff>
    </xdr:to>
    <xdr:sp macro="" textlink="">
      <xdr:nvSpPr>
        <xdr:cNvPr id="11" name="10 CuadroTexto">
          <a:extLst>
            <a:ext uri="{FF2B5EF4-FFF2-40B4-BE49-F238E27FC236}">
              <a16:creationId xmlns="" xmlns:a16="http://schemas.microsoft.com/office/drawing/2014/main" id="{00000000-0008-0000-0000-000005000000}"/>
            </a:ext>
          </a:extLst>
        </xdr:cNvPr>
        <xdr:cNvSpPr txBox="1"/>
      </xdr:nvSpPr>
      <xdr:spPr>
        <a:xfrm>
          <a:off x="7408328" y="1339904"/>
          <a:ext cx="12360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567524</xdr:colOff>
      <xdr:row>0</xdr:row>
      <xdr:rowOff>705971</xdr:rowOff>
    </xdr:from>
    <xdr:to>
      <xdr:col>9</xdr:col>
      <xdr:colOff>784412</xdr:colOff>
      <xdr:row>0</xdr:row>
      <xdr:rowOff>972510</xdr:rowOff>
    </xdr:to>
    <xdr:sp macro="" textlink="">
      <xdr:nvSpPr>
        <xdr:cNvPr id="12" name="11 CuadroTexto">
          <a:extLst>
            <a:ext uri="{FF2B5EF4-FFF2-40B4-BE49-F238E27FC236}">
              <a16:creationId xmlns="" xmlns:a16="http://schemas.microsoft.com/office/drawing/2014/main" id="{00000000-0008-0000-0000-000007000000}"/>
            </a:ext>
          </a:extLst>
        </xdr:cNvPr>
        <xdr:cNvSpPr txBox="1"/>
      </xdr:nvSpPr>
      <xdr:spPr>
        <a:xfrm>
          <a:off x="7425524" y="705971"/>
          <a:ext cx="2839064" cy="266539"/>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557942</xdr:colOff>
      <xdr:row>0</xdr:row>
      <xdr:rowOff>100853</xdr:rowOff>
    </xdr:from>
    <xdr:to>
      <xdr:col>9</xdr:col>
      <xdr:colOff>336177</xdr:colOff>
      <xdr:row>0</xdr:row>
      <xdr:rowOff>333775</xdr:rowOff>
    </xdr:to>
    <xdr:sp macro="" textlink="">
      <xdr:nvSpPr>
        <xdr:cNvPr id="13" name="12 CuadroTexto">
          <a:extLst>
            <a:ext uri="{FF2B5EF4-FFF2-40B4-BE49-F238E27FC236}">
              <a16:creationId xmlns="" xmlns:a16="http://schemas.microsoft.com/office/drawing/2014/main" id="{00000000-0008-0000-0000-000008000000}"/>
            </a:ext>
          </a:extLst>
        </xdr:cNvPr>
        <xdr:cNvSpPr txBox="1"/>
      </xdr:nvSpPr>
      <xdr:spPr>
        <a:xfrm>
          <a:off x="7415942" y="100853"/>
          <a:ext cx="2400411" cy="232922"/>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12</xdr:col>
      <xdr:colOff>3810</xdr:colOff>
      <xdr:row>23</xdr:row>
      <xdr:rowOff>17145</xdr:rowOff>
    </xdr:from>
    <xdr:to>
      <xdr:col>15</xdr:col>
      <xdr:colOff>518160</xdr:colOff>
      <xdr:row>36</xdr:row>
      <xdr:rowOff>83820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1026522</xdr:colOff>
      <xdr:row>37</xdr:row>
      <xdr:rowOff>1</xdr:rowOff>
    </xdr:from>
    <xdr:to>
      <xdr:col>17</xdr:col>
      <xdr:colOff>239486</xdr:colOff>
      <xdr:row>56</xdr:row>
      <xdr:rowOff>119744</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10887</xdr:colOff>
      <xdr:row>57</xdr:row>
      <xdr:rowOff>188321</xdr:rowOff>
    </xdr:from>
    <xdr:to>
      <xdr:col>17</xdr:col>
      <xdr:colOff>217714</xdr:colOff>
      <xdr:row>80</xdr:row>
      <xdr:rowOff>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423334</xdr:colOff>
      <xdr:row>60</xdr:row>
      <xdr:rowOff>101601</xdr:rowOff>
    </xdr:from>
    <xdr:to>
      <xdr:col>9</xdr:col>
      <xdr:colOff>457200</xdr:colOff>
      <xdr:row>68</xdr:row>
      <xdr:rowOff>84668</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406400</xdr:colOff>
      <xdr:row>68</xdr:row>
      <xdr:rowOff>135467</xdr:rowOff>
    </xdr:from>
    <xdr:to>
      <xdr:col>9</xdr:col>
      <xdr:colOff>440267</xdr:colOff>
      <xdr:row>78</xdr:row>
      <xdr:rowOff>160867</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393326</xdr:colOff>
      <xdr:row>1</xdr:row>
      <xdr:rowOff>52667</xdr:rowOff>
    </xdr:from>
    <xdr:to>
      <xdr:col>24</xdr:col>
      <xdr:colOff>560294</xdr:colOff>
      <xdr:row>22</xdr:row>
      <xdr:rowOff>33617</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417978</xdr:colOff>
      <xdr:row>25</xdr:row>
      <xdr:rowOff>82924</xdr:rowOff>
    </xdr:from>
    <xdr:to>
      <xdr:col>24</xdr:col>
      <xdr:colOff>526678</xdr:colOff>
      <xdr:row>47</xdr:row>
      <xdr:rowOff>11206</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71717</xdr:colOff>
      <xdr:row>0</xdr:row>
      <xdr:rowOff>73959</xdr:rowOff>
    </xdr:from>
    <xdr:to>
      <xdr:col>14</xdr:col>
      <xdr:colOff>699247</xdr:colOff>
      <xdr:row>22</xdr:row>
      <xdr:rowOff>154641</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62752</xdr:colOff>
      <xdr:row>24</xdr:row>
      <xdr:rowOff>20171</xdr:rowOff>
    </xdr:from>
    <xdr:to>
      <xdr:col>15</xdr:col>
      <xdr:colOff>13448</xdr:colOff>
      <xdr:row>45</xdr:row>
      <xdr:rowOff>156882</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596151</xdr:colOff>
      <xdr:row>52</xdr:row>
      <xdr:rowOff>165846</xdr:rowOff>
    </xdr:from>
    <xdr:to>
      <xdr:col>15</xdr:col>
      <xdr:colOff>596153</xdr:colOff>
      <xdr:row>78</xdr:row>
      <xdr:rowOff>17929</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448235</xdr:colOff>
      <xdr:row>81</xdr:row>
      <xdr:rowOff>17930</xdr:rowOff>
    </xdr:from>
    <xdr:to>
      <xdr:col>15</xdr:col>
      <xdr:colOff>398931</xdr:colOff>
      <xdr:row>102</xdr:row>
      <xdr:rowOff>154641</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44</xdr:col>
      <xdr:colOff>206829</xdr:colOff>
      <xdr:row>3</xdr:row>
      <xdr:rowOff>136071</xdr:rowOff>
    </xdr:from>
    <xdr:to>
      <xdr:col>53</xdr:col>
      <xdr:colOff>620486</xdr:colOff>
      <xdr:row>16</xdr:row>
      <xdr:rowOff>108857</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44</xdr:col>
      <xdr:colOff>130629</xdr:colOff>
      <xdr:row>22</xdr:row>
      <xdr:rowOff>54427</xdr:rowOff>
    </xdr:from>
    <xdr:to>
      <xdr:col>55</xdr:col>
      <xdr:colOff>639535</xdr:colOff>
      <xdr:row>39</xdr:row>
      <xdr:rowOff>149678</xdr:rowOff>
    </xdr:to>
    <xdr:graphicFrame macro="">
      <xdr:nvGraphicFramePr>
        <xdr:cNvPr id="21" name="2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61</xdr:col>
      <xdr:colOff>731321</xdr:colOff>
      <xdr:row>4</xdr:row>
      <xdr:rowOff>4948</xdr:rowOff>
    </xdr:from>
    <xdr:to>
      <xdr:col>70</xdr:col>
      <xdr:colOff>687778</xdr:colOff>
      <xdr:row>18</xdr:row>
      <xdr:rowOff>264227</xdr:rowOff>
    </xdr:to>
    <xdr:graphicFrame macro="">
      <xdr:nvGraphicFramePr>
        <xdr:cNvPr id="22"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61</xdr:col>
      <xdr:colOff>707572</xdr:colOff>
      <xdr:row>21</xdr:row>
      <xdr:rowOff>54429</xdr:rowOff>
    </xdr:from>
    <xdr:to>
      <xdr:col>70</xdr:col>
      <xdr:colOff>664029</xdr:colOff>
      <xdr:row>36</xdr:row>
      <xdr:rowOff>10887</xdr:rowOff>
    </xdr:to>
    <xdr:graphicFrame macro="">
      <xdr:nvGraphicFramePr>
        <xdr:cNvPr id="23"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61</xdr:col>
      <xdr:colOff>720436</xdr:colOff>
      <xdr:row>39</xdr:row>
      <xdr:rowOff>75506</xdr:rowOff>
    </xdr:from>
    <xdr:to>
      <xdr:col>70</xdr:col>
      <xdr:colOff>676893</xdr:colOff>
      <xdr:row>53</xdr:row>
      <xdr:rowOff>233548</xdr:rowOff>
    </xdr:to>
    <xdr:graphicFrame macro="">
      <xdr:nvGraphicFramePr>
        <xdr:cNvPr id="2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79</xdr:col>
      <xdr:colOff>471054</xdr:colOff>
      <xdr:row>11</xdr:row>
      <xdr:rowOff>249382</xdr:rowOff>
    </xdr:from>
    <xdr:to>
      <xdr:col>87</xdr:col>
      <xdr:colOff>415636</xdr:colOff>
      <xdr:row>23</xdr:row>
      <xdr:rowOff>83127</xdr:rowOff>
    </xdr:to>
    <xdr:graphicFrame macro="">
      <xdr:nvGraphicFramePr>
        <xdr:cNvPr id="25" name="2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45</xdr:col>
      <xdr:colOff>180109</xdr:colOff>
      <xdr:row>63</xdr:row>
      <xdr:rowOff>221671</xdr:rowOff>
    </xdr:from>
    <xdr:to>
      <xdr:col>53</xdr:col>
      <xdr:colOff>96982</xdr:colOff>
      <xdr:row>74</xdr:row>
      <xdr:rowOff>152400</xdr:rowOff>
    </xdr:to>
    <xdr:graphicFrame macro="">
      <xdr:nvGraphicFramePr>
        <xdr:cNvPr id="26" name="2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79</xdr:col>
      <xdr:colOff>651162</xdr:colOff>
      <xdr:row>2</xdr:row>
      <xdr:rowOff>207818</xdr:rowOff>
    </xdr:from>
    <xdr:to>
      <xdr:col>86</xdr:col>
      <xdr:colOff>720436</xdr:colOff>
      <xdr:row>10</xdr:row>
      <xdr:rowOff>235528</xdr:rowOff>
    </xdr:to>
    <xdr:graphicFrame macro="">
      <xdr:nvGraphicFramePr>
        <xdr:cNvPr id="27" name="2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45</xdr:col>
      <xdr:colOff>185057</xdr:colOff>
      <xdr:row>44</xdr:row>
      <xdr:rowOff>261256</xdr:rowOff>
    </xdr:from>
    <xdr:to>
      <xdr:col>53</xdr:col>
      <xdr:colOff>130628</xdr:colOff>
      <xdr:row>54</xdr:row>
      <xdr:rowOff>250370</xdr:rowOff>
    </xdr:to>
    <xdr:graphicFrame macro="">
      <xdr:nvGraphicFramePr>
        <xdr:cNvPr id="16" name="1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10</xdr:col>
      <xdr:colOff>777240</xdr:colOff>
      <xdr:row>13</xdr:row>
      <xdr:rowOff>274320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156209</xdr:colOff>
      <xdr:row>26</xdr:row>
      <xdr:rowOff>76200</xdr:rowOff>
    </xdr:from>
    <xdr:to>
      <xdr:col>11</xdr:col>
      <xdr:colOff>299084</xdr:colOff>
      <xdr:row>46</xdr:row>
      <xdr:rowOff>91440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24765</xdr:colOff>
      <xdr:row>23</xdr:row>
      <xdr:rowOff>19050</xdr:rowOff>
    </xdr:from>
    <xdr:to>
      <xdr:col>4</xdr:col>
      <xdr:colOff>34289</xdr:colOff>
      <xdr:row>41</xdr:row>
      <xdr:rowOff>100965</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777240</xdr:colOff>
      <xdr:row>44</xdr:row>
      <xdr:rowOff>15240</xdr:rowOff>
    </xdr:from>
    <xdr:to>
      <xdr:col>11</xdr:col>
      <xdr:colOff>777240</xdr:colOff>
      <xdr:row>63</xdr:row>
      <xdr:rowOff>72390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274320</xdr:colOff>
      <xdr:row>6</xdr:row>
      <xdr:rowOff>83820</xdr:rowOff>
    </xdr:from>
    <xdr:to>
      <xdr:col>24</xdr:col>
      <xdr:colOff>662940</xdr:colOff>
      <xdr:row>17</xdr:row>
      <xdr:rowOff>60960</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15240</xdr:colOff>
      <xdr:row>21</xdr:row>
      <xdr:rowOff>129540</xdr:rowOff>
    </xdr:from>
    <xdr:to>
      <xdr:col>13</xdr:col>
      <xdr:colOff>320040</xdr:colOff>
      <xdr:row>41</xdr:row>
      <xdr:rowOff>114300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535304</xdr:colOff>
      <xdr:row>21</xdr:row>
      <xdr:rowOff>114300</xdr:rowOff>
    </xdr:from>
    <xdr:to>
      <xdr:col>20</xdr:col>
      <xdr:colOff>554355</xdr:colOff>
      <xdr:row>42</xdr:row>
      <xdr:rowOff>1</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296635</xdr:colOff>
      <xdr:row>3</xdr:row>
      <xdr:rowOff>59871</xdr:rowOff>
    </xdr:from>
    <xdr:to>
      <xdr:col>52</xdr:col>
      <xdr:colOff>595992</xdr:colOff>
      <xdr:row>14</xdr:row>
      <xdr:rowOff>310243</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296635</xdr:colOff>
      <xdr:row>25</xdr:row>
      <xdr:rowOff>59871</xdr:rowOff>
    </xdr:from>
    <xdr:to>
      <xdr:col>52</xdr:col>
      <xdr:colOff>595992</xdr:colOff>
      <xdr:row>36</xdr:row>
      <xdr:rowOff>310243</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296635</xdr:colOff>
      <xdr:row>46</xdr:row>
      <xdr:rowOff>59871</xdr:rowOff>
    </xdr:from>
    <xdr:to>
      <xdr:col>52</xdr:col>
      <xdr:colOff>595992</xdr:colOff>
      <xdr:row>57</xdr:row>
      <xdr:rowOff>310243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296635</xdr:colOff>
      <xdr:row>68</xdr:row>
      <xdr:rowOff>59871</xdr:rowOff>
    </xdr:from>
    <xdr:to>
      <xdr:col>52</xdr:col>
      <xdr:colOff>595992</xdr:colOff>
      <xdr:row>79</xdr:row>
      <xdr:rowOff>310243</xdr:rowOff>
    </xdr:to>
    <xdr:graphicFrame macro="">
      <xdr:nvGraphicFramePr>
        <xdr:cNvPr id="16" name="1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AcuGral.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lanilla%20de%20santiago.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fiscalias penales"/>
      <sheetName val="defensores"/>
      <sheetName val="ESTA_DISTI_K"/>
      <sheetName val="ESTADISTICAS"/>
      <sheetName val="Informe de Gestión"/>
      <sheetName val="Jueces"/>
      <sheetName val="Internos"/>
      <sheetName val="Resultados"/>
      <sheetName val="Hoja1"/>
      <sheetName val="Hoja2"/>
      <sheetName val="NORECIBIDAS"/>
      <sheetName val="PLANILLA VACIA PRESOS"/>
    </sheetNames>
    <sheetDataSet>
      <sheetData sheetId="0">
        <row r="1">
          <cell r="B1" t="str">
            <v>706                                      -                          0</v>
          </cell>
          <cell r="Q1">
            <v>45098</v>
          </cell>
        </row>
        <row r="2">
          <cell r="B2" t="str">
            <v>FECHA</v>
          </cell>
          <cell r="H2" t="str">
            <v>FECHA DE ELEVACION - AUDIENCIA Y/O DEVOLUCION</v>
          </cell>
          <cell r="Q2" t="str">
            <v>ESTADISTICA - ESPECIE</v>
          </cell>
          <cell r="AJ2" t="str">
            <v>DETENIDO</v>
          </cell>
        </row>
        <row r="3">
          <cell r="B3">
            <v>45231</v>
          </cell>
          <cell r="H3">
            <v>45204</v>
          </cell>
          <cell r="Q3" t="str">
            <v>ELEVADA A JUICIO</v>
          </cell>
          <cell r="AJ3" t="str">
            <v>SIN</v>
          </cell>
        </row>
        <row r="4">
          <cell r="B4">
            <v>45261</v>
          </cell>
          <cell r="H4">
            <v>45211</v>
          </cell>
          <cell r="Q4" t="str">
            <v>ELEVADA A JUICIO</v>
          </cell>
          <cell r="AJ4" t="str">
            <v>PRESO</v>
          </cell>
        </row>
        <row r="5">
          <cell r="B5">
            <v>45222</v>
          </cell>
          <cell r="H5">
            <v>45222</v>
          </cell>
          <cell r="Q5" t="str">
            <v>RESUELTA EN AUD FLEX Y MULTI PREVENTIVA</v>
          </cell>
          <cell r="AJ5" t="str">
            <v>PRESO</v>
          </cell>
        </row>
        <row r="6">
          <cell r="B6">
            <v>45231</v>
          </cell>
          <cell r="H6">
            <v>45223</v>
          </cell>
          <cell r="Q6" t="str">
            <v>RESUELTA EN AUD FLEX Y MULTI PREVENTIVA</v>
          </cell>
          <cell r="AJ6" t="str">
            <v>PRESO</v>
          </cell>
        </row>
        <row r="7">
          <cell r="B7">
            <v>45219</v>
          </cell>
          <cell r="H7">
            <v>45224</v>
          </cell>
          <cell r="Q7" t="str">
            <v>RESUELTA EN AUD FLEX Y MULTI PREVENTIVA</v>
          </cell>
          <cell r="AJ7" t="str">
            <v>PRESO</v>
          </cell>
        </row>
        <row r="8">
          <cell r="B8">
            <v>45209</v>
          </cell>
          <cell r="H8">
            <v>45225</v>
          </cell>
          <cell r="Q8" t="str">
            <v>RESUELTA EN AUD FLEX Y MULTI PREVENTIVA</v>
          </cell>
          <cell r="AJ8" t="str">
            <v>PRESO</v>
          </cell>
        </row>
        <row r="9">
          <cell r="B9">
            <v>45222</v>
          </cell>
          <cell r="H9">
            <v>45229</v>
          </cell>
          <cell r="Q9" t="str">
            <v>RESUELTA EN AUD FLEX Y MULTI PREVENTIVA</v>
          </cell>
          <cell r="AJ9" t="str">
            <v>PRESO</v>
          </cell>
        </row>
        <row r="10">
          <cell r="B10">
            <v>45218</v>
          </cell>
          <cell r="H10">
            <v>45231</v>
          </cell>
          <cell r="Q10" t="str">
            <v>RESUELTA EN AUD FLEX Y MULTI PREVENTIVA</v>
          </cell>
          <cell r="AJ10" t="str">
            <v>PRESO</v>
          </cell>
        </row>
        <row r="11">
          <cell r="B11">
            <v>45218</v>
          </cell>
          <cell r="H11">
            <v>45236</v>
          </cell>
          <cell r="Q11" t="str">
            <v>RESUELTA EN AUD FLEX Y MULTI PREVENTIVA</v>
          </cell>
          <cell r="AJ11" t="str">
            <v>PRESO</v>
          </cell>
        </row>
        <row r="12">
          <cell r="B12">
            <v>45222</v>
          </cell>
          <cell r="H12">
            <v>45244</v>
          </cell>
          <cell r="Q12" t="str">
            <v>RESUELTA EN AUD FLEX Y MULTI PREVENTIVA</v>
          </cell>
          <cell r="AJ12" t="str">
            <v>PRESO</v>
          </cell>
        </row>
        <row r="13">
          <cell r="B13">
            <v>45225</v>
          </cell>
          <cell r="H13">
            <v>45251</v>
          </cell>
          <cell r="Q13" t="str">
            <v>RESUELTA EN AUD FLEX Y MULTI PREVENTIVA</v>
          </cell>
          <cell r="AJ13" t="str">
            <v>PRESO</v>
          </cell>
        </row>
        <row r="14">
          <cell r="B14">
            <v>45243</v>
          </cell>
          <cell r="H14">
            <v>45252</v>
          </cell>
          <cell r="Q14" t="str">
            <v>RESUELTA EN AUD FLEX Y MULTI PREVENTIVA</v>
          </cell>
          <cell r="AJ14" t="str">
            <v>PRESO</v>
          </cell>
        </row>
        <row r="15">
          <cell r="B15">
            <v>45232</v>
          </cell>
          <cell r="H15">
            <v>45253</v>
          </cell>
          <cell r="Q15" t="str">
            <v>ELEVADA A JUICIO</v>
          </cell>
          <cell r="AJ15" t="str">
            <v>PRESO</v>
          </cell>
        </row>
        <row r="16">
          <cell r="B16">
            <v>45232</v>
          </cell>
          <cell r="H16">
            <v>45253</v>
          </cell>
          <cell r="Q16" t="str">
            <v>ELEVADA A JUICIO</v>
          </cell>
          <cell r="AJ16" t="str">
            <v>PRESO</v>
          </cell>
        </row>
        <row r="17">
          <cell r="B17">
            <v>45260</v>
          </cell>
          <cell r="H17">
            <v>45253</v>
          </cell>
          <cell r="Q17" t="str">
            <v>RESUELTA EN AUD FLEX Y MULTI PREVENTIVA</v>
          </cell>
          <cell r="AJ17" t="str">
            <v>PRESO</v>
          </cell>
        </row>
        <row r="18">
          <cell r="B18">
            <v>45217</v>
          </cell>
          <cell r="H18">
            <v>45254</v>
          </cell>
          <cell r="Q18" t="str">
            <v>ELEVADA A JUICIO</v>
          </cell>
          <cell r="AJ18" t="str">
            <v>PRESO</v>
          </cell>
        </row>
        <row r="19">
          <cell r="B19">
            <v>45226</v>
          </cell>
          <cell r="H19">
            <v>45257</v>
          </cell>
          <cell r="Q19" t="str">
            <v>ELEVADA A JUICIO</v>
          </cell>
          <cell r="AJ19" t="str">
            <v>PRESO</v>
          </cell>
        </row>
        <row r="20">
          <cell r="B20">
            <v>45231</v>
          </cell>
          <cell r="H20">
            <v>45261</v>
          </cell>
          <cell r="Q20" t="str">
            <v>ELEVADA A JUICIO</v>
          </cell>
          <cell r="AJ20" t="str">
            <v>PRESO</v>
          </cell>
        </row>
        <row r="21">
          <cell r="B21">
            <v>45222</v>
          </cell>
          <cell r="H21">
            <v>45261</v>
          </cell>
          <cell r="Q21" t="str">
            <v>ELEVADA A JUICIO</v>
          </cell>
          <cell r="AJ21" t="str">
            <v>PRESO</v>
          </cell>
        </row>
        <row r="22">
          <cell r="B22">
            <v>45219</v>
          </cell>
          <cell r="H22">
            <v>45261</v>
          </cell>
          <cell r="Q22" t="str">
            <v>ELEVADA A JUICIO</v>
          </cell>
          <cell r="AJ22" t="str">
            <v>PRESO</v>
          </cell>
        </row>
        <row r="23">
          <cell r="B23">
            <v>45216</v>
          </cell>
          <cell r="H23">
            <v>45264</v>
          </cell>
          <cell r="Q23" t="str">
            <v>ELEVADA A JUICIO</v>
          </cell>
          <cell r="AJ23" t="str">
            <v>PRESO</v>
          </cell>
        </row>
        <row r="24">
          <cell r="B24">
            <v>45217</v>
          </cell>
          <cell r="H24">
            <v>45264</v>
          </cell>
          <cell r="Q24" t="str">
            <v>ELEVADA A JUICIO</v>
          </cell>
          <cell r="AJ24" t="str">
            <v>PRESO</v>
          </cell>
        </row>
        <row r="25">
          <cell r="B25">
            <v>45217</v>
          </cell>
          <cell r="H25">
            <v>45264</v>
          </cell>
          <cell r="Q25" t="str">
            <v>RESUELTA EN AUD FLEX Y MULTI PREVENTIVA</v>
          </cell>
          <cell r="AJ25" t="str">
            <v>PRESO</v>
          </cell>
        </row>
        <row r="26">
          <cell r="B26">
            <v>45217</v>
          </cell>
          <cell r="H26">
            <v>45264</v>
          </cell>
          <cell r="Q26" t="str">
            <v>ELEVADA A JUICIO</v>
          </cell>
          <cell r="AJ26" t="str">
            <v>PRESO</v>
          </cell>
        </row>
        <row r="27">
          <cell r="B27">
            <v>45219</v>
          </cell>
          <cell r="H27">
            <v>45264</v>
          </cell>
          <cell r="Q27" t="str">
            <v>ELEVADA A JUICIO</v>
          </cell>
          <cell r="AJ27" t="str">
            <v>PRESO</v>
          </cell>
        </row>
        <row r="28">
          <cell r="B28">
            <v>45219</v>
          </cell>
          <cell r="H28">
            <v>45264</v>
          </cell>
          <cell r="Q28" t="str">
            <v>DEVUELTA AL JUZGADO DE ORIGEN</v>
          </cell>
          <cell r="AJ28" t="str">
            <v>PRESO</v>
          </cell>
        </row>
        <row r="29">
          <cell r="B29">
            <v>45225</v>
          </cell>
          <cell r="H29">
            <v>45264</v>
          </cell>
          <cell r="Q29" t="str">
            <v>RESUELTA EN AUD FLEX Y MULTI PREVENTIVA</v>
          </cell>
          <cell r="AJ29" t="str">
            <v>PRESO</v>
          </cell>
        </row>
        <row r="30">
          <cell r="B30">
            <v>45217</v>
          </cell>
          <cell r="H30">
            <v>45265</v>
          </cell>
          <cell r="Q30" t="str">
            <v>ELEVADA A JUICIO</v>
          </cell>
          <cell r="AJ30" t="str">
            <v>PRESO</v>
          </cell>
        </row>
        <row r="31">
          <cell r="B31">
            <v>45217</v>
          </cell>
          <cell r="H31">
            <v>45265</v>
          </cell>
          <cell r="Q31" t="str">
            <v>ELEVADA A JUICIO</v>
          </cell>
          <cell r="AJ31" t="str">
            <v>PRESO</v>
          </cell>
        </row>
        <row r="32">
          <cell r="B32">
            <v>45217</v>
          </cell>
          <cell r="H32">
            <v>45265</v>
          </cell>
          <cell r="Q32" t="str">
            <v>ELEVADA A JUICIO</v>
          </cell>
          <cell r="AJ32" t="str">
            <v>PRESO</v>
          </cell>
        </row>
        <row r="33">
          <cell r="B33">
            <v>45217</v>
          </cell>
          <cell r="H33">
            <v>45265</v>
          </cell>
          <cell r="Q33" t="str">
            <v>ELEVADA A JUICIO</v>
          </cell>
          <cell r="AJ33" t="str">
            <v>PRESO</v>
          </cell>
        </row>
        <row r="34">
          <cell r="B34">
            <v>45222</v>
          </cell>
          <cell r="H34">
            <v>45265</v>
          </cell>
          <cell r="Q34" t="str">
            <v>ELEVADA A JUICIO</v>
          </cell>
          <cell r="AJ34" t="str">
            <v>PRESO</v>
          </cell>
        </row>
        <row r="35">
          <cell r="B35">
            <v>45224</v>
          </cell>
          <cell r="H35">
            <v>45265</v>
          </cell>
          <cell r="Q35" t="str">
            <v>ELEVADA A JUICIO</v>
          </cell>
          <cell r="AJ35" t="str">
            <v>PRESO</v>
          </cell>
        </row>
        <row r="36">
          <cell r="B36">
            <v>45229</v>
          </cell>
          <cell r="H36">
            <v>45265</v>
          </cell>
          <cell r="Q36" t="str">
            <v>ELEVADA A JUICIO</v>
          </cell>
          <cell r="AJ36" t="str">
            <v>PRESO</v>
          </cell>
        </row>
        <row r="37">
          <cell r="B37">
            <v>45239</v>
          </cell>
          <cell r="H37">
            <v>45265</v>
          </cell>
          <cell r="Q37" t="str">
            <v>ELEVADA A JUICIO</v>
          </cell>
          <cell r="AJ37" t="str">
            <v>PRESO</v>
          </cell>
        </row>
        <row r="38">
          <cell r="B38">
            <v>45219</v>
          </cell>
          <cell r="H38">
            <v>45266</v>
          </cell>
          <cell r="Q38" t="str">
            <v>ELEVADA A JUICIO</v>
          </cell>
          <cell r="AJ38" t="str">
            <v>PRESO</v>
          </cell>
        </row>
        <row r="39">
          <cell r="B39">
            <v>45224</v>
          </cell>
          <cell r="H39">
            <v>45266</v>
          </cell>
          <cell r="Q39" t="str">
            <v>ELEVADA A JUICIO</v>
          </cell>
          <cell r="AJ39" t="str">
            <v>PRESO</v>
          </cell>
        </row>
        <row r="40">
          <cell r="B40">
            <v>45233</v>
          </cell>
          <cell r="H40">
            <v>45266</v>
          </cell>
          <cell r="Q40" t="str">
            <v>ELEVADA A JUICIO</v>
          </cell>
          <cell r="AJ40" t="str">
            <v>SIN</v>
          </cell>
        </row>
        <row r="41">
          <cell r="B41">
            <v>45217</v>
          </cell>
          <cell r="H41">
            <v>45267</v>
          </cell>
          <cell r="Q41" t="str">
            <v>ELEVADA A JUICIO</v>
          </cell>
          <cell r="AJ41" t="str">
            <v>PRESO</v>
          </cell>
        </row>
        <row r="42">
          <cell r="B42">
            <v>45218</v>
          </cell>
          <cell r="H42">
            <v>45267</v>
          </cell>
          <cell r="Q42" t="str">
            <v>ELEVADA A JUICIO</v>
          </cell>
          <cell r="AJ42" t="str">
            <v>PRESO</v>
          </cell>
        </row>
        <row r="43">
          <cell r="B43">
            <v>45224</v>
          </cell>
          <cell r="H43">
            <v>45267</v>
          </cell>
          <cell r="Q43" t="str">
            <v>ELEVADA A JUICIO</v>
          </cell>
          <cell r="AJ43" t="str">
            <v>PRESO</v>
          </cell>
        </row>
        <row r="44">
          <cell r="B44">
            <v>45230</v>
          </cell>
          <cell r="H44">
            <v>45267</v>
          </cell>
          <cell r="Q44" t="str">
            <v>ELEVADA A JUICIO</v>
          </cell>
          <cell r="AJ44" t="str">
            <v>SIN</v>
          </cell>
        </row>
        <row r="45">
          <cell r="B45">
            <v>45240</v>
          </cell>
          <cell r="H45">
            <v>45267</v>
          </cell>
          <cell r="Q45" t="str">
            <v>ELEVADA A JUICIO</v>
          </cell>
          <cell r="AJ45" t="str">
            <v>PRESO</v>
          </cell>
        </row>
        <row r="46">
          <cell r="B46">
            <v>45243</v>
          </cell>
          <cell r="H46">
            <v>45267</v>
          </cell>
          <cell r="Q46" t="str">
            <v>ELEVADA A JUICIO</v>
          </cell>
          <cell r="AJ46" t="str">
            <v>PRESO</v>
          </cell>
        </row>
        <row r="47">
          <cell r="B47">
            <v>45254</v>
          </cell>
          <cell r="H47">
            <v>45267</v>
          </cell>
          <cell r="Q47" t="str">
            <v>ELEVADA A JUICIO</v>
          </cell>
          <cell r="AJ47" t="str">
            <v>PRESO</v>
          </cell>
        </row>
        <row r="48">
          <cell r="B48">
            <v>45273</v>
          </cell>
          <cell r="H48">
            <v>45269</v>
          </cell>
          <cell r="Q48" t="str">
            <v>ELEVADA A JUICIO</v>
          </cell>
          <cell r="AJ48" t="str">
            <v>PRESO</v>
          </cell>
        </row>
        <row r="49">
          <cell r="B49">
            <v>45216</v>
          </cell>
          <cell r="H49">
            <v>45271</v>
          </cell>
          <cell r="Q49" t="str">
            <v>ELEVADA A JUICIO</v>
          </cell>
          <cell r="AJ49" t="str">
            <v>PRESO</v>
          </cell>
        </row>
        <row r="50">
          <cell r="B50">
            <v>45222</v>
          </cell>
          <cell r="H50">
            <v>45271</v>
          </cell>
          <cell r="Q50" t="str">
            <v>ELEVADA A JUICIO</v>
          </cell>
          <cell r="AJ50" t="str">
            <v>PRESO</v>
          </cell>
        </row>
        <row r="51">
          <cell r="B51">
            <v>45229</v>
          </cell>
          <cell r="H51">
            <v>45271</v>
          </cell>
          <cell r="Q51" t="str">
            <v>ELEVADA A JUICIO</v>
          </cell>
          <cell r="AJ51" t="str">
            <v>PRESO</v>
          </cell>
        </row>
        <row r="52">
          <cell r="B52">
            <v>45217</v>
          </cell>
          <cell r="H52">
            <v>45272</v>
          </cell>
          <cell r="Q52" t="str">
            <v>ELEVADA A JUICIO</v>
          </cell>
          <cell r="AJ52" t="str">
            <v>PRESO</v>
          </cell>
        </row>
        <row r="53">
          <cell r="B53">
            <v>45217</v>
          </cell>
          <cell r="H53">
            <v>45272</v>
          </cell>
          <cell r="Q53" t="str">
            <v>ELEVADA A JUICIO</v>
          </cell>
          <cell r="AJ53" t="str">
            <v>PRESO</v>
          </cell>
        </row>
        <row r="54">
          <cell r="B54">
            <v>45218</v>
          </cell>
          <cell r="H54">
            <v>45272</v>
          </cell>
          <cell r="Q54" t="str">
            <v>RESUELTA EN AUD FLEX Y MULTI PREVENTIVA</v>
          </cell>
          <cell r="AJ54" t="str">
            <v>PRESO</v>
          </cell>
        </row>
        <row r="55">
          <cell r="B55">
            <v>45225</v>
          </cell>
          <cell r="H55">
            <v>45272</v>
          </cell>
          <cell r="Q55" t="str">
            <v>ELEVADA A JUICIO</v>
          </cell>
          <cell r="AJ55" t="str">
            <v>PRESO</v>
          </cell>
        </row>
        <row r="56">
          <cell r="B56">
            <v>45233</v>
          </cell>
          <cell r="H56">
            <v>45272</v>
          </cell>
          <cell r="Q56" t="str">
            <v>ELEVADA A JUICIO</v>
          </cell>
          <cell r="AJ56" t="str">
            <v>PRESO</v>
          </cell>
        </row>
        <row r="57">
          <cell r="B57">
            <v>45245</v>
          </cell>
          <cell r="H57">
            <v>45272</v>
          </cell>
          <cell r="Q57" t="str">
            <v>ELEVADA A JUICIO</v>
          </cell>
          <cell r="AJ57" t="str">
            <v>PRESO</v>
          </cell>
        </row>
        <row r="58">
          <cell r="B58">
            <v>45246</v>
          </cell>
          <cell r="H58">
            <v>45272</v>
          </cell>
          <cell r="Q58" t="str">
            <v>ELEVADA A JUICIO</v>
          </cell>
          <cell r="AJ58" t="str">
            <v>PRESO</v>
          </cell>
        </row>
        <row r="59">
          <cell r="B59">
            <v>45253</v>
          </cell>
          <cell r="H59">
            <v>45272</v>
          </cell>
          <cell r="Q59" t="str">
            <v>ELEVADA A JUICIO</v>
          </cell>
          <cell r="AJ59" t="str">
            <v>PRESO</v>
          </cell>
        </row>
        <row r="60">
          <cell r="B60">
            <v>45264</v>
          </cell>
          <cell r="H60">
            <v>45272</v>
          </cell>
          <cell r="Q60" t="str">
            <v>RESUELTA EN AUD FLEX Y MULTI PREVENTIVA</v>
          </cell>
          <cell r="AJ60" t="str">
            <v>PRESO</v>
          </cell>
        </row>
        <row r="61">
          <cell r="B61">
            <v>45265</v>
          </cell>
          <cell r="H61">
            <v>45272</v>
          </cell>
          <cell r="Q61" t="str">
            <v>RESUELTA EN AUD FLEX Y MULTI PREVENTIVA</v>
          </cell>
          <cell r="AJ61" t="str">
            <v>PRESO</v>
          </cell>
        </row>
        <row r="62">
          <cell r="B62">
            <v>45222</v>
          </cell>
          <cell r="H62">
            <v>45273</v>
          </cell>
          <cell r="Q62" t="str">
            <v>ELEVADA A JUICIO</v>
          </cell>
          <cell r="AJ62" t="str">
            <v>PRESO</v>
          </cell>
        </row>
        <row r="63">
          <cell r="B63">
            <v>45224</v>
          </cell>
          <cell r="H63">
            <v>45273</v>
          </cell>
          <cell r="Q63" t="str">
            <v>ELEVADA A JUICIO</v>
          </cell>
          <cell r="AJ63" t="str">
            <v>PRESO</v>
          </cell>
        </row>
        <row r="64">
          <cell r="B64">
            <v>45230</v>
          </cell>
          <cell r="H64">
            <v>45273</v>
          </cell>
          <cell r="Q64" t="str">
            <v>ELEVADA A JUICIO</v>
          </cell>
          <cell r="AJ64" t="str">
            <v>PRESO</v>
          </cell>
        </row>
        <row r="65">
          <cell r="B65">
            <v>45232</v>
          </cell>
          <cell r="H65">
            <v>45273</v>
          </cell>
          <cell r="Q65" t="str">
            <v>RESUELTA EN AUD FLEX Y MULTI PREVENTIVA</v>
          </cell>
          <cell r="AJ65" t="str">
            <v>PRESO</v>
          </cell>
        </row>
        <row r="66">
          <cell r="B66">
            <v>45243</v>
          </cell>
          <cell r="H66">
            <v>45273</v>
          </cell>
          <cell r="Q66" t="str">
            <v>ELEVADA A JUICIO</v>
          </cell>
          <cell r="AJ66" t="str">
            <v>PRESO</v>
          </cell>
        </row>
        <row r="67">
          <cell r="B67">
            <v>45229</v>
          </cell>
          <cell r="H67">
            <v>45274</v>
          </cell>
          <cell r="Q67" t="str">
            <v>ELEVADA A JUICIO</v>
          </cell>
          <cell r="AJ67" t="str">
            <v>SIN</v>
          </cell>
        </row>
        <row r="68">
          <cell r="B68">
            <v>45272</v>
          </cell>
          <cell r="H68">
            <v>45274</v>
          </cell>
          <cell r="Q68" t="str">
            <v>RESUELTA EN AUD FLEX Y MULTI PREVENTIVA</v>
          </cell>
          <cell r="AJ68" t="str">
            <v>PRESO</v>
          </cell>
        </row>
        <row r="69">
          <cell r="B69">
            <v>45219</v>
          </cell>
          <cell r="H69">
            <v>45279</v>
          </cell>
          <cell r="Q69" t="str">
            <v>Juicio Abreviado - Condicional y reglas de conducta</v>
          </cell>
          <cell r="AJ69" t="str">
            <v>PRESO</v>
          </cell>
        </row>
        <row r="70">
          <cell r="B70">
            <v>45217</v>
          </cell>
          <cell r="H70">
            <v>45279</v>
          </cell>
          <cell r="Q70" t="str">
            <v>ELEVADA A JUICIO</v>
          </cell>
          <cell r="AJ70" t="str">
            <v>SIN</v>
          </cell>
        </row>
        <row r="71">
          <cell r="B71">
            <v>45217</v>
          </cell>
          <cell r="H71">
            <v>45279</v>
          </cell>
          <cell r="Q71" t="str">
            <v>ELEVADA A JUICIO</v>
          </cell>
          <cell r="AJ71" t="str">
            <v>PRESO</v>
          </cell>
        </row>
        <row r="72">
          <cell r="B72">
            <v>45225</v>
          </cell>
          <cell r="H72">
            <v>45280</v>
          </cell>
          <cell r="Q72" t="str">
            <v>ELEVADA A JUICIO</v>
          </cell>
          <cell r="AJ72" t="str">
            <v>PRESO</v>
          </cell>
        </row>
        <row r="73">
          <cell r="B73">
            <v>45239</v>
          </cell>
          <cell r="H73">
            <v>45280</v>
          </cell>
          <cell r="Q73" t="str">
            <v>ELEVADA A JUICIO</v>
          </cell>
          <cell r="AJ73" t="str">
            <v>PRESO</v>
          </cell>
        </row>
        <row r="74">
          <cell r="B74">
            <v>45253</v>
          </cell>
          <cell r="H74">
            <v>45280</v>
          </cell>
          <cell r="Q74" t="str">
            <v>ELEVADA A JUICIO</v>
          </cell>
          <cell r="AJ74" t="str">
            <v>PRESO</v>
          </cell>
        </row>
        <row r="75">
          <cell r="B75">
            <v>45254</v>
          </cell>
          <cell r="H75">
            <v>45280</v>
          </cell>
          <cell r="Q75" t="str">
            <v>ELEVADA A JUICIO</v>
          </cell>
          <cell r="AJ75" t="str">
            <v>PRESO</v>
          </cell>
        </row>
        <row r="76">
          <cell r="B76">
            <v>45280</v>
          </cell>
          <cell r="H76">
            <v>45280</v>
          </cell>
          <cell r="Q76" t="str">
            <v>RESUELTA EN AUD FLEX Y MULTI PREVENTIVA</v>
          </cell>
          <cell r="AJ76" t="str">
            <v>PRESO</v>
          </cell>
        </row>
        <row r="77">
          <cell r="B77">
            <v>45240</v>
          </cell>
          <cell r="H77">
            <v>45281</v>
          </cell>
          <cell r="Q77" t="str">
            <v>ELEVADA A JUICIO</v>
          </cell>
          <cell r="AJ77" t="str">
            <v>PRESO</v>
          </cell>
        </row>
        <row r="78">
          <cell r="B78">
            <v>45240</v>
          </cell>
          <cell r="H78">
            <v>45281</v>
          </cell>
          <cell r="Q78" t="str">
            <v>ELEVADA A JUICIO</v>
          </cell>
          <cell r="AJ78" t="str">
            <v>PRESO</v>
          </cell>
        </row>
        <row r="79">
          <cell r="B79">
            <v>45219</v>
          </cell>
          <cell r="H79">
            <v>45282</v>
          </cell>
          <cell r="Q79" t="str">
            <v>ELEVADA A JUICIO</v>
          </cell>
          <cell r="AJ79" t="str">
            <v>PRESO</v>
          </cell>
        </row>
        <row r="80">
          <cell r="B80">
            <v>45231</v>
          </cell>
          <cell r="H80">
            <v>45282</v>
          </cell>
          <cell r="Q80" t="str">
            <v>ELEVADA A JUICIO</v>
          </cell>
          <cell r="AJ80" t="str">
            <v>SIN</v>
          </cell>
        </row>
        <row r="81">
          <cell r="B81">
            <v>45243</v>
          </cell>
          <cell r="H81">
            <v>45282</v>
          </cell>
          <cell r="Q81" t="str">
            <v>ELEVADA A JUICIO</v>
          </cell>
          <cell r="AJ81" t="str">
            <v>PRESO</v>
          </cell>
        </row>
        <row r="82">
          <cell r="B82">
            <v>45254</v>
          </cell>
          <cell r="H82">
            <v>45282</v>
          </cell>
          <cell r="Q82" t="str">
            <v>ELEVADA A JUICIO</v>
          </cell>
          <cell r="AJ82" t="str">
            <v>PRESO</v>
          </cell>
        </row>
        <row r="83">
          <cell r="B83">
            <v>45280</v>
          </cell>
          <cell r="H83">
            <v>45282</v>
          </cell>
          <cell r="Q83" t="str">
            <v>RESUELTA EN AUD FLEX Y MULTI PREVENTIVA</v>
          </cell>
          <cell r="AJ83" t="str">
            <v>PRESO</v>
          </cell>
        </row>
        <row r="84">
          <cell r="B84">
            <v>45217</v>
          </cell>
          <cell r="H84">
            <v>45286</v>
          </cell>
          <cell r="Q84" t="str">
            <v>ELEVADA A JUICIO</v>
          </cell>
          <cell r="AJ84" t="str">
            <v>PRESO</v>
          </cell>
        </row>
        <row r="85">
          <cell r="B85">
            <v>45236</v>
          </cell>
          <cell r="H85">
            <v>45286</v>
          </cell>
          <cell r="Q85" t="str">
            <v>ELEVADA A JUICIO</v>
          </cell>
          <cell r="AJ85" t="str">
            <v>PRESO</v>
          </cell>
        </row>
        <row r="86">
          <cell r="B86">
            <v>45245</v>
          </cell>
          <cell r="H86">
            <v>45286</v>
          </cell>
          <cell r="Q86" t="str">
            <v>ELEVADA A JUICIO</v>
          </cell>
          <cell r="AJ86" t="str">
            <v>PRESO</v>
          </cell>
        </row>
        <row r="87">
          <cell r="B87">
            <v>45246</v>
          </cell>
          <cell r="H87">
            <v>45286</v>
          </cell>
          <cell r="Q87" t="str">
            <v>ELEVADA A JUICIO</v>
          </cell>
          <cell r="AJ87" t="str">
            <v>PRESO</v>
          </cell>
        </row>
        <row r="88">
          <cell r="B88">
            <v>45261</v>
          </cell>
          <cell r="H88">
            <v>45286</v>
          </cell>
          <cell r="Q88" t="str">
            <v>ELEVADA A JUICIO</v>
          </cell>
          <cell r="AJ88" t="str">
            <v>PRESO</v>
          </cell>
        </row>
        <row r="89">
          <cell r="B89">
            <v>45264</v>
          </cell>
          <cell r="H89">
            <v>45286</v>
          </cell>
          <cell r="Q89" t="str">
            <v>ELEVADA A JUICIO</v>
          </cell>
          <cell r="AJ89" t="str">
            <v>PRESO</v>
          </cell>
        </row>
        <row r="90">
          <cell r="B90">
            <v>45266</v>
          </cell>
          <cell r="H90">
            <v>45286</v>
          </cell>
          <cell r="Q90" t="str">
            <v>ELEVADA A JUICIO</v>
          </cell>
          <cell r="AJ90" t="str">
            <v>PRESO</v>
          </cell>
        </row>
        <row r="91">
          <cell r="B91">
            <v>45272</v>
          </cell>
          <cell r="H91">
            <v>45286</v>
          </cell>
          <cell r="Q91" t="str">
            <v>ELEVADA A JUICIO</v>
          </cell>
          <cell r="AJ91" t="str">
            <v>PRESO</v>
          </cell>
        </row>
        <row r="92">
          <cell r="B92">
            <v>45232</v>
          </cell>
          <cell r="H92">
            <v>45287</v>
          </cell>
          <cell r="Q92" t="str">
            <v>ELEVADA A JUICIO</v>
          </cell>
          <cell r="AJ92" t="str">
            <v>PRESO</v>
          </cell>
        </row>
        <row r="93">
          <cell r="B93">
            <v>45258</v>
          </cell>
          <cell r="H93">
            <v>45287</v>
          </cell>
          <cell r="Q93" t="str">
            <v>RESUELTA EN AUD FLEX Y MULTI PREVENTIVA</v>
          </cell>
          <cell r="AJ93" t="str">
            <v>PRESO</v>
          </cell>
        </row>
        <row r="94">
          <cell r="B94">
            <v>45265</v>
          </cell>
          <cell r="H94">
            <v>45287</v>
          </cell>
          <cell r="Q94" t="str">
            <v>ELEVADA A JUICIO</v>
          </cell>
          <cell r="AJ94" t="str">
            <v>PRESO</v>
          </cell>
        </row>
        <row r="95">
          <cell r="B95">
            <v>45274</v>
          </cell>
          <cell r="H95">
            <v>45288</v>
          </cell>
          <cell r="Q95" t="str">
            <v>Juicio Abreviado - Efectiva</v>
          </cell>
          <cell r="AJ95" t="str">
            <v>PRESO</v>
          </cell>
        </row>
        <row r="96">
          <cell r="B96">
            <v>45222</v>
          </cell>
          <cell r="H96">
            <v>45288</v>
          </cell>
          <cell r="Q96" t="str">
            <v>ELEVADA A JUICIO</v>
          </cell>
          <cell r="AJ96" t="str">
            <v>PRESO</v>
          </cell>
        </row>
        <row r="97">
          <cell r="B97">
            <v>45257</v>
          </cell>
          <cell r="H97">
            <v>45288</v>
          </cell>
          <cell r="Q97" t="str">
            <v>ELEVADA A JUICIO</v>
          </cell>
          <cell r="AJ97" t="str">
            <v>PRESO</v>
          </cell>
        </row>
        <row r="98">
          <cell r="B98">
            <v>45265</v>
          </cell>
          <cell r="H98">
            <v>45288</v>
          </cell>
          <cell r="Q98" t="str">
            <v>ELEVADA A JUICIO</v>
          </cell>
          <cell r="AJ98" t="str">
            <v>PRESO</v>
          </cell>
        </row>
        <row r="99">
          <cell r="B99">
            <v>45271</v>
          </cell>
          <cell r="H99">
            <v>45288</v>
          </cell>
          <cell r="Q99" t="str">
            <v>ELEVADA A JUICIO</v>
          </cell>
          <cell r="AJ99" t="str">
            <v>PRESO</v>
          </cell>
        </row>
        <row r="100">
          <cell r="B100">
            <v>45219</v>
          </cell>
          <cell r="H100">
            <v>45289</v>
          </cell>
          <cell r="Q100" t="str">
            <v>ELEVADA A JUICIO</v>
          </cell>
          <cell r="AJ100" t="str">
            <v>PRESO</v>
          </cell>
        </row>
        <row r="101">
          <cell r="B101">
            <v>45237</v>
          </cell>
          <cell r="H101">
            <v>45289</v>
          </cell>
          <cell r="Q101" t="str">
            <v>ELEVADA A JUICIO</v>
          </cell>
          <cell r="AJ101" t="str">
            <v>SIN</v>
          </cell>
        </row>
        <row r="102">
          <cell r="B102">
            <v>45260</v>
          </cell>
          <cell r="H102">
            <v>45289</v>
          </cell>
          <cell r="Q102" t="str">
            <v>ELEVADA A JUICIO</v>
          </cell>
          <cell r="AJ102" t="str">
            <v>PRESO</v>
          </cell>
        </row>
        <row r="103">
          <cell r="B103">
            <v>45287</v>
          </cell>
          <cell r="H103">
            <v>45295</v>
          </cell>
          <cell r="Q103" t="str">
            <v>RESUELTA EN AUD FLEX Y MULTI PREVENTIVA</v>
          </cell>
          <cell r="AJ103" t="str">
            <v>PRESO</v>
          </cell>
        </row>
        <row r="104">
          <cell r="B104">
            <v>45243</v>
          </cell>
          <cell r="H104">
            <v>45309</v>
          </cell>
          <cell r="Q104" t="str">
            <v>RESUELTA EN AUD FLEX Y MULTI PREVENTIVA</v>
          </cell>
          <cell r="AJ104" t="str">
            <v>PRESO</v>
          </cell>
        </row>
        <row r="105">
          <cell r="B105">
            <v>45238</v>
          </cell>
          <cell r="H105">
            <v>45313</v>
          </cell>
          <cell r="Q105" t="str">
            <v>RESUELTA EN AUD FLEX Y MULTI PREVENTIVA</v>
          </cell>
          <cell r="AJ105" t="str">
            <v>PRESO</v>
          </cell>
        </row>
        <row r="106">
          <cell r="B106">
            <v>45225</v>
          </cell>
          <cell r="H106">
            <v>45324</v>
          </cell>
          <cell r="Q106" t="str">
            <v>ELEVADA A JUICIO</v>
          </cell>
          <cell r="AJ106" t="str">
            <v>SIN</v>
          </cell>
        </row>
        <row r="107">
          <cell r="B107">
            <v>45281</v>
          </cell>
          <cell r="H107">
            <v>45324</v>
          </cell>
          <cell r="Q107" t="str">
            <v>ELEVADA A JUICIO</v>
          </cell>
          <cell r="AJ107" t="str">
            <v>PRESO</v>
          </cell>
        </row>
        <row r="108">
          <cell r="B108">
            <v>45296</v>
          </cell>
          <cell r="H108">
            <v>45327</v>
          </cell>
          <cell r="Q108" t="str">
            <v>ELEVADA A JUICIO</v>
          </cell>
          <cell r="AJ108" t="str">
            <v>PRESO</v>
          </cell>
        </row>
        <row r="109">
          <cell r="B109">
            <v>45282</v>
          </cell>
          <cell r="H109">
            <v>45328</v>
          </cell>
          <cell r="Q109" t="str">
            <v>ELEVADA A JUICIO</v>
          </cell>
          <cell r="AJ109" t="str">
            <v>PRESO</v>
          </cell>
        </row>
        <row r="110">
          <cell r="B110">
            <v>45274</v>
          </cell>
          <cell r="H110">
            <v>45329</v>
          </cell>
          <cell r="Q110" t="str">
            <v>Juicio Abreviado - Condicional y reglas de conducta</v>
          </cell>
          <cell r="AJ110" t="str">
            <v>PRESO</v>
          </cell>
        </row>
        <row r="111">
          <cell r="B111">
            <v>45273</v>
          </cell>
          <cell r="H111">
            <v>45330</v>
          </cell>
          <cell r="Q111" t="str">
            <v>ELEVADA A JUICIO</v>
          </cell>
          <cell r="AJ111" t="str">
            <v>PRESO</v>
          </cell>
        </row>
        <row r="112">
          <cell r="B112">
            <v>45330</v>
          </cell>
          <cell r="H112">
            <v>45330</v>
          </cell>
          <cell r="Q112" t="str">
            <v>ELEVADA A JUICIO</v>
          </cell>
          <cell r="AJ112" t="str">
            <v>PRESO</v>
          </cell>
        </row>
        <row r="113">
          <cell r="B113">
            <v>45330</v>
          </cell>
          <cell r="H113">
            <v>45331</v>
          </cell>
          <cell r="Q113" t="str">
            <v>ELEVADA A JUICIO</v>
          </cell>
          <cell r="AJ113" t="str">
            <v>PRESO</v>
          </cell>
        </row>
        <row r="114">
          <cell r="B114">
            <v>45317</v>
          </cell>
          <cell r="H114">
            <v>45336</v>
          </cell>
          <cell r="Q114" t="str">
            <v>RESUELTA EN AUD FLEX Y MULTI PREVENTIVA</v>
          </cell>
          <cell r="AJ114" t="str">
            <v>PRESO</v>
          </cell>
        </row>
        <row r="115">
          <cell r="B115">
            <v>45327</v>
          </cell>
          <cell r="H115">
            <v>45336</v>
          </cell>
          <cell r="Q115" t="str">
            <v>ELEVADA A JUICIO</v>
          </cell>
          <cell r="AJ115" t="str">
            <v>PRESO</v>
          </cell>
        </row>
        <row r="116">
          <cell r="B116">
            <v>45327</v>
          </cell>
          <cell r="H116">
            <v>45336</v>
          </cell>
          <cell r="Q116" t="str">
            <v>RESUELTA EN AUD FLEX Y MULTI PREVENTIVA</v>
          </cell>
          <cell r="AJ116" t="str">
            <v>PRESO</v>
          </cell>
        </row>
        <row r="117">
          <cell r="B117">
            <v>45240</v>
          </cell>
          <cell r="H117">
            <v>45343</v>
          </cell>
          <cell r="Q117" t="str">
            <v>ELEVADA A JUICIO</v>
          </cell>
          <cell r="AJ117" t="str">
            <v>SIN</v>
          </cell>
        </row>
        <row r="118">
          <cell r="B118">
            <v>45278</v>
          </cell>
          <cell r="H118">
            <v>45343</v>
          </cell>
          <cell r="Q118" t="str">
            <v>ELEVADA A JUICIO</v>
          </cell>
          <cell r="AJ118" t="str">
            <v>PRESO</v>
          </cell>
        </row>
        <row r="119">
          <cell r="B119">
            <v>45282</v>
          </cell>
          <cell r="H119">
            <v>45343</v>
          </cell>
          <cell r="Q119" t="str">
            <v>ELEVADA A JUICIO</v>
          </cell>
          <cell r="AJ119" t="str">
            <v>PRESO</v>
          </cell>
        </row>
        <row r="120">
          <cell r="B120">
            <v>45289</v>
          </cell>
          <cell r="H120">
            <v>45343</v>
          </cell>
          <cell r="Q120" t="str">
            <v>ELEVADA A JUICIO</v>
          </cell>
          <cell r="AJ120" t="str">
            <v>PRESO</v>
          </cell>
        </row>
        <row r="121">
          <cell r="B121">
            <v>45272</v>
          </cell>
          <cell r="H121">
            <v>45345</v>
          </cell>
          <cell r="Q121" t="str">
            <v>ELEVADA A JUICIO</v>
          </cell>
          <cell r="AJ121" t="str">
            <v>PRESO</v>
          </cell>
        </row>
        <row r="122">
          <cell r="B122">
            <v>45275</v>
          </cell>
          <cell r="H122">
            <v>45345</v>
          </cell>
          <cell r="Q122" t="str">
            <v>ELEVADA A JUICIO</v>
          </cell>
          <cell r="AJ122" t="str">
            <v>PRESO</v>
          </cell>
        </row>
        <row r="123">
          <cell r="B123">
            <v>45280</v>
          </cell>
          <cell r="H123">
            <v>45345</v>
          </cell>
          <cell r="Q123" t="str">
            <v>ELEVADA A JUICIO</v>
          </cell>
          <cell r="AJ123" t="str">
            <v>PRESO</v>
          </cell>
        </row>
        <row r="124">
          <cell r="B124">
            <v>45237</v>
          </cell>
          <cell r="H124">
            <v>45348</v>
          </cell>
          <cell r="Q124" t="str">
            <v>ELEVADA A JUICIO</v>
          </cell>
          <cell r="AJ124" t="str">
            <v>SIN</v>
          </cell>
        </row>
        <row r="125">
          <cell r="B125">
            <v>45289</v>
          </cell>
          <cell r="H125">
            <v>45348</v>
          </cell>
          <cell r="Q125" t="str">
            <v>Conciliación en audiencia</v>
          </cell>
          <cell r="AJ125" t="str">
            <v>PRESO</v>
          </cell>
        </row>
        <row r="126">
          <cell r="B126">
            <v>45328</v>
          </cell>
          <cell r="H126">
            <v>45348</v>
          </cell>
          <cell r="Q126" t="str">
            <v>RESUELTA EN AUD FLEX Y MULTI PREVENTIVA</v>
          </cell>
          <cell r="AJ126" t="str">
            <v>PRESO</v>
          </cell>
        </row>
        <row r="127">
          <cell r="B127">
            <v>45251</v>
          </cell>
          <cell r="H127">
            <v>45349</v>
          </cell>
          <cell r="Q127" t="str">
            <v>ELEVADA A JUICIO</v>
          </cell>
          <cell r="AJ127" t="str">
            <v>PRESO</v>
          </cell>
        </row>
        <row r="128">
          <cell r="B128">
            <v>45288</v>
          </cell>
          <cell r="H128">
            <v>45349</v>
          </cell>
          <cell r="Q128" t="str">
            <v>ELEVADA A JUICIO</v>
          </cell>
          <cell r="AJ128" t="str">
            <v>PRESO</v>
          </cell>
        </row>
        <row r="129">
          <cell r="B129">
            <v>45233</v>
          </cell>
          <cell r="H129">
            <v>45350</v>
          </cell>
          <cell r="Q129" t="str">
            <v>ELEVADA A JUICIO</v>
          </cell>
          <cell r="AJ129" t="str">
            <v>SIN</v>
          </cell>
        </row>
        <row r="130">
          <cell r="B130">
            <v>45282</v>
          </cell>
          <cell r="H130">
            <v>45350</v>
          </cell>
          <cell r="Q130" t="str">
            <v>ELEVADA A JUICIO</v>
          </cell>
          <cell r="AJ130" t="str">
            <v>PRESO</v>
          </cell>
        </row>
        <row r="131">
          <cell r="B131">
            <v>45317</v>
          </cell>
          <cell r="H131">
            <v>45350</v>
          </cell>
          <cell r="Q131" t="str">
            <v>ELEVADA A JUICIO</v>
          </cell>
          <cell r="AJ131" t="str">
            <v>PRESO</v>
          </cell>
        </row>
        <row r="132">
          <cell r="B132">
            <v>45328</v>
          </cell>
          <cell r="H132">
            <v>45350</v>
          </cell>
          <cell r="Q132" t="str">
            <v>ELEVADA A JUICIO</v>
          </cell>
          <cell r="AJ132" t="str">
            <v>SIN</v>
          </cell>
        </row>
        <row r="133">
          <cell r="B133">
            <v>45299</v>
          </cell>
          <cell r="H133">
            <v>45351</v>
          </cell>
          <cell r="Q133" t="str">
            <v>ELEVADA A JUICIO</v>
          </cell>
          <cell r="AJ133" t="str">
            <v>SIN</v>
          </cell>
        </row>
        <row r="134">
          <cell r="B134">
            <v>45329</v>
          </cell>
          <cell r="H134">
            <v>45352</v>
          </cell>
          <cell r="Q134" t="str">
            <v>ELEVADA A JUICIO</v>
          </cell>
          <cell r="AJ134" t="str">
            <v>PRESO</v>
          </cell>
        </row>
        <row r="135">
          <cell r="B135">
            <v>45230</v>
          </cell>
          <cell r="H135">
            <v>45355</v>
          </cell>
          <cell r="Q135" t="str">
            <v>ELEVADA A JUICIO</v>
          </cell>
          <cell r="AJ135" t="str">
            <v>SIN</v>
          </cell>
        </row>
        <row r="136">
          <cell r="B136">
            <v>45236</v>
          </cell>
          <cell r="H136">
            <v>45355</v>
          </cell>
          <cell r="Q136" t="str">
            <v>ELEVADA A JUICIO</v>
          </cell>
          <cell r="AJ136" t="str">
            <v>SIN</v>
          </cell>
        </row>
        <row r="137">
          <cell r="B137">
            <v>45280</v>
          </cell>
          <cell r="H137">
            <v>45355</v>
          </cell>
          <cell r="Q137" t="str">
            <v>ELEVADA A JUICIO</v>
          </cell>
          <cell r="AJ137" t="str">
            <v>PRESO</v>
          </cell>
        </row>
        <row r="138">
          <cell r="B138">
            <v>45237</v>
          </cell>
          <cell r="H138">
            <v>45356</v>
          </cell>
          <cell r="Q138" t="str">
            <v>ELEVADA A JUICIO</v>
          </cell>
          <cell r="AJ138" t="str">
            <v>PRESO</v>
          </cell>
        </row>
        <row r="139">
          <cell r="B139">
            <v>45338</v>
          </cell>
          <cell r="H139">
            <v>45356</v>
          </cell>
          <cell r="Q139" t="str">
            <v>ELEVADA A JUICIO</v>
          </cell>
          <cell r="AJ139" t="str">
            <v>PRESO</v>
          </cell>
        </row>
        <row r="140">
          <cell r="B140">
            <v>45240</v>
          </cell>
          <cell r="H140">
            <v>45357</v>
          </cell>
          <cell r="Q140" t="str">
            <v>ELEVADA A JUICIO</v>
          </cell>
          <cell r="AJ140" t="str">
            <v>SIN</v>
          </cell>
        </row>
        <row r="141">
          <cell r="B141">
            <v>45252</v>
          </cell>
          <cell r="H141">
            <v>45357</v>
          </cell>
          <cell r="Q141" t="str">
            <v>ELEVADA A JUICIO</v>
          </cell>
          <cell r="AJ141" t="str">
            <v>SIN</v>
          </cell>
        </row>
        <row r="142">
          <cell r="B142">
            <v>45286</v>
          </cell>
          <cell r="H142">
            <v>45357</v>
          </cell>
          <cell r="Q142" t="str">
            <v>ELEVADA A JUICIO</v>
          </cell>
          <cell r="AJ142" t="str">
            <v>PRESO</v>
          </cell>
        </row>
        <row r="143">
          <cell r="B143">
            <v>45301</v>
          </cell>
          <cell r="H143">
            <v>45357</v>
          </cell>
          <cell r="Q143" t="str">
            <v>ELEVADA A JUICIO</v>
          </cell>
          <cell r="AJ143" t="str">
            <v>PRESO</v>
          </cell>
        </row>
        <row r="144">
          <cell r="B144">
            <v>45232</v>
          </cell>
          <cell r="H144">
            <v>45358</v>
          </cell>
          <cell r="Q144" t="str">
            <v>ELEVADA A JUICIO</v>
          </cell>
          <cell r="AJ144" t="str">
            <v>SIN</v>
          </cell>
        </row>
        <row r="145">
          <cell r="B145">
            <v>45239</v>
          </cell>
          <cell r="H145">
            <v>45358</v>
          </cell>
          <cell r="Q145" t="str">
            <v>ELEVADA A JUICIO</v>
          </cell>
          <cell r="AJ145" t="str">
            <v>SIN</v>
          </cell>
        </row>
        <row r="146">
          <cell r="B146">
            <v>45273</v>
          </cell>
          <cell r="H146">
            <v>45358</v>
          </cell>
          <cell r="Q146" t="str">
            <v>ELEVADA A JUICIO</v>
          </cell>
          <cell r="AJ146" t="str">
            <v>PRESO</v>
          </cell>
        </row>
        <row r="147">
          <cell r="B147">
            <v>45279</v>
          </cell>
          <cell r="H147">
            <v>45358</v>
          </cell>
          <cell r="Q147" t="str">
            <v>ELEVADA A JUICIO</v>
          </cell>
          <cell r="AJ147" t="str">
            <v>PRESO</v>
          </cell>
        </row>
        <row r="148">
          <cell r="B148">
            <v>45324</v>
          </cell>
          <cell r="H148">
            <v>45358</v>
          </cell>
          <cell r="Q148" t="str">
            <v>ELEVADA A JUICIO</v>
          </cell>
          <cell r="AJ148" t="str">
            <v>PRESO</v>
          </cell>
        </row>
        <row r="149">
          <cell r="B149">
            <v>45327</v>
          </cell>
          <cell r="H149">
            <v>45358</v>
          </cell>
          <cell r="Q149" t="str">
            <v>ELEVADA A JUICIO</v>
          </cell>
          <cell r="AJ149" t="str">
            <v>PRESO</v>
          </cell>
        </row>
        <row r="150">
          <cell r="B150">
            <v>45243</v>
          </cell>
          <cell r="H150">
            <v>45359</v>
          </cell>
          <cell r="Q150" t="str">
            <v>ELEVADA A JUICIO</v>
          </cell>
          <cell r="AJ150" t="str">
            <v>PRESO</v>
          </cell>
        </row>
        <row r="151">
          <cell r="B151">
            <v>45301</v>
          </cell>
          <cell r="H151">
            <v>45359</v>
          </cell>
          <cell r="Q151" t="str">
            <v>ELEVADA A JUICIO</v>
          </cell>
          <cell r="AJ151" t="str">
            <v>PRESO</v>
          </cell>
        </row>
        <row r="152">
          <cell r="B152">
            <v>45323</v>
          </cell>
          <cell r="H152">
            <v>45359</v>
          </cell>
          <cell r="Q152" t="str">
            <v>ELEVADA A JUICIO</v>
          </cell>
          <cell r="AJ152" t="str">
            <v>PRESO</v>
          </cell>
        </row>
        <row r="153">
          <cell r="B153">
            <v>45338</v>
          </cell>
          <cell r="H153">
            <v>45359</v>
          </cell>
          <cell r="Q153" t="str">
            <v>ELEVADA A JUICIO</v>
          </cell>
          <cell r="AJ153" t="str">
            <v>PRESO</v>
          </cell>
        </row>
        <row r="154">
          <cell r="B154">
            <v>45341</v>
          </cell>
          <cell r="H154">
            <v>45359</v>
          </cell>
          <cell r="Q154" t="str">
            <v>ELEVADA A JUICIO</v>
          </cell>
          <cell r="AJ154" t="str">
            <v>PRESO</v>
          </cell>
        </row>
        <row r="155">
          <cell r="B155">
            <v>45229</v>
          </cell>
          <cell r="H155">
            <v>45362</v>
          </cell>
          <cell r="Q155" t="str">
            <v xml:space="preserve"> _</v>
          </cell>
          <cell r="AJ155" t="str">
            <v>SIN</v>
          </cell>
        </row>
        <row r="156">
          <cell r="B156">
            <v>45217</v>
          </cell>
          <cell r="H156">
            <v>45362</v>
          </cell>
          <cell r="Q156" t="str">
            <v>ELEVADA A JUICIO</v>
          </cell>
          <cell r="AJ156" t="str">
            <v>PRESO</v>
          </cell>
        </row>
        <row r="157">
          <cell r="B157">
            <v>45320</v>
          </cell>
          <cell r="H157">
            <v>45362</v>
          </cell>
          <cell r="Q157" t="str">
            <v>ELEVADA A JUICIO</v>
          </cell>
          <cell r="AJ157" t="str">
            <v>PRESO</v>
          </cell>
        </row>
        <row r="158">
          <cell r="B158">
            <v>45327</v>
          </cell>
          <cell r="H158">
            <v>45362</v>
          </cell>
          <cell r="Q158" t="str">
            <v>ELEVADA A JUICIO</v>
          </cell>
          <cell r="AJ158" t="str">
            <v>PRESO</v>
          </cell>
        </row>
        <row r="159">
          <cell r="B159">
            <v>45337</v>
          </cell>
          <cell r="H159">
            <v>45362</v>
          </cell>
          <cell r="Q159" t="str">
            <v>ELEVADA A JUICIO</v>
          </cell>
          <cell r="AJ159" t="str">
            <v>SIN</v>
          </cell>
        </row>
        <row r="160">
          <cell r="B160">
            <v>45345</v>
          </cell>
          <cell r="H160">
            <v>45362</v>
          </cell>
          <cell r="Q160" t="str">
            <v>ELEVADA A JUICIO</v>
          </cell>
          <cell r="AJ160" t="str">
            <v>PRESO</v>
          </cell>
        </row>
        <row r="161">
          <cell r="B161">
            <v>45349</v>
          </cell>
          <cell r="H161">
            <v>45362</v>
          </cell>
          <cell r="Q161" t="str">
            <v>ELEVADA A JUICIO</v>
          </cell>
          <cell r="AJ161" t="str">
            <v>PRESO</v>
          </cell>
        </row>
        <row r="162">
          <cell r="B162">
            <v>45251</v>
          </cell>
          <cell r="H162">
            <v>45363</v>
          </cell>
          <cell r="Q162" t="str">
            <v>ELEVADA A JUICIO</v>
          </cell>
          <cell r="AJ162" t="str">
            <v>SIN</v>
          </cell>
        </row>
        <row r="163">
          <cell r="B163">
            <v>45258</v>
          </cell>
          <cell r="H163">
            <v>45363</v>
          </cell>
          <cell r="Q163" t="str">
            <v>ELEVADA A JUICIO</v>
          </cell>
          <cell r="AJ163" t="str">
            <v>SIN</v>
          </cell>
        </row>
        <row r="164">
          <cell r="B164">
            <v>45300</v>
          </cell>
          <cell r="H164">
            <v>45363</v>
          </cell>
          <cell r="Q164" t="str">
            <v>ELEVADA A JUICIO</v>
          </cell>
          <cell r="AJ164" t="str">
            <v>PRESO</v>
          </cell>
        </row>
        <row r="165">
          <cell r="B165">
            <v>45230</v>
          </cell>
          <cell r="H165">
            <v>45364</v>
          </cell>
          <cell r="Q165" t="str">
            <v>ELEVADA A JUICIO</v>
          </cell>
          <cell r="AJ165" t="str">
            <v>SIN</v>
          </cell>
        </row>
        <row r="166">
          <cell r="B166">
            <v>45245</v>
          </cell>
          <cell r="H166">
            <v>45364</v>
          </cell>
          <cell r="Q166" t="str">
            <v>ELEVADA A JUICIO</v>
          </cell>
          <cell r="AJ166" t="str">
            <v>SIN</v>
          </cell>
        </row>
        <row r="167">
          <cell r="B167">
            <v>45246</v>
          </cell>
          <cell r="H167">
            <v>45364</v>
          </cell>
          <cell r="Q167" t="str">
            <v>ELEVADA A JUICIO</v>
          </cell>
          <cell r="AJ167" t="str">
            <v>SIN</v>
          </cell>
        </row>
        <row r="168">
          <cell r="B168">
            <v>45306</v>
          </cell>
          <cell r="H168">
            <v>45364</v>
          </cell>
          <cell r="Q168" t="str">
            <v>ELEVADA A JUICIO</v>
          </cell>
          <cell r="AJ168" t="str">
            <v>PRESO</v>
          </cell>
        </row>
        <row r="169">
          <cell r="B169">
            <v>45337</v>
          </cell>
          <cell r="H169">
            <v>45364</v>
          </cell>
          <cell r="Q169" t="str">
            <v>ELEVADA A JUICIO</v>
          </cell>
          <cell r="AJ169" t="str">
            <v>PRESO</v>
          </cell>
        </row>
        <row r="170">
          <cell r="B170">
            <v>45355</v>
          </cell>
          <cell r="H170">
            <v>45364</v>
          </cell>
          <cell r="Q170" t="str">
            <v>RESUELTA EN AUD FLEX Y MULTI PREVENTIVA</v>
          </cell>
          <cell r="AJ170" t="str">
            <v>PRESO</v>
          </cell>
        </row>
        <row r="171">
          <cell r="B171">
            <v>45253</v>
          </cell>
          <cell r="H171">
            <v>45365</v>
          </cell>
          <cell r="Q171" t="str">
            <v>ELEVADA A JUICIO</v>
          </cell>
          <cell r="AJ171" t="str">
            <v>SIN</v>
          </cell>
        </row>
        <row r="172">
          <cell r="B172">
            <v>45323</v>
          </cell>
          <cell r="H172">
            <v>45365</v>
          </cell>
          <cell r="Q172" t="str">
            <v>ELEVADA A JUICIO</v>
          </cell>
          <cell r="AJ172" t="str">
            <v>PRESO</v>
          </cell>
        </row>
        <row r="173">
          <cell r="B173">
            <v>45350</v>
          </cell>
          <cell r="H173">
            <v>45365</v>
          </cell>
          <cell r="Q173" t="str">
            <v>ELEVADA A JUICIO</v>
          </cell>
          <cell r="AJ173" t="str">
            <v>PRESO</v>
          </cell>
        </row>
        <row r="174">
          <cell r="B174">
            <v>45289</v>
          </cell>
          <cell r="H174">
            <v>45366</v>
          </cell>
          <cell r="Q174" t="str">
            <v>ELEVADA A JUICIO</v>
          </cell>
          <cell r="AJ174" t="str">
            <v>PRESO</v>
          </cell>
        </row>
        <row r="175">
          <cell r="B175">
            <v>45341</v>
          </cell>
          <cell r="H175">
            <v>45366</v>
          </cell>
          <cell r="Q175" t="str">
            <v>ELEVADA A JUICIO</v>
          </cell>
          <cell r="AJ175" t="str">
            <v>PRESO</v>
          </cell>
        </row>
        <row r="176">
          <cell r="B176">
            <v>45231</v>
          </cell>
          <cell r="H176">
            <v>45369</v>
          </cell>
          <cell r="Q176" t="str">
            <v>ELEVADA A JUICIO</v>
          </cell>
          <cell r="AJ176" t="str">
            <v>SIN</v>
          </cell>
        </row>
        <row r="177">
          <cell r="B177">
            <v>45231</v>
          </cell>
          <cell r="H177">
            <v>45369</v>
          </cell>
          <cell r="Q177" t="str">
            <v>ELEVADA A JUICIO</v>
          </cell>
          <cell r="AJ177" t="str">
            <v>SIN</v>
          </cell>
        </row>
        <row r="178">
          <cell r="B178">
            <v>45232</v>
          </cell>
          <cell r="H178">
            <v>45369</v>
          </cell>
          <cell r="Q178" t="str">
            <v>ELEVADA A JUICIO</v>
          </cell>
          <cell r="AJ178" t="str">
            <v>SIN</v>
          </cell>
        </row>
        <row r="179">
          <cell r="B179">
            <v>45260</v>
          </cell>
          <cell r="H179">
            <v>45369</v>
          </cell>
          <cell r="Q179" t="str">
            <v>ELEVADA A JUICIO</v>
          </cell>
          <cell r="AJ179" t="str">
            <v>SIN</v>
          </cell>
        </row>
        <row r="180">
          <cell r="B180">
            <v>45266</v>
          </cell>
          <cell r="H180">
            <v>45369</v>
          </cell>
          <cell r="Q180" t="str">
            <v>ELEVADA A JUICIO</v>
          </cell>
          <cell r="AJ180" t="str">
            <v>PRESO</v>
          </cell>
        </row>
        <row r="181">
          <cell r="B181">
            <v>45243</v>
          </cell>
          <cell r="H181">
            <v>45370</v>
          </cell>
          <cell r="Q181" t="str">
            <v>DEVUELTA POR PRESCRIPCION</v>
          </cell>
          <cell r="AJ181" t="str">
            <v>SIN</v>
          </cell>
        </row>
        <row r="182">
          <cell r="B182">
            <v>45245</v>
          </cell>
          <cell r="H182">
            <v>45370</v>
          </cell>
          <cell r="Q182" t="str">
            <v>DEVUELTA AL JUZGADO DE ORIGEN</v>
          </cell>
          <cell r="AJ182" t="str">
            <v>SIN</v>
          </cell>
        </row>
        <row r="183">
          <cell r="B183">
            <v>45245</v>
          </cell>
          <cell r="H183">
            <v>45370</v>
          </cell>
          <cell r="Q183" t="str">
            <v>DEVUELTA POR PRESCRIPCION</v>
          </cell>
          <cell r="AJ183" t="str">
            <v>SIN</v>
          </cell>
        </row>
        <row r="184">
          <cell r="B184">
            <v>45281</v>
          </cell>
          <cell r="H184">
            <v>45370</v>
          </cell>
          <cell r="Q184" t="str">
            <v>DEVUELTA POR PRESCRIPCION</v>
          </cell>
          <cell r="AJ184" t="str">
            <v>SIN</v>
          </cell>
        </row>
        <row r="185">
          <cell r="B185">
            <v>45313</v>
          </cell>
          <cell r="H185">
            <v>45370</v>
          </cell>
          <cell r="Q185" t="str">
            <v>RESUELTA EN AUD FLEX Y MULTI PREVENTIVA</v>
          </cell>
          <cell r="AJ185" t="str">
            <v>PRESO</v>
          </cell>
        </row>
        <row r="186">
          <cell r="B186">
            <v>45338</v>
          </cell>
          <cell r="H186">
            <v>45370</v>
          </cell>
          <cell r="Q186" t="str">
            <v>ELEVADA A JUICIO</v>
          </cell>
          <cell r="AJ186" t="str">
            <v>PRESO</v>
          </cell>
        </row>
        <row r="187">
          <cell r="B187">
            <v>45341</v>
          </cell>
          <cell r="H187">
            <v>45370</v>
          </cell>
          <cell r="Q187" t="str">
            <v>ELEVADA A JUICIO</v>
          </cell>
          <cell r="AJ187" t="str">
            <v>PRESO</v>
          </cell>
        </row>
        <row r="188">
          <cell r="B188">
            <v>45349</v>
          </cell>
          <cell r="H188">
            <v>45370</v>
          </cell>
          <cell r="Q188" t="str">
            <v>ELEVADA A JUICIO</v>
          </cell>
          <cell r="AJ188" t="str">
            <v>PRESO</v>
          </cell>
        </row>
        <row r="189">
          <cell r="B189">
            <v>45232</v>
          </cell>
          <cell r="H189">
            <v>45371</v>
          </cell>
          <cell r="Q189" t="str">
            <v>ELEVADA A JUICIO</v>
          </cell>
          <cell r="AJ189" t="str">
            <v>SIN</v>
          </cell>
        </row>
        <row r="190">
          <cell r="B190">
            <v>45254</v>
          </cell>
          <cell r="H190">
            <v>45371</v>
          </cell>
          <cell r="Q190" t="str">
            <v>DEVUELTA POR PRESCRIPCION</v>
          </cell>
          <cell r="AJ190" t="str">
            <v>SIN</v>
          </cell>
        </row>
        <row r="191">
          <cell r="B191">
            <v>45330</v>
          </cell>
          <cell r="H191">
            <v>45371</v>
          </cell>
          <cell r="Q191" t="str">
            <v>ELEVADA A JUICIO</v>
          </cell>
          <cell r="AJ191" t="str">
            <v>PRESO</v>
          </cell>
        </row>
        <row r="192">
          <cell r="B192">
            <v>45344</v>
          </cell>
          <cell r="H192">
            <v>45371</v>
          </cell>
          <cell r="Q192" t="str">
            <v>RESUELTA EN AUD FLEX Y MULTI PREVENTIVA</v>
          </cell>
          <cell r="AJ192" t="str">
            <v>PRESO</v>
          </cell>
        </row>
        <row r="193">
          <cell r="B193">
            <v>45338</v>
          </cell>
          <cell r="H193">
            <v>45372</v>
          </cell>
          <cell r="Q193" t="str">
            <v>ELEVADA A JUICIO</v>
          </cell>
          <cell r="AJ193" t="str">
            <v>SIN</v>
          </cell>
        </row>
        <row r="194">
          <cell r="B194">
            <v>45243</v>
          </cell>
          <cell r="H194">
            <v>45373</v>
          </cell>
          <cell r="Q194" t="str">
            <v>ELEVADA A JUICIO</v>
          </cell>
          <cell r="AJ194" t="str">
            <v>SIN</v>
          </cell>
        </row>
        <row r="195">
          <cell r="B195">
            <v>45327</v>
          </cell>
          <cell r="H195">
            <v>45373</v>
          </cell>
          <cell r="Q195" t="str">
            <v>ELEVADA A JUICIO</v>
          </cell>
          <cell r="AJ195" t="str">
            <v>PRESO</v>
          </cell>
        </row>
        <row r="196">
          <cell r="B196">
            <v>45351</v>
          </cell>
          <cell r="H196">
            <v>45373</v>
          </cell>
          <cell r="Q196" t="str">
            <v>ELEVADA A JUICIO</v>
          </cell>
          <cell r="AJ196" t="str">
            <v>PRESO</v>
          </cell>
        </row>
        <row r="197">
          <cell r="B197">
            <v>45363</v>
          </cell>
          <cell r="H197">
            <v>45373</v>
          </cell>
          <cell r="Q197" t="str">
            <v>DEVUELTA AL JUZGADO DE ORIGEN</v>
          </cell>
          <cell r="AJ197" t="str">
            <v>PRESO</v>
          </cell>
        </row>
        <row r="198">
          <cell r="B198">
            <v>45224</v>
          </cell>
          <cell r="H198">
            <v>45376</v>
          </cell>
          <cell r="Q198" t="str">
            <v>ELEVADA A JUICIO</v>
          </cell>
          <cell r="AJ198" t="str">
            <v>SIN</v>
          </cell>
        </row>
        <row r="199">
          <cell r="B199">
            <v>45336</v>
          </cell>
          <cell r="H199">
            <v>45376</v>
          </cell>
          <cell r="Q199" t="str">
            <v>ELEVADA A JUICIO</v>
          </cell>
          <cell r="AJ199" t="str">
            <v>PRESO</v>
          </cell>
        </row>
        <row r="200">
          <cell r="B200">
            <v>45376</v>
          </cell>
          <cell r="H200">
            <v>45376</v>
          </cell>
          <cell r="Q200" t="str">
            <v>ELEVADA A JUICIO</v>
          </cell>
          <cell r="AJ200" t="str">
            <v>SIN</v>
          </cell>
        </row>
        <row r="201">
          <cell r="B201">
            <v>45364</v>
          </cell>
          <cell r="H201">
            <v>45377</v>
          </cell>
          <cell r="Q201" t="str">
            <v>Juicio Abreviado - Efectiva</v>
          </cell>
          <cell r="AJ201" t="str">
            <v>PRESO</v>
          </cell>
        </row>
        <row r="202">
          <cell r="B202">
            <v>45245</v>
          </cell>
          <cell r="H202">
            <v>45377</v>
          </cell>
          <cell r="Q202" t="str">
            <v>ELEVADA A JUICIO</v>
          </cell>
          <cell r="AJ202" t="str">
            <v>SIN</v>
          </cell>
        </row>
        <row r="203">
          <cell r="B203">
            <v>45288</v>
          </cell>
          <cell r="H203">
            <v>45377</v>
          </cell>
          <cell r="Q203" t="str">
            <v>ELEVADA A JUICIO</v>
          </cell>
          <cell r="AJ203" t="str">
            <v>PRESO</v>
          </cell>
        </row>
        <row r="204">
          <cell r="B204">
            <v>45306</v>
          </cell>
          <cell r="H204">
            <v>45377</v>
          </cell>
          <cell r="Q204" t="str">
            <v>ELEVADA A JUICIO</v>
          </cell>
          <cell r="AJ204" t="str">
            <v>PRESO</v>
          </cell>
        </row>
        <row r="205">
          <cell r="B205">
            <v>45349</v>
          </cell>
          <cell r="H205">
            <v>45377</v>
          </cell>
          <cell r="Q205" t="str">
            <v>ELEVADA A JUICIO</v>
          </cell>
          <cell r="AJ205" t="str">
            <v>SIN</v>
          </cell>
        </row>
        <row r="206">
          <cell r="B206">
            <v>45363</v>
          </cell>
          <cell r="H206">
            <v>45377</v>
          </cell>
          <cell r="Q206" t="str">
            <v>ELEVADA A JUICIO</v>
          </cell>
          <cell r="AJ206" t="str">
            <v>PRESO</v>
          </cell>
        </row>
        <row r="207">
          <cell r="B207">
            <v>45243</v>
          </cell>
          <cell r="H207">
            <v>45378</v>
          </cell>
          <cell r="Q207" t="str">
            <v>DEVUELTA POR PRESCRIPCION</v>
          </cell>
          <cell r="AJ207" t="str">
            <v>SIN</v>
          </cell>
        </row>
        <row r="208">
          <cell r="B208">
            <v>45252</v>
          </cell>
          <cell r="H208">
            <v>45378</v>
          </cell>
          <cell r="Q208" t="str">
            <v>DEVUELTA CON REBELDIA</v>
          </cell>
          <cell r="AJ208" t="str">
            <v>SIN</v>
          </cell>
        </row>
        <row r="209">
          <cell r="B209">
            <v>45254</v>
          </cell>
          <cell r="H209">
            <v>45378</v>
          </cell>
          <cell r="Q209" t="str">
            <v>DEVUELTA CON REBELDIA</v>
          </cell>
          <cell r="AJ209" t="str">
            <v>SIN</v>
          </cell>
        </row>
        <row r="210">
          <cell r="B210">
            <v>45254</v>
          </cell>
          <cell r="H210">
            <v>45378</v>
          </cell>
          <cell r="Q210" t="str">
            <v>DEVUELTA CON REBELDIA</v>
          </cell>
          <cell r="AJ210" t="str">
            <v>SIN</v>
          </cell>
        </row>
        <row r="211">
          <cell r="B211">
            <v>45265</v>
          </cell>
          <cell r="H211">
            <v>45378</v>
          </cell>
          <cell r="Q211" t="str">
            <v>DEVUELTA POR PRESCRIPCION</v>
          </cell>
          <cell r="AJ211" t="str">
            <v>SIN</v>
          </cell>
        </row>
        <row r="212">
          <cell r="B212">
            <v>45320</v>
          </cell>
          <cell r="H212">
            <v>45378</v>
          </cell>
          <cell r="Q212" t="str">
            <v>ELEVADA A JUICIO</v>
          </cell>
          <cell r="AJ212" t="str">
            <v>PRESO</v>
          </cell>
        </row>
        <row r="213">
          <cell r="B213">
            <v>45267</v>
          </cell>
          <cell r="H213">
            <v>45385</v>
          </cell>
          <cell r="Q213" t="str">
            <v>ELEVADA A JUICIO</v>
          </cell>
          <cell r="AJ213" t="str">
            <v>PRESO</v>
          </cell>
        </row>
        <row r="214">
          <cell r="B214">
            <v>45246</v>
          </cell>
          <cell r="H214">
            <v>45386</v>
          </cell>
          <cell r="Q214" t="str">
            <v>ELEVADA A JUICIO</v>
          </cell>
          <cell r="AJ214" t="str">
            <v>SIN</v>
          </cell>
        </row>
        <row r="215">
          <cell r="B215">
            <v>45265</v>
          </cell>
          <cell r="H215">
            <v>45386</v>
          </cell>
          <cell r="Q215" t="str">
            <v>DEVUELTA POR PRESCRIPCION</v>
          </cell>
          <cell r="AJ215" t="str">
            <v>SIN</v>
          </cell>
        </row>
        <row r="216">
          <cell r="B216">
            <v>45279</v>
          </cell>
          <cell r="H216">
            <v>45391</v>
          </cell>
          <cell r="Q216" t="str">
            <v>Juicio Abreviado - Efectiva</v>
          </cell>
          <cell r="AJ216" t="str">
            <v>PRESO</v>
          </cell>
        </row>
        <row r="217">
          <cell r="B217">
            <v>45350</v>
          </cell>
          <cell r="H217">
            <v>45391</v>
          </cell>
          <cell r="Q217" t="str">
            <v>ELEVADA A JUICIO</v>
          </cell>
          <cell r="AJ217" t="str">
            <v>PRESO</v>
          </cell>
        </row>
        <row r="218">
          <cell r="B218">
            <v>45363</v>
          </cell>
          <cell r="H218">
            <v>45391</v>
          </cell>
          <cell r="Q218" t="str">
            <v>ELEVADA A JUICIO</v>
          </cell>
          <cell r="AJ218" t="str">
            <v>PRESO</v>
          </cell>
        </row>
        <row r="219">
          <cell r="B219">
            <v>45363</v>
          </cell>
          <cell r="H219">
            <v>45391</v>
          </cell>
          <cell r="Q219" t="str">
            <v>ELEVADA A JUICIO</v>
          </cell>
          <cell r="AJ219" t="str">
            <v>PRESO</v>
          </cell>
        </row>
        <row r="220">
          <cell r="B220">
            <v>45243</v>
          </cell>
          <cell r="H220">
            <v>45393</v>
          </cell>
          <cell r="Q220" t="str">
            <v>ELEVADA A JUICIO</v>
          </cell>
          <cell r="AJ220" t="str">
            <v>SIN</v>
          </cell>
        </row>
        <row r="221">
          <cell r="B221">
            <v>45245</v>
          </cell>
          <cell r="H221">
            <v>45393</v>
          </cell>
          <cell r="Q221" t="str">
            <v>ELEVADA A JUICIO</v>
          </cell>
          <cell r="AJ221" t="str">
            <v>SIN</v>
          </cell>
        </row>
        <row r="222">
          <cell r="B222">
            <v>45350</v>
          </cell>
          <cell r="H222">
            <v>45393</v>
          </cell>
          <cell r="Q222" t="str">
            <v>ELEVADA A JUICIO</v>
          </cell>
          <cell r="AJ222" t="str">
            <v>PRESO</v>
          </cell>
        </row>
        <row r="223">
          <cell r="B223">
            <v>45373</v>
          </cell>
          <cell r="H223">
            <v>45393</v>
          </cell>
          <cell r="Q223" t="str">
            <v>ELEVADA A JUICIO</v>
          </cell>
          <cell r="AJ223" t="str">
            <v>PRESO</v>
          </cell>
        </row>
        <row r="224">
          <cell r="B224">
            <v>45373</v>
          </cell>
          <cell r="H224">
            <v>45393</v>
          </cell>
          <cell r="Q224" t="str">
            <v>ELEVADA A JUICIO</v>
          </cell>
          <cell r="AJ224" t="str">
            <v>PRESO</v>
          </cell>
        </row>
        <row r="225">
          <cell r="B225">
            <v>45357</v>
          </cell>
          <cell r="H225">
            <v>45393</v>
          </cell>
          <cell r="Q225" t="str">
            <v>DEVUELTA AL JUZGADO DE ORIGEN</v>
          </cell>
          <cell r="AJ225" t="str">
            <v>SIN</v>
          </cell>
        </row>
        <row r="226">
          <cell r="B226">
            <v>45233</v>
          </cell>
          <cell r="H226">
            <v>45394</v>
          </cell>
          <cell r="Q226" t="str">
            <v>ELEVADA A JUICIO</v>
          </cell>
          <cell r="AJ226" t="str">
            <v>SIN</v>
          </cell>
        </row>
        <row r="227">
          <cell r="B227">
            <v>45226</v>
          </cell>
          <cell r="H227">
            <v>45397</v>
          </cell>
          <cell r="Q227" t="str">
            <v>ELEVADA A JUICIO</v>
          </cell>
          <cell r="AJ227" t="str">
            <v>SIN</v>
          </cell>
        </row>
        <row r="228">
          <cell r="B228">
            <v>45230</v>
          </cell>
          <cell r="H228">
            <v>45397</v>
          </cell>
          <cell r="Q228" t="str">
            <v>ELEVADA A JUICIO</v>
          </cell>
          <cell r="AJ228" t="str">
            <v>SIN</v>
          </cell>
        </row>
        <row r="229">
          <cell r="B229">
            <v>45245</v>
          </cell>
          <cell r="H229">
            <v>45397</v>
          </cell>
          <cell r="Q229" t="str">
            <v>RESUELTA EN AUD FLEX Y MULTI PREVENTIVA</v>
          </cell>
          <cell r="AJ229" t="str">
            <v>SIN</v>
          </cell>
        </row>
        <row r="230">
          <cell r="B230">
            <v>45266</v>
          </cell>
          <cell r="H230">
            <v>45397</v>
          </cell>
          <cell r="Q230" t="str">
            <v>ELEVADA A JUICIO</v>
          </cell>
          <cell r="AJ230" t="str">
            <v>SIN</v>
          </cell>
        </row>
        <row r="231">
          <cell r="B231">
            <v>45370</v>
          </cell>
          <cell r="H231">
            <v>45397</v>
          </cell>
          <cell r="Q231" t="str">
            <v>ELEVADA A JUICIO</v>
          </cell>
          <cell r="AJ231" t="str">
            <v>PRESO</v>
          </cell>
        </row>
        <row r="232">
          <cell r="B232">
            <v>45231</v>
          </cell>
          <cell r="H232">
            <v>45398</v>
          </cell>
          <cell r="Q232" t="str">
            <v>DEVUELTA AL JUZGADO DE ORIGEN</v>
          </cell>
          <cell r="AJ232" t="str">
            <v>SIN</v>
          </cell>
        </row>
        <row r="233">
          <cell r="B233">
            <v>45265</v>
          </cell>
          <cell r="H233">
            <v>45398</v>
          </cell>
          <cell r="Q233" t="str">
            <v>ELEVADA A JUICIO</v>
          </cell>
          <cell r="AJ233" t="str">
            <v>SIN</v>
          </cell>
        </row>
        <row r="234">
          <cell r="B234">
            <v>45261</v>
          </cell>
          <cell r="H234">
            <v>45399</v>
          </cell>
          <cell r="Q234" t="str">
            <v>ELEVADA A JUICIO</v>
          </cell>
          <cell r="AJ234" t="str">
            <v>SIN</v>
          </cell>
        </row>
        <row r="235">
          <cell r="B235">
            <v>45343</v>
          </cell>
          <cell r="H235">
            <v>45399</v>
          </cell>
          <cell r="Q235" t="str">
            <v xml:space="preserve"> _</v>
          </cell>
          <cell r="AJ235" t="str">
            <v>SIN</v>
          </cell>
        </row>
        <row r="236">
          <cell r="B236">
            <v>45397</v>
          </cell>
          <cell r="H236">
            <v>45399</v>
          </cell>
          <cell r="Q236" t="str">
            <v>ELEVADA A JUICIO</v>
          </cell>
          <cell r="AJ236" t="str">
            <v>SIN</v>
          </cell>
        </row>
        <row r="237">
          <cell r="B237">
            <v>45233</v>
          </cell>
          <cell r="H237">
            <v>45400</v>
          </cell>
          <cell r="Q237" t="str">
            <v>RESUELTA EN AUD FLEX Y MULTI PREVENTIVA</v>
          </cell>
          <cell r="AJ237" t="str">
            <v>SIN</v>
          </cell>
        </row>
        <row r="238">
          <cell r="B238">
            <v>45356</v>
          </cell>
          <cell r="H238">
            <v>45400</v>
          </cell>
          <cell r="Q238" t="str">
            <v>DEVUELTA AL JUZGADO DE ORIGEN</v>
          </cell>
          <cell r="AJ238" t="str">
            <v>SIN</v>
          </cell>
        </row>
        <row r="239">
          <cell r="B239">
            <v>45372</v>
          </cell>
          <cell r="H239">
            <v>45400</v>
          </cell>
          <cell r="Q239" t="str">
            <v>ELEVADA A JUICIO</v>
          </cell>
          <cell r="AJ239" t="str">
            <v>PRESO</v>
          </cell>
        </row>
        <row r="240">
          <cell r="B240">
            <v>45394</v>
          </cell>
          <cell r="H240">
            <v>45400</v>
          </cell>
          <cell r="Q240" t="str">
            <v>ELEVADA A JUICIO</v>
          </cell>
          <cell r="AJ240" t="str">
            <v>PRESO</v>
          </cell>
        </row>
        <row r="241">
          <cell r="B241">
            <v>45239</v>
          </cell>
          <cell r="H241">
            <v>45401</v>
          </cell>
          <cell r="Q241" t="str">
            <v>ELEVADA A JUICIO</v>
          </cell>
          <cell r="AJ241" t="str">
            <v>SIN</v>
          </cell>
        </row>
        <row r="242">
          <cell r="B242">
            <v>45387</v>
          </cell>
          <cell r="H242">
            <v>45401</v>
          </cell>
          <cell r="Q242" t="str">
            <v>ELEVADA A JUICIO</v>
          </cell>
          <cell r="AJ242" t="str">
            <v>PRESO</v>
          </cell>
        </row>
        <row r="243">
          <cell r="B243">
            <v>45397</v>
          </cell>
          <cell r="H243">
            <v>45401</v>
          </cell>
          <cell r="Q243" t="str">
            <v>DEVUELTA AL JUZGADO DE ORIGEN</v>
          </cell>
          <cell r="AJ243" t="str">
            <v>SIN</v>
          </cell>
        </row>
        <row r="244">
          <cell r="B244">
            <v>45401</v>
          </cell>
          <cell r="H244">
            <v>45404</v>
          </cell>
          <cell r="Q244" t="str">
            <v xml:space="preserve"> _</v>
          </cell>
          <cell r="AJ244" t="str">
            <v>PRESO</v>
          </cell>
        </row>
        <row r="245">
          <cell r="B245">
            <v>45341</v>
          </cell>
          <cell r="H245">
            <v>45405</v>
          </cell>
          <cell r="Q245" t="str">
            <v>ELEVADA A JUICIO</v>
          </cell>
          <cell r="AJ245" t="str">
            <v>SIN</v>
          </cell>
        </row>
        <row r="246">
          <cell r="B246">
            <v>45344</v>
          </cell>
          <cell r="H246">
            <v>45406</v>
          </cell>
          <cell r="Q246" t="str">
            <v>Juicio Abreviado - Condicional y reglas de conducta</v>
          </cell>
          <cell r="AJ246" t="str">
            <v>SIN</v>
          </cell>
        </row>
        <row r="247">
          <cell r="B247">
            <v>45226</v>
          </cell>
          <cell r="H247">
            <v>45406</v>
          </cell>
          <cell r="Q247" t="str">
            <v>ELEVADA A JUICIO</v>
          </cell>
          <cell r="AJ247" t="str">
            <v>SIN</v>
          </cell>
        </row>
        <row r="248">
          <cell r="B248">
            <v>45386</v>
          </cell>
          <cell r="H248">
            <v>45406</v>
          </cell>
          <cell r="Q248" t="str">
            <v>ELEVADA A JUICIO</v>
          </cell>
          <cell r="AJ248" t="str">
            <v>PRESO</v>
          </cell>
        </row>
        <row r="249">
          <cell r="B249">
            <v>45328</v>
          </cell>
          <cell r="H249">
            <v>45406</v>
          </cell>
          <cell r="Q249" t="str">
            <v>ELEVADA A JUICIO</v>
          </cell>
          <cell r="AJ249" t="str">
            <v>SIN</v>
          </cell>
        </row>
        <row r="250">
          <cell r="B250">
            <v>45258</v>
          </cell>
          <cell r="H250">
            <v>45432</v>
          </cell>
          <cell r="Q250" t="str">
            <v xml:space="preserve"> _</v>
          </cell>
          <cell r="AJ250" t="str">
            <v>SIN</v>
          </cell>
        </row>
        <row r="251">
          <cell r="B251">
            <v>45209</v>
          </cell>
          <cell r="Q251" t="str">
            <v xml:space="preserve"> _</v>
          </cell>
          <cell r="AJ251" t="str">
            <v>SIN</v>
          </cell>
        </row>
        <row r="252">
          <cell r="B252">
            <v>45216</v>
          </cell>
          <cell r="Q252" t="str">
            <v xml:space="preserve"> _</v>
          </cell>
          <cell r="AJ252" t="str">
            <v>SIN</v>
          </cell>
        </row>
        <row r="253">
          <cell r="B253">
            <v>45216</v>
          </cell>
          <cell r="Q253" t="str">
            <v xml:space="preserve"> _</v>
          </cell>
          <cell r="AJ253" t="str">
            <v>SIN</v>
          </cell>
        </row>
        <row r="254">
          <cell r="B254">
            <v>45218</v>
          </cell>
          <cell r="Q254" t="str">
            <v xml:space="preserve"> _</v>
          </cell>
          <cell r="AJ254" t="str">
            <v>PRESO</v>
          </cell>
        </row>
        <row r="255">
          <cell r="B255">
            <v>45219</v>
          </cell>
          <cell r="Q255" t="str">
            <v xml:space="preserve"> _</v>
          </cell>
          <cell r="AJ255" t="str">
            <v>SIN</v>
          </cell>
        </row>
        <row r="256">
          <cell r="B256">
            <v>45219</v>
          </cell>
          <cell r="Q256" t="str">
            <v xml:space="preserve"> _</v>
          </cell>
          <cell r="AJ256" t="str">
            <v>SIN</v>
          </cell>
        </row>
        <row r="257">
          <cell r="B257">
            <v>45222</v>
          </cell>
          <cell r="Q257" t="str">
            <v xml:space="preserve"> _</v>
          </cell>
          <cell r="AJ257" t="str">
            <v>SIN</v>
          </cell>
        </row>
        <row r="258">
          <cell r="B258">
            <v>45225</v>
          </cell>
          <cell r="Q258" t="str">
            <v xml:space="preserve"> _</v>
          </cell>
          <cell r="AJ258" t="str">
            <v>SIN</v>
          </cell>
        </row>
        <row r="259">
          <cell r="B259">
            <v>45225</v>
          </cell>
          <cell r="Q259" t="str">
            <v xml:space="preserve"> _</v>
          </cell>
          <cell r="AJ259" t="str">
            <v>SIN</v>
          </cell>
        </row>
        <row r="260">
          <cell r="B260">
            <v>45226</v>
          </cell>
          <cell r="Q260" t="str">
            <v xml:space="preserve"> _</v>
          </cell>
          <cell r="AJ260" t="str">
            <v>SIN</v>
          </cell>
        </row>
        <row r="261">
          <cell r="B261">
            <v>45229</v>
          </cell>
          <cell r="Q261" t="str">
            <v xml:space="preserve"> _</v>
          </cell>
          <cell r="AJ261" t="str">
            <v>SIN</v>
          </cell>
        </row>
        <row r="262">
          <cell r="B262">
            <v>45229</v>
          </cell>
          <cell r="Q262" t="str">
            <v xml:space="preserve"> _</v>
          </cell>
          <cell r="AJ262" t="str">
            <v>SIN</v>
          </cell>
        </row>
        <row r="263">
          <cell r="B263">
            <v>45230</v>
          </cell>
          <cell r="Q263" t="str">
            <v xml:space="preserve"> _</v>
          </cell>
          <cell r="AJ263" t="str">
            <v>SIN</v>
          </cell>
        </row>
        <row r="264">
          <cell r="B264">
            <v>45230</v>
          </cell>
          <cell r="Q264" t="str">
            <v xml:space="preserve"> _</v>
          </cell>
          <cell r="AJ264" t="str">
            <v>SIN</v>
          </cell>
        </row>
        <row r="265">
          <cell r="B265">
            <v>45230</v>
          </cell>
          <cell r="Q265" t="str">
            <v xml:space="preserve"> _</v>
          </cell>
          <cell r="AJ265" t="str">
            <v>SIN</v>
          </cell>
        </row>
        <row r="266">
          <cell r="B266">
            <v>45230</v>
          </cell>
          <cell r="Q266" t="str">
            <v xml:space="preserve"> _</v>
          </cell>
          <cell r="AJ266" t="str">
            <v>SIN</v>
          </cell>
        </row>
        <row r="267">
          <cell r="B267">
            <v>45230</v>
          </cell>
          <cell r="Q267" t="str">
            <v xml:space="preserve"> _</v>
          </cell>
          <cell r="AJ267" t="str">
            <v>SIN</v>
          </cell>
        </row>
        <row r="268">
          <cell r="B268">
            <v>45230</v>
          </cell>
          <cell r="Q268" t="str">
            <v xml:space="preserve"> _</v>
          </cell>
          <cell r="AJ268" t="str">
            <v>SIN</v>
          </cell>
        </row>
        <row r="269">
          <cell r="B269">
            <v>45230</v>
          </cell>
          <cell r="Q269" t="str">
            <v xml:space="preserve"> _</v>
          </cell>
          <cell r="AJ269" t="str">
            <v>SIN</v>
          </cell>
        </row>
        <row r="270">
          <cell r="B270">
            <v>45230</v>
          </cell>
          <cell r="Q270" t="str">
            <v xml:space="preserve"> _</v>
          </cell>
          <cell r="AJ270" t="str">
            <v>SIN</v>
          </cell>
        </row>
        <row r="271">
          <cell r="B271">
            <v>45230</v>
          </cell>
          <cell r="Q271" t="str">
            <v xml:space="preserve"> _</v>
          </cell>
          <cell r="AJ271" t="str">
            <v>SIN</v>
          </cell>
        </row>
        <row r="272">
          <cell r="B272">
            <v>45230</v>
          </cell>
          <cell r="Q272" t="str">
            <v xml:space="preserve"> _</v>
          </cell>
          <cell r="AJ272" t="str">
            <v>SIN</v>
          </cell>
        </row>
        <row r="273">
          <cell r="B273">
            <v>45230</v>
          </cell>
          <cell r="Q273" t="str">
            <v xml:space="preserve"> _</v>
          </cell>
          <cell r="AJ273" t="str">
            <v>SIN</v>
          </cell>
        </row>
        <row r="274">
          <cell r="B274">
            <v>45230</v>
          </cell>
          <cell r="Q274" t="str">
            <v xml:space="preserve"> _</v>
          </cell>
          <cell r="AJ274" t="str">
            <v>SIN</v>
          </cell>
        </row>
        <row r="275">
          <cell r="B275">
            <v>45230</v>
          </cell>
          <cell r="Q275" t="str">
            <v xml:space="preserve"> _</v>
          </cell>
          <cell r="AJ275" t="str">
            <v>SIN</v>
          </cell>
        </row>
        <row r="276">
          <cell r="B276">
            <v>45230</v>
          </cell>
          <cell r="Q276" t="str">
            <v xml:space="preserve"> _</v>
          </cell>
          <cell r="AJ276" t="str">
            <v>SIN</v>
          </cell>
        </row>
        <row r="277">
          <cell r="B277">
            <v>45230</v>
          </cell>
          <cell r="Q277" t="str">
            <v xml:space="preserve"> _</v>
          </cell>
          <cell r="AJ277" t="str">
            <v>SIN</v>
          </cell>
        </row>
        <row r="278">
          <cell r="B278">
            <v>45231</v>
          </cell>
          <cell r="Q278" t="str">
            <v xml:space="preserve"> _</v>
          </cell>
          <cell r="AJ278" t="str">
            <v>SIN</v>
          </cell>
        </row>
        <row r="279">
          <cell r="B279">
            <v>45231</v>
          </cell>
          <cell r="Q279" t="str">
            <v xml:space="preserve"> _</v>
          </cell>
          <cell r="AJ279" t="str">
            <v>SIN</v>
          </cell>
        </row>
        <row r="280">
          <cell r="B280">
            <v>45231</v>
          </cell>
          <cell r="Q280" t="str">
            <v xml:space="preserve"> _</v>
          </cell>
          <cell r="AJ280" t="str">
            <v>SIN</v>
          </cell>
        </row>
        <row r="281">
          <cell r="B281">
            <v>45231</v>
          </cell>
          <cell r="Q281" t="str">
            <v xml:space="preserve"> _</v>
          </cell>
          <cell r="AJ281" t="str">
            <v>SIN</v>
          </cell>
        </row>
        <row r="282">
          <cell r="B282">
            <v>45231</v>
          </cell>
          <cell r="Q282" t="str">
            <v xml:space="preserve"> _</v>
          </cell>
          <cell r="AJ282" t="str">
            <v>SIN</v>
          </cell>
        </row>
        <row r="283">
          <cell r="B283">
            <v>45231</v>
          </cell>
          <cell r="H283">
            <v>45407</v>
          </cell>
          <cell r="Q283" t="str">
            <v>ELEVADA A JUICIO</v>
          </cell>
          <cell r="AJ283" t="str">
            <v>SIN</v>
          </cell>
        </row>
        <row r="284">
          <cell r="B284">
            <v>45231</v>
          </cell>
          <cell r="Q284" t="str">
            <v xml:space="preserve"> _</v>
          </cell>
          <cell r="AJ284" t="str">
            <v>SIN</v>
          </cell>
        </row>
        <row r="285">
          <cell r="B285">
            <v>45231</v>
          </cell>
          <cell r="Q285" t="str">
            <v xml:space="preserve"> _</v>
          </cell>
          <cell r="AJ285" t="str">
            <v>SIN</v>
          </cell>
        </row>
        <row r="286">
          <cell r="B286">
            <v>45231</v>
          </cell>
          <cell r="Q286" t="str">
            <v xml:space="preserve"> _</v>
          </cell>
          <cell r="AJ286" t="str">
            <v>SIN</v>
          </cell>
        </row>
        <row r="287">
          <cell r="B287">
            <v>45231</v>
          </cell>
          <cell r="Q287" t="str">
            <v xml:space="preserve"> _</v>
          </cell>
          <cell r="AJ287" t="str">
            <v>SIN</v>
          </cell>
        </row>
        <row r="288">
          <cell r="B288">
            <v>45232</v>
          </cell>
          <cell r="Q288" t="str">
            <v xml:space="preserve"> _</v>
          </cell>
          <cell r="AJ288" t="str">
            <v>SIN</v>
          </cell>
        </row>
        <row r="289">
          <cell r="B289">
            <v>45232</v>
          </cell>
          <cell r="Q289" t="str">
            <v xml:space="preserve"> _</v>
          </cell>
          <cell r="AJ289" t="str">
            <v>SIN</v>
          </cell>
        </row>
        <row r="290">
          <cell r="B290">
            <v>45232</v>
          </cell>
          <cell r="Q290" t="str">
            <v xml:space="preserve"> _</v>
          </cell>
          <cell r="AJ290" t="str">
            <v>SIN</v>
          </cell>
        </row>
        <row r="291">
          <cell r="B291">
            <v>45232</v>
          </cell>
          <cell r="Q291" t="str">
            <v xml:space="preserve"> _</v>
          </cell>
          <cell r="AJ291" t="str">
            <v>SIN</v>
          </cell>
        </row>
        <row r="292">
          <cell r="B292">
            <v>45232</v>
          </cell>
          <cell r="Q292" t="str">
            <v xml:space="preserve"> _</v>
          </cell>
          <cell r="AJ292" t="str">
            <v>SIN</v>
          </cell>
        </row>
        <row r="293">
          <cell r="B293">
            <v>45232</v>
          </cell>
          <cell r="Q293" t="str">
            <v xml:space="preserve"> _</v>
          </cell>
          <cell r="AJ293" t="str">
            <v>SIN</v>
          </cell>
        </row>
        <row r="294">
          <cell r="B294">
            <v>45232</v>
          </cell>
          <cell r="Q294" t="str">
            <v xml:space="preserve"> _</v>
          </cell>
          <cell r="AJ294" t="str">
            <v>SIN</v>
          </cell>
        </row>
        <row r="295">
          <cell r="B295">
            <v>45232</v>
          </cell>
          <cell r="Q295" t="str">
            <v xml:space="preserve"> _</v>
          </cell>
          <cell r="AJ295" t="str">
            <v>SIN</v>
          </cell>
        </row>
        <row r="296">
          <cell r="B296">
            <v>45232</v>
          </cell>
          <cell r="Q296" t="str">
            <v xml:space="preserve"> _</v>
          </cell>
          <cell r="AJ296" t="str">
            <v>SIN</v>
          </cell>
        </row>
        <row r="297">
          <cell r="B297">
            <v>45232</v>
          </cell>
          <cell r="Q297" t="str">
            <v xml:space="preserve"> _</v>
          </cell>
          <cell r="AJ297" t="str">
            <v>SIN</v>
          </cell>
        </row>
        <row r="298">
          <cell r="B298">
            <v>45232</v>
          </cell>
          <cell r="Q298" t="str">
            <v>DEVUELTA AL JUZGADO DE ORIGEN</v>
          </cell>
          <cell r="AJ298" t="str">
            <v>SIN</v>
          </cell>
        </row>
        <row r="299">
          <cell r="B299">
            <v>45232</v>
          </cell>
          <cell r="Q299" t="str">
            <v xml:space="preserve"> _</v>
          </cell>
          <cell r="AJ299" t="str">
            <v>SIN</v>
          </cell>
        </row>
        <row r="300">
          <cell r="B300">
            <v>45232</v>
          </cell>
          <cell r="Q300" t="str">
            <v xml:space="preserve"> _</v>
          </cell>
          <cell r="AJ300" t="str">
            <v>SIN</v>
          </cell>
        </row>
        <row r="301">
          <cell r="B301">
            <v>45232</v>
          </cell>
          <cell r="Q301" t="str">
            <v xml:space="preserve"> _</v>
          </cell>
          <cell r="AJ301" t="str">
            <v>SIN</v>
          </cell>
        </row>
        <row r="302">
          <cell r="B302">
            <v>45233</v>
          </cell>
          <cell r="Q302" t="str">
            <v xml:space="preserve"> _</v>
          </cell>
          <cell r="AJ302" t="str">
            <v>SIN</v>
          </cell>
        </row>
        <row r="303">
          <cell r="B303">
            <v>45233</v>
          </cell>
          <cell r="Q303" t="str">
            <v xml:space="preserve"> _</v>
          </cell>
          <cell r="AJ303" t="str">
            <v>SIN</v>
          </cell>
        </row>
        <row r="304">
          <cell r="B304">
            <v>45233</v>
          </cell>
          <cell r="Q304" t="str">
            <v xml:space="preserve"> _</v>
          </cell>
          <cell r="AJ304" t="str">
            <v>SIN</v>
          </cell>
        </row>
        <row r="305">
          <cell r="B305">
            <v>45233</v>
          </cell>
          <cell r="Q305" t="str">
            <v xml:space="preserve"> _</v>
          </cell>
          <cell r="AJ305" t="str">
            <v>SIN</v>
          </cell>
        </row>
        <row r="306">
          <cell r="B306">
            <v>45233</v>
          </cell>
          <cell r="Q306" t="str">
            <v xml:space="preserve"> _</v>
          </cell>
          <cell r="AJ306" t="str">
            <v>SIN</v>
          </cell>
        </row>
        <row r="307">
          <cell r="B307">
            <v>45233</v>
          </cell>
          <cell r="Q307" t="str">
            <v xml:space="preserve"> _</v>
          </cell>
          <cell r="AJ307" t="str">
            <v>SIN</v>
          </cell>
        </row>
        <row r="308">
          <cell r="B308">
            <v>45233</v>
          </cell>
          <cell r="Q308" t="str">
            <v xml:space="preserve"> _</v>
          </cell>
          <cell r="AJ308" t="str">
            <v>SIN</v>
          </cell>
        </row>
        <row r="309">
          <cell r="B309">
            <v>45233</v>
          </cell>
          <cell r="Q309" t="str">
            <v xml:space="preserve"> _</v>
          </cell>
          <cell r="AJ309" t="str">
            <v>SIN</v>
          </cell>
        </row>
        <row r="310">
          <cell r="B310">
            <v>45233</v>
          </cell>
          <cell r="Q310" t="str">
            <v xml:space="preserve"> _</v>
          </cell>
          <cell r="AJ310" t="str">
            <v>SIN</v>
          </cell>
        </row>
        <row r="311">
          <cell r="B311">
            <v>45233</v>
          </cell>
          <cell r="Q311" t="str">
            <v xml:space="preserve"> _</v>
          </cell>
          <cell r="AJ311" t="str">
            <v>SIN</v>
          </cell>
        </row>
        <row r="312">
          <cell r="B312">
            <v>45233</v>
          </cell>
          <cell r="Q312" t="str">
            <v xml:space="preserve"> _</v>
          </cell>
          <cell r="AJ312" t="str">
            <v>SIN</v>
          </cell>
        </row>
        <row r="313">
          <cell r="B313">
            <v>45233</v>
          </cell>
          <cell r="Q313" t="str">
            <v xml:space="preserve"> _</v>
          </cell>
          <cell r="AJ313" t="str">
            <v>SIN</v>
          </cell>
        </row>
        <row r="314">
          <cell r="B314">
            <v>45233</v>
          </cell>
          <cell r="Q314" t="str">
            <v xml:space="preserve"> _</v>
          </cell>
          <cell r="AJ314" t="str">
            <v>SIN</v>
          </cell>
        </row>
        <row r="315">
          <cell r="B315">
            <v>45233</v>
          </cell>
          <cell r="Q315" t="str">
            <v xml:space="preserve"> _</v>
          </cell>
          <cell r="AJ315" t="str">
            <v>SIN</v>
          </cell>
        </row>
        <row r="316">
          <cell r="B316">
            <v>45233</v>
          </cell>
          <cell r="Q316" t="str">
            <v xml:space="preserve"> _</v>
          </cell>
          <cell r="AJ316" t="str">
            <v>SIN</v>
          </cell>
        </row>
        <row r="317">
          <cell r="B317">
            <v>45233</v>
          </cell>
          <cell r="Q317" t="str">
            <v xml:space="preserve"> _</v>
          </cell>
          <cell r="AJ317" t="str">
            <v>SIN</v>
          </cell>
        </row>
        <row r="318">
          <cell r="B318">
            <v>45233</v>
          </cell>
          <cell r="Q318" t="str">
            <v xml:space="preserve"> _</v>
          </cell>
          <cell r="AJ318" t="str">
            <v>SIN</v>
          </cell>
        </row>
        <row r="319">
          <cell r="B319">
            <v>45233</v>
          </cell>
          <cell r="Q319" t="str">
            <v xml:space="preserve"> _</v>
          </cell>
          <cell r="AJ319" t="str">
            <v>SIN</v>
          </cell>
        </row>
        <row r="320">
          <cell r="B320">
            <v>45233</v>
          </cell>
          <cell r="Q320" t="str">
            <v xml:space="preserve"> _</v>
          </cell>
          <cell r="AJ320" t="str">
            <v>SIN</v>
          </cell>
        </row>
        <row r="321">
          <cell r="B321">
            <v>45236</v>
          </cell>
          <cell r="Q321" t="str">
            <v xml:space="preserve"> _</v>
          </cell>
          <cell r="AJ321" t="str">
            <v>SIN</v>
          </cell>
        </row>
        <row r="322">
          <cell r="B322">
            <v>45236</v>
          </cell>
          <cell r="Q322" t="str">
            <v xml:space="preserve"> _</v>
          </cell>
          <cell r="AJ322" t="str">
            <v>SIN</v>
          </cell>
        </row>
        <row r="323">
          <cell r="B323">
            <v>45236</v>
          </cell>
          <cell r="Q323" t="str">
            <v xml:space="preserve"> _</v>
          </cell>
          <cell r="AJ323" t="str">
            <v>SIN</v>
          </cell>
        </row>
        <row r="324">
          <cell r="B324">
            <v>45236</v>
          </cell>
          <cell r="Q324" t="str">
            <v xml:space="preserve"> _</v>
          </cell>
          <cell r="AJ324" t="str">
            <v>SIN</v>
          </cell>
        </row>
        <row r="325">
          <cell r="B325">
            <v>45236</v>
          </cell>
          <cell r="Q325" t="str">
            <v xml:space="preserve"> _</v>
          </cell>
          <cell r="AJ325" t="str">
            <v>SIN</v>
          </cell>
        </row>
        <row r="326">
          <cell r="B326">
            <v>45236</v>
          </cell>
          <cell r="Q326" t="str">
            <v xml:space="preserve"> _</v>
          </cell>
          <cell r="AJ326" t="str">
            <v>SIN</v>
          </cell>
        </row>
        <row r="327">
          <cell r="B327">
            <v>45236</v>
          </cell>
          <cell r="Q327" t="str">
            <v xml:space="preserve"> _</v>
          </cell>
          <cell r="AJ327" t="str">
            <v>SIN</v>
          </cell>
        </row>
        <row r="328">
          <cell r="B328">
            <v>45236</v>
          </cell>
          <cell r="Q328" t="str">
            <v xml:space="preserve"> _</v>
          </cell>
          <cell r="AJ328" t="str">
            <v>SIN</v>
          </cell>
        </row>
        <row r="329">
          <cell r="B329">
            <v>45236</v>
          </cell>
          <cell r="Q329" t="str">
            <v xml:space="preserve"> _</v>
          </cell>
          <cell r="AJ329" t="str">
            <v>SIN</v>
          </cell>
        </row>
        <row r="330">
          <cell r="B330">
            <v>45236</v>
          </cell>
          <cell r="Q330" t="str">
            <v xml:space="preserve"> _</v>
          </cell>
          <cell r="AJ330" t="str">
            <v>SIN</v>
          </cell>
        </row>
        <row r="331">
          <cell r="B331">
            <v>45236</v>
          </cell>
          <cell r="Q331" t="str">
            <v xml:space="preserve"> _</v>
          </cell>
          <cell r="AJ331" t="str">
            <v>SIN</v>
          </cell>
        </row>
        <row r="332">
          <cell r="B332">
            <v>45236</v>
          </cell>
          <cell r="Q332" t="str">
            <v xml:space="preserve"> _</v>
          </cell>
          <cell r="AJ332" t="str">
            <v>SIN</v>
          </cell>
        </row>
        <row r="333">
          <cell r="B333">
            <v>45236</v>
          </cell>
          <cell r="Q333" t="str">
            <v xml:space="preserve"> _</v>
          </cell>
          <cell r="AJ333" t="str">
            <v>SIN</v>
          </cell>
        </row>
        <row r="334">
          <cell r="B334">
            <v>45236</v>
          </cell>
          <cell r="Q334" t="str">
            <v xml:space="preserve"> _</v>
          </cell>
          <cell r="AJ334" t="str">
            <v>SIN</v>
          </cell>
        </row>
        <row r="335">
          <cell r="B335">
            <v>45236</v>
          </cell>
          <cell r="Q335" t="str">
            <v xml:space="preserve"> _</v>
          </cell>
          <cell r="AJ335" t="str">
            <v>SIN</v>
          </cell>
        </row>
        <row r="336">
          <cell r="B336">
            <v>45236</v>
          </cell>
          <cell r="Q336" t="str">
            <v xml:space="preserve"> _</v>
          </cell>
          <cell r="AJ336" t="str">
            <v>SIN</v>
          </cell>
        </row>
        <row r="337">
          <cell r="B337">
            <v>45236</v>
          </cell>
          <cell r="Q337" t="str">
            <v xml:space="preserve"> _</v>
          </cell>
          <cell r="AJ337" t="str">
            <v>SIN</v>
          </cell>
        </row>
        <row r="338">
          <cell r="B338">
            <v>45236</v>
          </cell>
          <cell r="Q338" t="str">
            <v xml:space="preserve"> _</v>
          </cell>
          <cell r="AJ338" t="str">
            <v>SIN</v>
          </cell>
        </row>
        <row r="339">
          <cell r="B339">
            <v>45236</v>
          </cell>
          <cell r="Q339" t="str">
            <v xml:space="preserve"> _</v>
          </cell>
          <cell r="AJ339" t="str">
            <v>SIN</v>
          </cell>
        </row>
        <row r="340">
          <cell r="B340">
            <v>45236</v>
          </cell>
          <cell r="Q340" t="str">
            <v xml:space="preserve"> _</v>
          </cell>
          <cell r="AJ340" t="str">
            <v>SIN</v>
          </cell>
        </row>
        <row r="341">
          <cell r="B341">
            <v>45236</v>
          </cell>
          <cell r="Q341" t="str">
            <v xml:space="preserve"> _</v>
          </cell>
          <cell r="AJ341" t="str">
            <v>SIN</v>
          </cell>
        </row>
        <row r="342">
          <cell r="B342">
            <v>45236</v>
          </cell>
          <cell r="Q342" t="str">
            <v xml:space="preserve"> _</v>
          </cell>
          <cell r="AJ342" t="str">
            <v>SIN</v>
          </cell>
        </row>
        <row r="343">
          <cell r="B343">
            <v>45237</v>
          </cell>
          <cell r="Q343" t="str">
            <v xml:space="preserve"> _</v>
          </cell>
          <cell r="AJ343" t="str">
            <v>SIN</v>
          </cell>
        </row>
        <row r="344">
          <cell r="B344">
            <v>45237</v>
          </cell>
          <cell r="Q344" t="str">
            <v xml:space="preserve"> _</v>
          </cell>
          <cell r="AJ344" t="str">
            <v>SIN</v>
          </cell>
        </row>
        <row r="345">
          <cell r="B345">
            <v>45237</v>
          </cell>
          <cell r="Q345" t="str">
            <v xml:space="preserve"> _</v>
          </cell>
          <cell r="AJ345" t="str">
            <v>SIN</v>
          </cell>
        </row>
        <row r="346">
          <cell r="B346">
            <v>45237</v>
          </cell>
          <cell r="Q346" t="str">
            <v xml:space="preserve"> _</v>
          </cell>
          <cell r="AJ346" t="str">
            <v>SIN</v>
          </cell>
        </row>
        <row r="347">
          <cell r="B347">
            <v>45237</v>
          </cell>
          <cell r="Q347" t="str">
            <v xml:space="preserve"> _</v>
          </cell>
          <cell r="AJ347" t="str">
            <v>SIN</v>
          </cell>
        </row>
        <row r="348">
          <cell r="B348">
            <v>45237</v>
          </cell>
          <cell r="Q348" t="str">
            <v xml:space="preserve"> _</v>
          </cell>
          <cell r="AJ348" t="str">
            <v>SIN</v>
          </cell>
        </row>
        <row r="349">
          <cell r="B349">
            <v>45237</v>
          </cell>
          <cell r="Q349" t="str">
            <v xml:space="preserve"> _</v>
          </cell>
          <cell r="AJ349" t="str">
            <v>SIN</v>
          </cell>
        </row>
        <row r="350">
          <cell r="B350">
            <v>45237</v>
          </cell>
          <cell r="Q350" t="str">
            <v xml:space="preserve"> _</v>
          </cell>
          <cell r="AJ350" t="str">
            <v>SIN</v>
          </cell>
        </row>
        <row r="351">
          <cell r="B351">
            <v>45237</v>
          </cell>
          <cell r="Q351" t="str">
            <v xml:space="preserve"> _</v>
          </cell>
          <cell r="AJ351" t="str">
            <v>SIN</v>
          </cell>
        </row>
        <row r="352">
          <cell r="B352">
            <v>45237</v>
          </cell>
          <cell r="Q352" t="str">
            <v xml:space="preserve"> _</v>
          </cell>
          <cell r="AJ352" t="str">
            <v>SIN</v>
          </cell>
        </row>
        <row r="353">
          <cell r="B353">
            <v>45237</v>
          </cell>
          <cell r="Q353" t="str">
            <v xml:space="preserve"> _</v>
          </cell>
          <cell r="AJ353" t="str">
            <v>SIN</v>
          </cell>
        </row>
        <row r="354">
          <cell r="B354">
            <v>45238</v>
          </cell>
          <cell r="Q354" t="str">
            <v xml:space="preserve"> _</v>
          </cell>
          <cell r="AJ354" t="str">
            <v>SIN</v>
          </cell>
        </row>
        <row r="355">
          <cell r="B355">
            <v>45238</v>
          </cell>
          <cell r="Q355" t="str">
            <v xml:space="preserve"> _</v>
          </cell>
          <cell r="AJ355" t="str">
            <v>SIN</v>
          </cell>
        </row>
        <row r="356">
          <cell r="B356">
            <v>45238</v>
          </cell>
          <cell r="Q356" t="str">
            <v xml:space="preserve"> _</v>
          </cell>
          <cell r="AJ356" t="str">
            <v>SIN</v>
          </cell>
        </row>
        <row r="357">
          <cell r="B357">
            <v>45238</v>
          </cell>
          <cell r="Q357" t="str">
            <v xml:space="preserve"> _</v>
          </cell>
          <cell r="AJ357" t="str">
            <v>SIN</v>
          </cell>
        </row>
        <row r="358">
          <cell r="B358">
            <v>45238</v>
          </cell>
          <cell r="Q358" t="str">
            <v xml:space="preserve"> _</v>
          </cell>
          <cell r="AJ358" t="str">
            <v>SIN</v>
          </cell>
        </row>
        <row r="359">
          <cell r="B359">
            <v>45238</v>
          </cell>
          <cell r="Q359" t="str">
            <v xml:space="preserve"> _</v>
          </cell>
          <cell r="AJ359" t="str">
            <v>SIN</v>
          </cell>
        </row>
        <row r="360">
          <cell r="B360">
            <v>45238</v>
          </cell>
          <cell r="Q360" t="str">
            <v xml:space="preserve"> _</v>
          </cell>
          <cell r="AJ360" t="str">
            <v>SIN</v>
          </cell>
        </row>
        <row r="361">
          <cell r="B361">
            <v>45238</v>
          </cell>
          <cell r="Q361" t="str">
            <v xml:space="preserve"> _</v>
          </cell>
          <cell r="AJ361" t="str">
            <v>SIN</v>
          </cell>
        </row>
        <row r="362">
          <cell r="B362">
            <v>45238</v>
          </cell>
          <cell r="Q362" t="str">
            <v xml:space="preserve"> _</v>
          </cell>
          <cell r="AJ362" t="str">
            <v>SIN</v>
          </cell>
        </row>
        <row r="363">
          <cell r="B363">
            <v>45239</v>
          </cell>
          <cell r="Q363" t="str">
            <v xml:space="preserve"> _</v>
          </cell>
          <cell r="AJ363" t="str">
            <v>SIN</v>
          </cell>
        </row>
        <row r="364">
          <cell r="B364">
            <v>45239</v>
          </cell>
          <cell r="Q364" t="str">
            <v xml:space="preserve"> _</v>
          </cell>
          <cell r="AJ364" t="str">
            <v>SIN</v>
          </cell>
        </row>
        <row r="365">
          <cell r="B365">
            <v>45240</v>
          </cell>
          <cell r="Q365" t="str">
            <v xml:space="preserve"> _</v>
          </cell>
          <cell r="AJ365" t="str">
            <v>SIN</v>
          </cell>
        </row>
        <row r="366">
          <cell r="B366">
            <v>45240</v>
          </cell>
          <cell r="Q366" t="str">
            <v xml:space="preserve"> _</v>
          </cell>
          <cell r="AJ366" t="str">
            <v>SIN</v>
          </cell>
        </row>
        <row r="367">
          <cell r="B367">
            <v>45240</v>
          </cell>
          <cell r="Q367" t="str">
            <v xml:space="preserve"> _</v>
          </cell>
          <cell r="AJ367" t="str">
            <v>SIN</v>
          </cell>
        </row>
        <row r="368">
          <cell r="B368">
            <v>45240</v>
          </cell>
          <cell r="Q368" t="str">
            <v xml:space="preserve"> _</v>
          </cell>
          <cell r="AJ368" t="str">
            <v>SIN</v>
          </cell>
        </row>
        <row r="369">
          <cell r="B369">
            <v>45240</v>
          </cell>
          <cell r="Q369" t="str">
            <v xml:space="preserve"> _</v>
          </cell>
          <cell r="AJ369" t="str">
            <v>SIN</v>
          </cell>
        </row>
        <row r="370">
          <cell r="B370">
            <v>45240</v>
          </cell>
          <cell r="Q370" t="str">
            <v xml:space="preserve"> _</v>
          </cell>
          <cell r="AJ370" t="str">
            <v>SIN</v>
          </cell>
        </row>
        <row r="371">
          <cell r="B371">
            <v>45240</v>
          </cell>
          <cell r="Q371" t="str">
            <v xml:space="preserve"> _</v>
          </cell>
          <cell r="AJ371" t="str">
            <v>SIN</v>
          </cell>
        </row>
        <row r="372">
          <cell r="B372">
            <v>45243</v>
          </cell>
          <cell r="Q372" t="str">
            <v xml:space="preserve"> _</v>
          </cell>
          <cell r="AJ372" t="str">
            <v>SIN</v>
          </cell>
        </row>
        <row r="373">
          <cell r="B373">
            <v>45243</v>
          </cell>
          <cell r="Q373" t="str">
            <v xml:space="preserve"> _</v>
          </cell>
          <cell r="AJ373" t="str">
            <v>SIN</v>
          </cell>
        </row>
        <row r="374">
          <cell r="B374">
            <v>45243</v>
          </cell>
          <cell r="Q374" t="str">
            <v xml:space="preserve"> _</v>
          </cell>
          <cell r="AJ374" t="str">
            <v>SIN</v>
          </cell>
        </row>
        <row r="375">
          <cell r="B375">
            <v>45243</v>
          </cell>
          <cell r="Q375" t="str">
            <v xml:space="preserve"> _</v>
          </cell>
          <cell r="AJ375" t="str">
            <v>SIN</v>
          </cell>
        </row>
        <row r="376">
          <cell r="B376">
            <v>45243</v>
          </cell>
          <cell r="Q376" t="str">
            <v xml:space="preserve"> _</v>
          </cell>
          <cell r="AJ376" t="str">
            <v>SIN</v>
          </cell>
        </row>
        <row r="377">
          <cell r="B377">
            <v>45243</v>
          </cell>
          <cell r="Q377" t="str">
            <v xml:space="preserve"> _</v>
          </cell>
          <cell r="AJ377" t="str">
            <v>SIN</v>
          </cell>
        </row>
        <row r="378">
          <cell r="B378">
            <v>45243</v>
          </cell>
          <cell r="Q378" t="str">
            <v xml:space="preserve"> _</v>
          </cell>
          <cell r="AJ378" t="str">
            <v>SIN</v>
          </cell>
        </row>
        <row r="379">
          <cell r="B379">
            <v>45243</v>
          </cell>
          <cell r="Q379" t="str">
            <v xml:space="preserve"> _</v>
          </cell>
          <cell r="AJ379" t="str">
            <v>SIN</v>
          </cell>
        </row>
        <row r="380">
          <cell r="B380">
            <v>45243</v>
          </cell>
          <cell r="Q380" t="str">
            <v xml:space="preserve"> _</v>
          </cell>
          <cell r="AJ380" t="str">
            <v>SIN</v>
          </cell>
        </row>
        <row r="381">
          <cell r="B381">
            <v>45243</v>
          </cell>
          <cell r="Q381" t="str">
            <v xml:space="preserve"> _</v>
          </cell>
          <cell r="AJ381" t="str">
            <v>SIN</v>
          </cell>
        </row>
        <row r="382">
          <cell r="B382">
            <v>45243</v>
          </cell>
          <cell r="Q382" t="str">
            <v xml:space="preserve"> _</v>
          </cell>
          <cell r="AJ382" t="str">
            <v>SIN</v>
          </cell>
        </row>
        <row r="383">
          <cell r="B383">
            <v>45243</v>
          </cell>
          <cell r="Q383" t="str">
            <v xml:space="preserve"> _</v>
          </cell>
          <cell r="AJ383" t="str">
            <v>SIN</v>
          </cell>
        </row>
        <row r="384">
          <cell r="B384">
            <v>45243</v>
          </cell>
          <cell r="Q384" t="str">
            <v xml:space="preserve"> _</v>
          </cell>
          <cell r="AJ384" t="str">
            <v>SIN</v>
          </cell>
        </row>
        <row r="385">
          <cell r="B385">
            <v>45243</v>
          </cell>
          <cell r="Q385" t="str">
            <v xml:space="preserve"> _</v>
          </cell>
          <cell r="AJ385" t="str">
            <v>SIN</v>
          </cell>
        </row>
        <row r="386">
          <cell r="B386">
            <v>45243</v>
          </cell>
          <cell r="Q386" t="str">
            <v xml:space="preserve"> _</v>
          </cell>
          <cell r="AJ386" t="str">
            <v>SIN</v>
          </cell>
        </row>
        <row r="387">
          <cell r="B387">
            <v>45243</v>
          </cell>
          <cell r="Q387" t="str">
            <v xml:space="preserve"> _</v>
          </cell>
          <cell r="AJ387" t="str">
            <v>SIN</v>
          </cell>
        </row>
        <row r="388">
          <cell r="B388">
            <v>45243</v>
          </cell>
          <cell r="Q388" t="str">
            <v xml:space="preserve"> _</v>
          </cell>
          <cell r="AJ388" t="str">
            <v>SIN</v>
          </cell>
        </row>
        <row r="389">
          <cell r="B389">
            <v>45243</v>
          </cell>
          <cell r="Q389" t="str">
            <v xml:space="preserve"> _</v>
          </cell>
          <cell r="AJ389" t="str">
            <v>SIN</v>
          </cell>
        </row>
        <row r="390">
          <cell r="B390">
            <v>45243</v>
          </cell>
          <cell r="Q390" t="str">
            <v xml:space="preserve"> _</v>
          </cell>
          <cell r="AJ390" t="str">
            <v>SIN</v>
          </cell>
        </row>
        <row r="391">
          <cell r="B391">
            <v>45244</v>
          </cell>
          <cell r="Q391" t="str">
            <v xml:space="preserve"> _</v>
          </cell>
          <cell r="AJ391" t="str">
            <v>SIN</v>
          </cell>
        </row>
        <row r="392">
          <cell r="B392">
            <v>45244</v>
          </cell>
          <cell r="Q392" t="str">
            <v xml:space="preserve"> _</v>
          </cell>
          <cell r="AJ392" t="str">
            <v>SIN</v>
          </cell>
        </row>
        <row r="393">
          <cell r="B393">
            <v>45244</v>
          </cell>
          <cell r="Q393" t="str">
            <v xml:space="preserve"> _</v>
          </cell>
          <cell r="AJ393" t="str">
            <v>SIN</v>
          </cell>
        </row>
        <row r="394">
          <cell r="B394">
            <v>45244</v>
          </cell>
          <cell r="Q394" t="str">
            <v xml:space="preserve"> _</v>
          </cell>
          <cell r="AJ394" t="str">
            <v>SIN</v>
          </cell>
        </row>
        <row r="395">
          <cell r="B395">
            <v>45245</v>
          </cell>
          <cell r="Q395" t="str">
            <v xml:space="preserve"> _</v>
          </cell>
          <cell r="AJ395" t="str">
            <v>SIN</v>
          </cell>
        </row>
        <row r="396">
          <cell r="B396">
            <v>45245</v>
          </cell>
          <cell r="Q396" t="str">
            <v xml:space="preserve"> _</v>
          </cell>
          <cell r="AJ396" t="str">
            <v>SIN</v>
          </cell>
        </row>
        <row r="397">
          <cell r="B397">
            <v>45245</v>
          </cell>
          <cell r="Q397" t="str">
            <v xml:space="preserve"> _</v>
          </cell>
          <cell r="AJ397" t="str">
            <v>SIN</v>
          </cell>
        </row>
        <row r="398">
          <cell r="B398">
            <v>45245</v>
          </cell>
          <cell r="Q398" t="str">
            <v xml:space="preserve"> _</v>
          </cell>
          <cell r="AJ398" t="str">
            <v>SIN</v>
          </cell>
        </row>
        <row r="399">
          <cell r="B399">
            <v>45245</v>
          </cell>
          <cell r="Q399" t="str">
            <v xml:space="preserve"> _</v>
          </cell>
          <cell r="AJ399" t="str">
            <v>SIN</v>
          </cell>
        </row>
        <row r="400">
          <cell r="B400">
            <v>45245</v>
          </cell>
          <cell r="Q400" t="str">
            <v xml:space="preserve"> _</v>
          </cell>
          <cell r="AJ400" t="str">
            <v>SIN</v>
          </cell>
        </row>
        <row r="401">
          <cell r="B401">
            <v>45245</v>
          </cell>
          <cell r="Q401" t="str">
            <v xml:space="preserve"> _</v>
          </cell>
          <cell r="AJ401" t="str">
            <v>SIN</v>
          </cell>
        </row>
        <row r="402">
          <cell r="B402">
            <v>45245</v>
          </cell>
          <cell r="Q402" t="str">
            <v xml:space="preserve"> _</v>
          </cell>
          <cell r="AJ402" t="str">
            <v>SIN</v>
          </cell>
        </row>
        <row r="403">
          <cell r="B403">
            <v>45245</v>
          </cell>
          <cell r="Q403" t="str">
            <v xml:space="preserve"> _</v>
          </cell>
          <cell r="AJ403" t="str">
            <v>SIN</v>
          </cell>
        </row>
        <row r="404">
          <cell r="B404">
            <v>45245</v>
          </cell>
          <cell r="Q404" t="str">
            <v xml:space="preserve"> _</v>
          </cell>
          <cell r="AJ404" t="str">
            <v>SIN</v>
          </cell>
        </row>
        <row r="405">
          <cell r="B405">
            <v>45245</v>
          </cell>
          <cell r="Q405" t="str">
            <v xml:space="preserve"> _</v>
          </cell>
          <cell r="AJ405" t="str">
            <v>SIN</v>
          </cell>
        </row>
        <row r="406">
          <cell r="B406">
            <v>45245</v>
          </cell>
          <cell r="Q406" t="str">
            <v xml:space="preserve"> _</v>
          </cell>
          <cell r="AJ406" t="str">
            <v>SIN</v>
          </cell>
        </row>
        <row r="407">
          <cell r="B407">
            <v>45245</v>
          </cell>
          <cell r="Q407" t="str">
            <v xml:space="preserve"> _</v>
          </cell>
          <cell r="AJ407" t="str">
            <v>SIN</v>
          </cell>
        </row>
        <row r="408">
          <cell r="B408">
            <v>45245</v>
          </cell>
          <cell r="Q408" t="str">
            <v xml:space="preserve"> _</v>
          </cell>
          <cell r="AJ408" t="str">
            <v>SIN</v>
          </cell>
        </row>
        <row r="409">
          <cell r="B409">
            <v>45245</v>
          </cell>
          <cell r="Q409" t="str">
            <v xml:space="preserve"> _</v>
          </cell>
          <cell r="AJ409" t="str">
            <v>SIN</v>
          </cell>
        </row>
        <row r="410">
          <cell r="B410">
            <v>45245</v>
          </cell>
          <cell r="Q410" t="str">
            <v xml:space="preserve"> _</v>
          </cell>
          <cell r="AJ410" t="str">
            <v>SIN</v>
          </cell>
        </row>
        <row r="411">
          <cell r="B411">
            <v>45245</v>
          </cell>
          <cell r="Q411" t="str">
            <v xml:space="preserve"> _</v>
          </cell>
          <cell r="AJ411" t="str">
            <v>SIN</v>
          </cell>
        </row>
        <row r="412">
          <cell r="B412">
            <v>45245</v>
          </cell>
          <cell r="Q412" t="str">
            <v xml:space="preserve"> _</v>
          </cell>
          <cell r="AJ412" t="str">
            <v>SIN</v>
          </cell>
        </row>
        <row r="413">
          <cell r="B413">
            <v>45245</v>
          </cell>
          <cell r="Q413" t="str">
            <v xml:space="preserve"> _</v>
          </cell>
          <cell r="AJ413" t="str">
            <v>SIN</v>
          </cell>
        </row>
        <row r="414">
          <cell r="B414">
            <v>45245</v>
          </cell>
          <cell r="Q414" t="str">
            <v xml:space="preserve"> _</v>
          </cell>
          <cell r="AJ414" t="str">
            <v>SIN</v>
          </cell>
        </row>
        <row r="415">
          <cell r="B415">
            <v>45245</v>
          </cell>
          <cell r="Q415" t="str">
            <v xml:space="preserve"> _</v>
          </cell>
          <cell r="AJ415" t="str">
            <v>SIN</v>
          </cell>
        </row>
        <row r="416">
          <cell r="B416">
            <v>45245</v>
          </cell>
          <cell r="Q416" t="str">
            <v>DEVUELTA AL JUZGADO DE ORIGEN</v>
          </cell>
          <cell r="AJ416" t="str">
            <v>SIN</v>
          </cell>
        </row>
        <row r="417">
          <cell r="B417">
            <v>45245</v>
          </cell>
          <cell r="Q417" t="str">
            <v>VERDE</v>
          </cell>
          <cell r="AJ417" t="str">
            <v>SIN</v>
          </cell>
        </row>
        <row r="418">
          <cell r="B418">
            <v>45245</v>
          </cell>
          <cell r="Q418" t="str">
            <v xml:space="preserve"> _</v>
          </cell>
          <cell r="AJ418" t="str">
            <v>SIN</v>
          </cell>
        </row>
        <row r="419">
          <cell r="B419">
            <v>45245</v>
          </cell>
          <cell r="Q419" t="str">
            <v xml:space="preserve"> _</v>
          </cell>
          <cell r="AJ419" t="str">
            <v>SIN</v>
          </cell>
        </row>
        <row r="420">
          <cell r="B420">
            <v>45245</v>
          </cell>
          <cell r="Q420" t="str">
            <v xml:space="preserve"> _</v>
          </cell>
          <cell r="AJ420" t="str">
            <v>SIN</v>
          </cell>
        </row>
        <row r="421">
          <cell r="B421">
            <v>45245</v>
          </cell>
          <cell r="Q421" t="str">
            <v xml:space="preserve"> _</v>
          </cell>
          <cell r="AJ421" t="str">
            <v>SIN</v>
          </cell>
        </row>
        <row r="422">
          <cell r="B422">
            <v>45245</v>
          </cell>
          <cell r="Q422" t="str">
            <v xml:space="preserve"> _</v>
          </cell>
          <cell r="AJ422" t="str">
            <v>SIN</v>
          </cell>
        </row>
        <row r="423">
          <cell r="B423">
            <v>45245</v>
          </cell>
          <cell r="Q423" t="str">
            <v xml:space="preserve"> _</v>
          </cell>
          <cell r="AJ423" t="str">
            <v>SIN</v>
          </cell>
        </row>
        <row r="424">
          <cell r="B424">
            <v>45246</v>
          </cell>
          <cell r="Q424" t="str">
            <v xml:space="preserve"> _</v>
          </cell>
          <cell r="AJ424" t="str">
            <v>SIN</v>
          </cell>
        </row>
        <row r="425">
          <cell r="B425">
            <v>45246</v>
          </cell>
          <cell r="Q425" t="str">
            <v xml:space="preserve"> _</v>
          </cell>
          <cell r="AJ425" t="str">
            <v>SIN</v>
          </cell>
        </row>
        <row r="426">
          <cell r="B426">
            <v>45246</v>
          </cell>
          <cell r="Q426" t="str">
            <v xml:space="preserve"> _</v>
          </cell>
          <cell r="AJ426" t="str">
            <v>SIN</v>
          </cell>
        </row>
        <row r="427">
          <cell r="B427">
            <v>45246</v>
          </cell>
          <cell r="Q427" t="str">
            <v xml:space="preserve"> _</v>
          </cell>
          <cell r="AJ427" t="str">
            <v>SIN</v>
          </cell>
        </row>
        <row r="428">
          <cell r="B428">
            <v>45246</v>
          </cell>
          <cell r="Q428" t="str">
            <v xml:space="preserve"> _</v>
          </cell>
          <cell r="AJ428" t="str">
            <v>SIN</v>
          </cell>
        </row>
        <row r="429">
          <cell r="B429">
            <v>45246</v>
          </cell>
          <cell r="Q429" t="str">
            <v xml:space="preserve"> _</v>
          </cell>
          <cell r="AJ429" t="str">
            <v>SIN</v>
          </cell>
        </row>
        <row r="430">
          <cell r="B430">
            <v>45246</v>
          </cell>
          <cell r="Q430" t="str">
            <v xml:space="preserve"> _</v>
          </cell>
          <cell r="AJ430" t="str">
            <v>SIN</v>
          </cell>
        </row>
        <row r="431">
          <cell r="B431">
            <v>45246</v>
          </cell>
          <cell r="Q431" t="str">
            <v xml:space="preserve"> _</v>
          </cell>
          <cell r="AJ431" t="str">
            <v>SIN</v>
          </cell>
        </row>
        <row r="432">
          <cell r="B432">
            <v>45251</v>
          </cell>
          <cell r="Q432" t="str">
            <v xml:space="preserve"> _</v>
          </cell>
          <cell r="AJ432" t="str">
            <v>SIN</v>
          </cell>
        </row>
        <row r="433">
          <cell r="B433">
            <v>45251</v>
          </cell>
          <cell r="Q433" t="str">
            <v xml:space="preserve"> _</v>
          </cell>
          <cell r="AJ433" t="str">
            <v>SIN</v>
          </cell>
        </row>
        <row r="434">
          <cell r="B434">
            <v>45251</v>
          </cell>
          <cell r="Q434" t="str">
            <v xml:space="preserve"> _</v>
          </cell>
          <cell r="AJ434" t="str">
            <v>SIN</v>
          </cell>
        </row>
        <row r="435">
          <cell r="B435">
            <v>45251</v>
          </cell>
          <cell r="Q435" t="str">
            <v xml:space="preserve"> _</v>
          </cell>
          <cell r="AJ435" t="str">
            <v>SIN</v>
          </cell>
        </row>
        <row r="436">
          <cell r="B436">
            <v>45251</v>
          </cell>
          <cell r="Q436" t="str">
            <v xml:space="preserve"> _</v>
          </cell>
          <cell r="AJ436" t="str">
            <v>SIN</v>
          </cell>
        </row>
        <row r="437">
          <cell r="B437">
            <v>45251</v>
          </cell>
          <cell r="Q437" t="str">
            <v xml:space="preserve"> _</v>
          </cell>
          <cell r="AJ437" t="str">
            <v>SIN</v>
          </cell>
        </row>
        <row r="438">
          <cell r="B438">
            <v>45252</v>
          </cell>
          <cell r="Q438" t="str">
            <v xml:space="preserve"> _</v>
          </cell>
          <cell r="AJ438" t="str">
            <v>SIN</v>
          </cell>
        </row>
        <row r="439">
          <cell r="B439">
            <v>45252</v>
          </cell>
          <cell r="Q439" t="str">
            <v>CON PROYECTO DE ELEVACION AL JUZGADO DE ORIGEN</v>
          </cell>
          <cell r="AJ439" t="str">
            <v>SIN</v>
          </cell>
        </row>
        <row r="440">
          <cell r="B440">
            <v>45252</v>
          </cell>
          <cell r="Q440" t="str">
            <v xml:space="preserve"> _</v>
          </cell>
          <cell r="AJ440" t="str">
            <v>SIN</v>
          </cell>
        </row>
        <row r="441">
          <cell r="B441">
            <v>45252</v>
          </cell>
          <cell r="Q441" t="str">
            <v xml:space="preserve"> _</v>
          </cell>
          <cell r="AJ441" t="str">
            <v>SIN</v>
          </cell>
        </row>
        <row r="442">
          <cell r="B442">
            <v>45252</v>
          </cell>
          <cell r="Q442" t="str">
            <v xml:space="preserve"> _</v>
          </cell>
          <cell r="AJ442" t="str">
            <v>SIN</v>
          </cell>
        </row>
        <row r="443">
          <cell r="B443">
            <v>45252</v>
          </cell>
          <cell r="Q443" t="str">
            <v xml:space="preserve"> _</v>
          </cell>
          <cell r="AJ443" t="str">
            <v>SIN</v>
          </cell>
        </row>
        <row r="444">
          <cell r="B444">
            <v>45252</v>
          </cell>
          <cell r="Q444" t="str">
            <v>DEVUELTA CON REBELDIA</v>
          </cell>
          <cell r="AJ444" t="str">
            <v>SIN</v>
          </cell>
        </row>
        <row r="445">
          <cell r="B445">
            <v>45252</v>
          </cell>
          <cell r="Q445" t="str">
            <v xml:space="preserve"> _</v>
          </cell>
          <cell r="AJ445" t="str">
            <v>SIN</v>
          </cell>
        </row>
        <row r="446">
          <cell r="B446">
            <v>45253</v>
          </cell>
          <cell r="Q446" t="str">
            <v xml:space="preserve"> _</v>
          </cell>
          <cell r="AJ446" t="str">
            <v>SIN</v>
          </cell>
        </row>
        <row r="447">
          <cell r="B447">
            <v>45253</v>
          </cell>
          <cell r="Q447" t="str">
            <v xml:space="preserve"> _</v>
          </cell>
          <cell r="AJ447" t="str">
            <v>SIN</v>
          </cell>
        </row>
        <row r="448">
          <cell r="B448">
            <v>45253</v>
          </cell>
          <cell r="Q448" t="str">
            <v xml:space="preserve"> _</v>
          </cell>
          <cell r="AJ448" t="str">
            <v>SIN</v>
          </cell>
        </row>
        <row r="449">
          <cell r="B449">
            <v>45253</v>
          </cell>
          <cell r="Q449" t="str">
            <v xml:space="preserve"> _</v>
          </cell>
          <cell r="AJ449" t="str">
            <v>SIN</v>
          </cell>
        </row>
        <row r="450">
          <cell r="B450">
            <v>45253</v>
          </cell>
          <cell r="Q450" t="str">
            <v xml:space="preserve"> _</v>
          </cell>
          <cell r="AJ450" t="str">
            <v>SIN</v>
          </cell>
        </row>
        <row r="451">
          <cell r="B451">
            <v>45253</v>
          </cell>
          <cell r="Q451" t="str">
            <v xml:space="preserve"> _</v>
          </cell>
          <cell r="AJ451" t="str">
            <v>SIN</v>
          </cell>
        </row>
        <row r="452">
          <cell r="B452">
            <v>45253</v>
          </cell>
          <cell r="Q452" t="str">
            <v xml:space="preserve"> _</v>
          </cell>
          <cell r="AJ452" t="str">
            <v>SIN</v>
          </cell>
        </row>
        <row r="453">
          <cell r="B453">
            <v>45253</v>
          </cell>
          <cell r="Q453" t="str">
            <v xml:space="preserve"> _</v>
          </cell>
          <cell r="AJ453" t="str">
            <v>SIN</v>
          </cell>
        </row>
        <row r="454">
          <cell r="B454">
            <v>45253</v>
          </cell>
          <cell r="Q454" t="str">
            <v xml:space="preserve"> _</v>
          </cell>
          <cell r="AJ454" t="str">
            <v>SIN</v>
          </cell>
        </row>
        <row r="455">
          <cell r="B455">
            <v>45253</v>
          </cell>
          <cell r="Q455" t="str">
            <v xml:space="preserve"> _</v>
          </cell>
          <cell r="AJ455" t="str">
            <v>SIN</v>
          </cell>
        </row>
        <row r="456">
          <cell r="B456">
            <v>45254</v>
          </cell>
          <cell r="Q456" t="str">
            <v xml:space="preserve"> _</v>
          </cell>
          <cell r="AJ456" t="str">
            <v>SIN</v>
          </cell>
        </row>
        <row r="457">
          <cell r="B457">
            <v>45254</v>
          </cell>
          <cell r="Q457" t="str">
            <v>VERDE</v>
          </cell>
          <cell r="AJ457" t="str">
            <v>SIN</v>
          </cell>
        </row>
        <row r="458">
          <cell r="B458">
            <v>45254</v>
          </cell>
          <cell r="Q458" t="str">
            <v xml:space="preserve"> _</v>
          </cell>
          <cell r="AJ458" t="str">
            <v>SIN</v>
          </cell>
        </row>
        <row r="459">
          <cell r="B459">
            <v>45254</v>
          </cell>
          <cell r="Q459" t="str">
            <v xml:space="preserve"> _</v>
          </cell>
          <cell r="AJ459" t="str">
            <v>SIN</v>
          </cell>
        </row>
        <row r="460">
          <cell r="B460">
            <v>45254</v>
          </cell>
          <cell r="Q460" t="str">
            <v xml:space="preserve"> _</v>
          </cell>
          <cell r="AJ460" t="str">
            <v>SIN</v>
          </cell>
        </row>
        <row r="461">
          <cell r="B461">
            <v>45254</v>
          </cell>
          <cell r="Q461" t="str">
            <v>VERDE</v>
          </cell>
          <cell r="AJ461" t="str">
            <v>SIN</v>
          </cell>
        </row>
        <row r="462">
          <cell r="B462">
            <v>45254</v>
          </cell>
          <cell r="Q462" t="str">
            <v xml:space="preserve"> _</v>
          </cell>
          <cell r="AJ462" t="str">
            <v>SIN</v>
          </cell>
        </row>
        <row r="463">
          <cell r="B463">
            <v>45258</v>
          </cell>
          <cell r="Q463" t="str">
            <v xml:space="preserve"> _</v>
          </cell>
          <cell r="AJ463" t="str">
            <v>SIN</v>
          </cell>
        </row>
        <row r="464">
          <cell r="B464">
            <v>45258</v>
          </cell>
          <cell r="Q464" t="str">
            <v xml:space="preserve"> _</v>
          </cell>
          <cell r="AJ464" t="str">
            <v>SIN</v>
          </cell>
        </row>
        <row r="465">
          <cell r="B465">
            <v>45258</v>
          </cell>
          <cell r="Q465" t="str">
            <v xml:space="preserve"> _</v>
          </cell>
          <cell r="AJ465" t="str">
            <v>SIN</v>
          </cell>
        </row>
        <row r="466">
          <cell r="B466">
            <v>45258</v>
          </cell>
          <cell r="Q466" t="str">
            <v xml:space="preserve"> _</v>
          </cell>
          <cell r="AJ466" t="str">
            <v>SIN</v>
          </cell>
        </row>
        <row r="467">
          <cell r="B467">
            <v>45258</v>
          </cell>
          <cell r="Q467" t="str">
            <v xml:space="preserve"> _</v>
          </cell>
          <cell r="AJ467" t="str">
            <v>SIN</v>
          </cell>
        </row>
        <row r="468">
          <cell r="B468">
            <v>45258</v>
          </cell>
          <cell r="Q468" t="str">
            <v xml:space="preserve"> _</v>
          </cell>
          <cell r="AJ468" t="str">
            <v>SIN</v>
          </cell>
        </row>
        <row r="469">
          <cell r="B469">
            <v>45258</v>
          </cell>
          <cell r="Q469" t="str">
            <v xml:space="preserve"> _</v>
          </cell>
          <cell r="AJ469" t="str">
            <v>SIN</v>
          </cell>
        </row>
        <row r="470">
          <cell r="B470">
            <v>45258</v>
          </cell>
          <cell r="Q470" t="str">
            <v xml:space="preserve"> _</v>
          </cell>
          <cell r="AJ470" t="str">
            <v>SIN</v>
          </cell>
        </row>
        <row r="471">
          <cell r="B471">
            <v>45258</v>
          </cell>
          <cell r="Q471" t="str">
            <v xml:space="preserve"> _</v>
          </cell>
          <cell r="AJ471" t="str">
            <v>SIN</v>
          </cell>
        </row>
        <row r="472">
          <cell r="B472">
            <v>45258</v>
          </cell>
          <cell r="Q472" t="str">
            <v xml:space="preserve"> _</v>
          </cell>
          <cell r="AJ472" t="str">
            <v>SIN</v>
          </cell>
        </row>
        <row r="473">
          <cell r="B473">
            <v>45258</v>
          </cell>
          <cell r="Q473" t="str">
            <v xml:space="preserve"> _</v>
          </cell>
          <cell r="AJ473" t="str">
            <v>SIN</v>
          </cell>
        </row>
        <row r="474">
          <cell r="B474">
            <v>45258</v>
          </cell>
          <cell r="Q474" t="str">
            <v xml:space="preserve"> _</v>
          </cell>
          <cell r="AJ474" t="str">
            <v>SIN</v>
          </cell>
        </row>
        <row r="475">
          <cell r="B475">
            <v>45258</v>
          </cell>
          <cell r="Q475" t="str">
            <v xml:space="preserve"> _</v>
          </cell>
          <cell r="AJ475" t="str">
            <v>SIN</v>
          </cell>
        </row>
        <row r="476">
          <cell r="B476">
            <v>45259</v>
          </cell>
          <cell r="Q476" t="str">
            <v xml:space="preserve"> _</v>
          </cell>
          <cell r="AJ476" t="str">
            <v>SIN</v>
          </cell>
        </row>
        <row r="477">
          <cell r="B477">
            <v>45259</v>
          </cell>
          <cell r="Q477" t="str">
            <v xml:space="preserve"> _</v>
          </cell>
          <cell r="AJ477" t="str">
            <v>SIN</v>
          </cell>
        </row>
        <row r="478">
          <cell r="B478">
            <v>45259</v>
          </cell>
          <cell r="Q478" t="str">
            <v xml:space="preserve"> _</v>
          </cell>
          <cell r="AJ478" t="str">
            <v>SIN</v>
          </cell>
        </row>
        <row r="479">
          <cell r="B479">
            <v>45259</v>
          </cell>
          <cell r="Q479" t="str">
            <v>DEVUELTA AL JUZGADO DE ORIGEN</v>
          </cell>
          <cell r="AJ479" t="str">
            <v>SIN</v>
          </cell>
        </row>
        <row r="480">
          <cell r="B480">
            <v>45259</v>
          </cell>
          <cell r="Q480" t="str">
            <v xml:space="preserve"> _</v>
          </cell>
          <cell r="AJ480" t="str">
            <v>SIN</v>
          </cell>
        </row>
        <row r="481">
          <cell r="B481">
            <v>45259</v>
          </cell>
          <cell r="Q481" t="str">
            <v>DEVUELTA AL JUZGADO DE ORIGEN</v>
          </cell>
          <cell r="AJ481" t="str">
            <v>PRESO</v>
          </cell>
        </row>
        <row r="482">
          <cell r="B482">
            <v>45259</v>
          </cell>
          <cell r="Q482" t="str">
            <v>VERDE</v>
          </cell>
          <cell r="AJ482" t="str">
            <v>SIN</v>
          </cell>
        </row>
        <row r="483">
          <cell r="B483">
            <v>45259</v>
          </cell>
          <cell r="Q483" t="str">
            <v xml:space="preserve"> _</v>
          </cell>
          <cell r="AJ483" t="str">
            <v>SIN</v>
          </cell>
        </row>
        <row r="484">
          <cell r="B484">
            <v>45259</v>
          </cell>
          <cell r="Q484" t="str">
            <v>VERDE</v>
          </cell>
          <cell r="AJ484" t="str">
            <v>SIN</v>
          </cell>
        </row>
        <row r="485">
          <cell r="B485">
            <v>45259</v>
          </cell>
          <cell r="Q485" t="str">
            <v xml:space="preserve"> _</v>
          </cell>
          <cell r="AJ485" t="str">
            <v>SIN</v>
          </cell>
        </row>
        <row r="486">
          <cell r="B486">
            <v>45259</v>
          </cell>
          <cell r="Q486" t="str">
            <v xml:space="preserve"> _</v>
          </cell>
          <cell r="AJ486" t="str">
            <v>SIN</v>
          </cell>
        </row>
        <row r="487">
          <cell r="B487">
            <v>45259</v>
          </cell>
          <cell r="Q487" t="str">
            <v xml:space="preserve"> _</v>
          </cell>
          <cell r="AJ487" t="str">
            <v>SIN</v>
          </cell>
        </row>
        <row r="488">
          <cell r="B488">
            <v>45259</v>
          </cell>
          <cell r="Q488" t="str">
            <v xml:space="preserve"> _</v>
          </cell>
          <cell r="AJ488" t="str">
            <v>SIN</v>
          </cell>
        </row>
        <row r="489">
          <cell r="B489">
            <v>45260</v>
          </cell>
          <cell r="Q489" t="str">
            <v xml:space="preserve"> _</v>
          </cell>
          <cell r="AJ489" t="str">
            <v>SIN</v>
          </cell>
        </row>
        <row r="490">
          <cell r="B490">
            <v>45260</v>
          </cell>
          <cell r="Q490" t="str">
            <v>VERDE</v>
          </cell>
          <cell r="AJ490" t="str">
            <v>SIN</v>
          </cell>
        </row>
        <row r="491">
          <cell r="B491">
            <v>45260</v>
          </cell>
          <cell r="Q491" t="str">
            <v xml:space="preserve"> _</v>
          </cell>
          <cell r="AJ491" t="str">
            <v>SIN</v>
          </cell>
        </row>
        <row r="492">
          <cell r="B492">
            <v>45260</v>
          </cell>
          <cell r="Q492" t="str">
            <v xml:space="preserve"> _</v>
          </cell>
          <cell r="AJ492" t="str">
            <v>SIN</v>
          </cell>
        </row>
        <row r="493">
          <cell r="B493">
            <v>45261</v>
          </cell>
          <cell r="Q493" t="str">
            <v xml:space="preserve"> _</v>
          </cell>
          <cell r="AJ493" t="str">
            <v>SIN</v>
          </cell>
        </row>
        <row r="494">
          <cell r="B494">
            <v>45261</v>
          </cell>
          <cell r="Q494" t="str">
            <v xml:space="preserve"> _</v>
          </cell>
          <cell r="AJ494" t="str">
            <v>SIN</v>
          </cell>
        </row>
        <row r="495">
          <cell r="B495">
            <v>45261</v>
          </cell>
          <cell r="Q495" t="str">
            <v xml:space="preserve"> _</v>
          </cell>
          <cell r="AJ495" t="str">
            <v>SIN</v>
          </cell>
        </row>
        <row r="496">
          <cell r="B496">
            <v>45262</v>
          </cell>
          <cell r="Q496" t="str">
            <v xml:space="preserve"> _</v>
          </cell>
          <cell r="AJ496" t="str">
            <v>SIN</v>
          </cell>
        </row>
        <row r="497">
          <cell r="B497">
            <v>45263</v>
          </cell>
          <cell r="Q497" t="str">
            <v xml:space="preserve"> _</v>
          </cell>
          <cell r="AJ497" t="str">
            <v>SIN</v>
          </cell>
        </row>
        <row r="498">
          <cell r="B498">
            <v>45264</v>
          </cell>
          <cell r="Q498" t="str">
            <v>VERDE</v>
          </cell>
          <cell r="AJ498" t="str">
            <v>SIN</v>
          </cell>
        </row>
        <row r="499">
          <cell r="B499">
            <v>45264</v>
          </cell>
          <cell r="Q499" t="str">
            <v xml:space="preserve"> _</v>
          </cell>
          <cell r="AJ499" t="str">
            <v>SIN</v>
          </cell>
        </row>
        <row r="500">
          <cell r="B500">
            <v>45264</v>
          </cell>
          <cell r="Q500" t="str">
            <v xml:space="preserve"> _</v>
          </cell>
          <cell r="AJ500" t="str">
            <v>SIN</v>
          </cell>
        </row>
        <row r="501">
          <cell r="B501">
            <v>45264</v>
          </cell>
          <cell r="Q501" t="str">
            <v xml:space="preserve"> _</v>
          </cell>
          <cell r="AJ501" t="str">
            <v>SIN</v>
          </cell>
        </row>
        <row r="502">
          <cell r="B502">
            <v>45264</v>
          </cell>
          <cell r="Q502" t="str">
            <v xml:space="preserve"> _</v>
          </cell>
          <cell r="AJ502" t="str">
            <v>SIN</v>
          </cell>
        </row>
        <row r="503">
          <cell r="B503">
            <v>45265</v>
          </cell>
          <cell r="Q503" t="str">
            <v xml:space="preserve"> _</v>
          </cell>
          <cell r="AJ503" t="str">
            <v>SIN</v>
          </cell>
        </row>
        <row r="504">
          <cell r="B504">
            <v>45265</v>
          </cell>
          <cell r="Q504" t="str">
            <v xml:space="preserve"> _</v>
          </cell>
          <cell r="AJ504" t="str">
            <v>SIN</v>
          </cell>
        </row>
        <row r="505">
          <cell r="B505">
            <v>45265</v>
          </cell>
          <cell r="Q505" t="str">
            <v xml:space="preserve"> _</v>
          </cell>
          <cell r="AJ505" t="str">
            <v>SIN</v>
          </cell>
        </row>
        <row r="506">
          <cell r="B506">
            <v>45265</v>
          </cell>
          <cell r="Q506" t="str">
            <v xml:space="preserve"> _</v>
          </cell>
          <cell r="AJ506" t="str">
            <v>SIN</v>
          </cell>
        </row>
        <row r="507">
          <cell r="B507">
            <v>45265</v>
          </cell>
          <cell r="Q507" t="str">
            <v xml:space="preserve"> _</v>
          </cell>
          <cell r="AJ507" t="str">
            <v>SIN</v>
          </cell>
        </row>
        <row r="508">
          <cell r="B508">
            <v>45265</v>
          </cell>
          <cell r="Q508" t="str">
            <v xml:space="preserve"> _</v>
          </cell>
          <cell r="AJ508" t="str">
            <v>SIN</v>
          </cell>
        </row>
        <row r="509">
          <cell r="B509">
            <v>45265</v>
          </cell>
          <cell r="Q509" t="str">
            <v xml:space="preserve"> _</v>
          </cell>
          <cell r="AJ509" t="str">
            <v>SIN</v>
          </cell>
        </row>
        <row r="510">
          <cell r="B510">
            <v>45265</v>
          </cell>
          <cell r="Q510" t="str">
            <v xml:space="preserve"> _</v>
          </cell>
          <cell r="AJ510" t="str">
            <v>SIN</v>
          </cell>
        </row>
        <row r="511">
          <cell r="B511">
            <v>45265</v>
          </cell>
          <cell r="Q511" t="str">
            <v xml:space="preserve"> _</v>
          </cell>
          <cell r="AJ511" t="str">
            <v>SIN</v>
          </cell>
        </row>
        <row r="512">
          <cell r="B512">
            <v>45265</v>
          </cell>
          <cell r="Q512" t="str">
            <v xml:space="preserve"> _</v>
          </cell>
          <cell r="AJ512" t="str">
            <v>SIN</v>
          </cell>
        </row>
        <row r="513">
          <cell r="B513">
            <v>45265</v>
          </cell>
          <cell r="Q513" t="str">
            <v xml:space="preserve"> _</v>
          </cell>
          <cell r="AJ513" t="str">
            <v>SIN</v>
          </cell>
        </row>
        <row r="514">
          <cell r="B514">
            <v>45265</v>
          </cell>
          <cell r="Q514" t="str">
            <v xml:space="preserve"> _</v>
          </cell>
          <cell r="AJ514" t="str">
            <v>SIN</v>
          </cell>
        </row>
        <row r="515">
          <cell r="B515">
            <v>45265</v>
          </cell>
          <cell r="Q515" t="str">
            <v xml:space="preserve"> _</v>
          </cell>
          <cell r="AJ515" t="str">
            <v>SIN</v>
          </cell>
        </row>
        <row r="516">
          <cell r="B516">
            <v>45265</v>
          </cell>
          <cell r="Q516" t="str">
            <v xml:space="preserve"> _</v>
          </cell>
          <cell r="AJ516" t="str">
            <v>SIN</v>
          </cell>
        </row>
        <row r="517">
          <cell r="B517">
            <v>45265</v>
          </cell>
          <cell r="Q517" t="str">
            <v xml:space="preserve"> _</v>
          </cell>
          <cell r="AJ517" t="str">
            <v>SIN</v>
          </cell>
        </row>
        <row r="518">
          <cell r="B518">
            <v>45265</v>
          </cell>
          <cell r="Q518" t="str">
            <v xml:space="preserve"> _</v>
          </cell>
          <cell r="AJ518" t="str">
            <v>SIN</v>
          </cell>
        </row>
        <row r="519">
          <cell r="B519">
            <v>45265</v>
          </cell>
          <cell r="Q519" t="str">
            <v xml:space="preserve"> _</v>
          </cell>
          <cell r="AJ519" t="str">
            <v>SIN</v>
          </cell>
        </row>
        <row r="520">
          <cell r="B520">
            <v>45265</v>
          </cell>
          <cell r="Q520" t="str">
            <v xml:space="preserve"> _</v>
          </cell>
          <cell r="AJ520" t="str">
            <v>SIN</v>
          </cell>
        </row>
        <row r="521">
          <cell r="B521">
            <v>45265</v>
          </cell>
          <cell r="Q521" t="str">
            <v xml:space="preserve"> _</v>
          </cell>
          <cell r="AJ521" t="str">
            <v>SIN</v>
          </cell>
        </row>
        <row r="522">
          <cell r="B522">
            <v>45265</v>
          </cell>
          <cell r="Q522" t="str">
            <v xml:space="preserve"> _</v>
          </cell>
          <cell r="AJ522" t="str">
            <v>SIN</v>
          </cell>
        </row>
        <row r="523">
          <cell r="B523">
            <v>45265</v>
          </cell>
          <cell r="Q523" t="str">
            <v>VERDE</v>
          </cell>
          <cell r="AJ523" t="str">
            <v>SIN</v>
          </cell>
        </row>
        <row r="524">
          <cell r="B524">
            <v>45265</v>
          </cell>
          <cell r="Q524" t="str">
            <v xml:space="preserve"> _</v>
          </cell>
          <cell r="AJ524" t="str">
            <v>SIN</v>
          </cell>
        </row>
        <row r="525">
          <cell r="B525">
            <v>45265</v>
          </cell>
          <cell r="Q525" t="str">
            <v xml:space="preserve"> _</v>
          </cell>
          <cell r="AJ525" t="str">
            <v>SIN</v>
          </cell>
        </row>
        <row r="526">
          <cell r="B526">
            <v>45265</v>
          </cell>
          <cell r="Q526" t="str">
            <v xml:space="preserve"> _</v>
          </cell>
          <cell r="AJ526" t="str">
            <v>SIN</v>
          </cell>
        </row>
        <row r="527">
          <cell r="B527">
            <v>45265</v>
          </cell>
          <cell r="Q527" t="str">
            <v xml:space="preserve"> _</v>
          </cell>
          <cell r="AJ527" t="str">
            <v>SIN</v>
          </cell>
        </row>
        <row r="528">
          <cell r="B528">
            <v>45265</v>
          </cell>
          <cell r="Q528" t="str">
            <v xml:space="preserve"> _</v>
          </cell>
          <cell r="AJ528" t="str">
            <v>SIN</v>
          </cell>
        </row>
        <row r="529">
          <cell r="B529">
            <v>45265</v>
          </cell>
          <cell r="Q529" t="str">
            <v xml:space="preserve"> _</v>
          </cell>
          <cell r="AJ529" t="str">
            <v>SIN</v>
          </cell>
        </row>
        <row r="530">
          <cell r="B530">
            <v>45265</v>
          </cell>
          <cell r="Q530" t="str">
            <v xml:space="preserve"> _</v>
          </cell>
          <cell r="AJ530" t="str">
            <v>SIN</v>
          </cell>
        </row>
        <row r="531">
          <cell r="B531">
            <v>45265</v>
          </cell>
          <cell r="Q531" t="str">
            <v xml:space="preserve"> _</v>
          </cell>
          <cell r="AJ531" t="str">
            <v>SIN</v>
          </cell>
        </row>
        <row r="532">
          <cell r="B532">
            <v>45265</v>
          </cell>
          <cell r="Q532" t="str">
            <v xml:space="preserve"> _</v>
          </cell>
          <cell r="AJ532" t="str">
            <v>SIN</v>
          </cell>
        </row>
        <row r="533">
          <cell r="B533">
            <v>45265</v>
          </cell>
          <cell r="Q533" t="str">
            <v xml:space="preserve"> _</v>
          </cell>
          <cell r="AJ533" t="str">
            <v>SIN</v>
          </cell>
        </row>
        <row r="534">
          <cell r="B534">
            <v>45265</v>
          </cell>
          <cell r="Q534" t="str">
            <v xml:space="preserve"> _</v>
          </cell>
          <cell r="AJ534" t="str">
            <v>SIN</v>
          </cell>
        </row>
        <row r="535">
          <cell r="B535">
            <v>45266</v>
          </cell>
          <cell r="Q535" t="str">
            <v xml:space="preserve"> _</v>
          </cell>
          <cell r="AJ535" t="str">
            <v>SIN</v>
          </cell>
        </row>
        <row r="536">
          <cell r="B536">
            <v>45266</v>
          </cell>
          <cell r="Q536" t="str">
            <v xml:space="preserve"> _</v>
          </cell>
          <cell r="AJ536" t="str">
            <v>SIN</v>
          </cell>
        </row>
        <row r="537">
          <cell r="B537">
            <v>45266</v>
          </cell>
          <cell r="Q537" t="str">
            <v xml:space="preserve"> _</v>
          </cell>
          <cell r="AJ537" t="str">
            <v>SIN</v>
          </cell>
        </row>
        <row r="538">
          <cell r="B538">
            <v>45266</v>
          </cell>
          <cell r="Q538" t="str">
            <v>VERDE</v>
          </cell>
          <cell r="AJ538" t="str">
            <v>SIN</v>
          </cell>
        </row>
        <row r="539">
          <cell r="B539">
            <v>45266</v>
          </cell>
          <cell r="Q539" t="str">
            <v xml:space="preserve"> _</v>
          </cell>
          <cell r="AJ539" t="str">
            <v>SIN</v>
          </cell>
        </row>
        <row r="540">
          <cell r="B540">
            <v>45266</v>
          </cell>
          <cell r="Q540" t="str">
            <v xml:space="preserve"> _</v>
          </cell>
          <cell r="AJ540" t="str">
            <v>SIN</v>
          </cell>
        </row>
        <row r="541">
          <cell r="B541">
            <v>45266</v>
          </cell>
          <cell r="Q541" t="str">
            <v xml:space="preserve"> _</v>
          </cell>
          <cell r="AJ541" t="str">
            <v>SIN</v>
          </cell>
        </row>
        <row r="542">
          <cell r="B542">
            <v>45266</v>
          </cell>
          <cell r="Q542" t="str">
            <v xml:space="preserve"> _</v>
          </cell>
          <cell r="AJ542" t="str">
            <v>SIN</v>
          </cell>
        </row>
        <row r="543">
          <cell r="B543">
            <v>45266</v>
          </cell>
          <cell r="Q543" t="str">
            <v xml:space="preserve"> _</v>
          </cell>
          <cell r="AJ543" t="str">
            <v>SIN</v>
          </cell>
        </row>
        <row r="544">
          <cell r="B544">
            <v>45266</v>
          </cell>
          <cell r="Q544" t="str">
            <v xml:space="preserve"> _</v>
          </cell>
          <cell r="AJ544" t="str">
            <v>SIN</v>
          </cell>
        </row>
        <row r="545">
          <cell r="B545">
            <v>45266</v>
          </cell>
          <cell r="Q545" t="str">
            <v xml:space="preserve"> _</v>
          </cell>
          <cell r="AJ545" t="str">
            <v>SIN</v>
          </cell>
        </row>
        <row r="546">
          <cell r="B546">
            <v>45266</v>
          </cell>
          <cell r="Q546" t="str">
            <v xml:space="preserve"> _</v>
          </cell>
          <cell r="AJ546" t="str">
            <v>SIN</v>
          </cell>
        </row>
        <row r="547">
          <cell r="B547">
            <v>45267</v>
          </cell>
          <cell r="Q547" t="str">
            <v xml:space="preserve"> _</v>
          </cell>
          <cell r="AJ547" t="str">
            <v>SIN</v>
          </cell>
        </row>
        <row r="548">
          <cell r="B548">
            <v>45267</v>
          </cell>
          <cell r="Q548" t="str">
            <v xml:space="preserve"> _</v>
          </cell>
          <cell r="AJ548" t="str">
            <v>SIN</v>
          </cell>
        </row>
        <row r="549">
          <cell r="B549">
            <v>45267</v>
          </cell>
          <cell r="Q549" t="str">
            <v xml:space="preserve"> _</v>
          </cell>
          <cell r="AJ549" t="str">
            <v>SIN</v>
          </cell>
        </row>
        <row r="550">
          <cell r="B550">
            <v>45267</v>
          </cell>
          <cell r="Q550" t="str">
            <v xml:space="preserve"> _</v>
          </cell>
          <cell r="AJ550" t="str">
            <v>SIN</v>
          </cell>
        </row>
        <row r="551">
          <cell r="B551">
            <v>45271</v>
          </cell>
          <cell r="Q551" t="str">
            <v xml:space="preserve"> _</v>
          </cell>
          <cell r="AJ551" t="str">
            <v>SIN</v>
          </cell>
        </row>
        <row r="552">
          <cell r="B552">
            <v>45271</v>
          </cell>
          <cell r="Q552" t="str">
            <v xml:space="preserve"> _</v>
          </cell>
          <cell r="AJ552" t="str">
            <v>SIN</v>
          </cell>
        </row>
        <row r="553">
          <cell r="B553">
            <v>45272</v>
          </cell>
          <cell r="Q553" t="str">
            <v>VERDE</v>
          </cell>
          <cell r="AJ553" t="str">
            <v>SIN</v>
          </cell>
        </row>
        <row r="554">
          <cell r="B554">
            <v>45272</v>
          </cell>
          <cell r="Q554" t="str">
            <v xml:space="preserve"> _</v>
          </cell>
          <cell r="AJ554" t="str">
            <v>SIN</v>
          </cell>
        </row>
        <row r="555">
          <cell r="B555">
            <v>45273</v>
          </cell>
          <cell r="Q555" t="str">
            <v xml:space="preserve"> _</v>
          </cell>
          <cell r="AJ555" t="str">
            <v>SIN</v>
          </cell>
        </row>
        <row r="556">
          <cell r="B556">
            <v>45273</v>
          </cell>
          <cell r="Q556" t="str">
            <v>VERDE</v>
          </cell>
          <cell r="AJ556" t="str">
            <v>SIN</v>
          </cell>
        </row>
        <row r="557">
          <cell r="B557">
            <v>45273</v>
          </cell>
          <cell r="Q557" t="str">
            <v xml:space="preserve"> _</v>
          </cell>
          <cell r="AJ557" t="str">
            <v>SIN</v>
          </cell>
        </row>
        <row r="558">
          <cell r="B558">
            <v>45273</v>
          </cell>
          <cell r="Q558" t="str">
            <v xml:space="preserve"> _</v>
          </cell>
          <cell r="AJ558" t="str">
            <v>SIN</v>
          </cell>
        </row>
        <row r="559">
          <cell r="B559">
            <v>45273</v>
          </cell>
          <cell r="Q559" t="str">
            <v xml:space="preserve"> _</v>
          </cell>
          <cell r="AJ559" t="str">
            <v>SIN</v>
          </cell>
        </row>
        <row r="560">
          <cell r="B560">
            <v>45273</v>
          </cell>
          <cell r="Q560" t="str">
            <v xml:space="preserve"> _</v>
          </cell>
          <cell r="AJ560" t="str">
            <v>SIN</v>
          </cell>
        </row>
        <row r="561">
          <cell r="B561">
            <v>45273</v>
          </cell>
          <cell r="Q561" t="str">
            <v xml:space="preserve"> _</v>
          </cell>
          <cell r="AJ561" t="str">
            <v>SIN</v>
          </cell>
        </row>
        <row r="562">
          <cell r="B562">
            <v>45273</v>
          </cell>
          <cell r="Q562" t="str">
            <v xml:space="preserve"> _</v>
          </cell>
          <cell r="AJ562" t="str">
            <v>SIN</v>
          </cell>
        </row>
        <row r="563">
          <cell r="B563">
            <v>45273</v>
          </cell>
          <cell r="Q563" t="str">
            <v xml:space="preserve"> _</v>
          </cell>
          <cell r="AJ563" t="str">
            <v>SIN</v>
          </cell>
        </row>
        <row r="564">
          <cell r="B564">
            <v>45274</v>
          </cell>
          <cell r="Q564" t="str">
            <v xml:space="preserve"> _</v>
          </cell>
          <cell r="AJ564" t="str">
            <v>SIN</v>
          </cell>
        </row>
        <row r="565">
          <cell r="B565">
            <v>45274</v>
          </cell>
          <cell r="Q565" t="str">
            <v xml:space="preserve"> _</v>
          </cell>
          <cell r="AJ565" t="str">
            <v>SIN</v>
          </cell>
        </row>
        <row r="566">
          <cell r="B566">
            <v>45274</v>
          </cell>
          <cell r="Q566" t="str">
            <v xml:space="preserve"> _</v>
          </cell>
          <cell r="AJ566" t="str">
            <v>SIN</v>
          </cell>
        </row>
        <row r="567">
          <cell r="B567">
            <v>45274</v>
          </cell>
          <cell r="Q567" t="str">
            <v xml:space="preserve"> _</v>
          </cell>
          <cell r="AJ567" t="str">
            <v>SIN</v>
          </cell>
        </row>
        <row r="568">
          <cell r="B568">
            <v>45274</v>
          </cell>
          <cell r="Q568" t="str">
            <v xml:space="preserve"> _</v>
          </cell>
          <cell r="AJ568" t="str">
            <v>SIN</v>
          </cell>
        </row>
        <row r="569">
          <cell r="B569">
            <v>45274</v>
          </cell>
          <cell r="Q569" t="str">
            <v xml:space="preserve"> _</v>
          </cell>
          <cell r="AJ569" t="str">
            <v>SIN</v>
          </cell>
        </row>
        <row r="570">
          <cell r="B570">
            <v>45274</v>
          </cell>
          <cell r="Q570" t="str">
            <v xml:space="preserve"> _</v>
          </cell>
          <cell r="AJ570" t="str">
            <v>SIN</v>
          </cell>
        </row>
        <row r="571">
          <cell r="B571">
            <v>45275</v>
          </cell>
          <cell r="Q571" t="str">
            <v xml:space="preserve"> _</v>
          </cell>
          <cell r="AJ571" t="str">
            <v>SIN</v>
          </cell>
        </row>
        <row r="572">
          <cell r="B572">
            <v>45275</v>
          </cell>
          <cell r="Q572" t="str">
            <v xml:space="preserve"> _</v>
          </cell>
          <cell r="AJ572" t="str">
            <v>SIN</v>
          </cell>
        </row>
        <row r="573">
          <cell r="B573">
            <v>45278</v>
          </cell>
          <cell r="Q573" t="str">
            <v xml:space="preserve"> _</v>
          </cell>
          <cell r="AJ573" t="str">
            <v>SIN</v>
          </cell>
        </row>
        <row r="574">
          <cell r="B574">
            <v>45278</v>
          </cell>
          <cell r="Q574" t="str">
            <v xml:space="preserve"> _</v>
          </cell>
          <cell r="AJ574" t="str">
            <v>SIN</v>
          </cell>
        </row>
        <row r="575">
          <cell r="B575">
            <v>45278</v>
          </cell>
          <cell r="Q575" t="str">
            <v xml:space="preserve"> _</v>
          </cell>
          <cell r="AJ575" t="str">
            <v>SIN</v>
          </cell>
        </row>
        <row r="576">
          <cell r="B576">
            <v>45278</v>
          </cell>
          <cell r="Q576" t="str">
            <v xml:space="preserve"> _</v>
          </cell>
          <cell r="AJ576" t="str">
            <v>SIN</v>
          </cell>
        </row>
        <row r="577">
          <cell r="B577">
            <v>45278</v>
          </cell>
          <cell r="Q577" t="str">
            <v>VERDE</v>
          </cell>
          <cell r="AJ577" t="str">
            <v>SIN</v>
          </cell>
        </row>
        <row r="578">
          <cell r="B578">
            <v>45278</v>
          </cell>
          <cell r="Q578" t="str">
            <v xml:space="preserve"> _</v>
          </cell>
          <cell r="AJ578" t="str">
            <v>SIN</v>
          </cell>
        </row>
        <row r="579">
          <cell r="B579">
            <v>45278</v>
          </cell>
          <cell r="Q579" t="str">
            <v xml:space="preserve"> _</v>
          </cell>
          <cell r="AJ579" t="str">
            <v>SIN</v>
          </cell>
        </row>
        <row r="580">
          <cell r="B580">
            <v>45279</v>
          </cell>
          <cell r="Q580" t="str">
            <v xml:space="preserve"> _</v>
          </cell>
          <cell r="AJ580" t="str">
            <v>SIN</v>
          </cell>
        </row>
        <row r="581">
          <cell r="B581">
            <v>45279</v>
          </cell>
          <cell r="Q581" t="str">
            <v xml:space="preserve"> _</v>
          </cell>
          <cell r="AJ581" t="str">
            <v>SIN</v>
          </cell>
        </row>
        <row r="582">
          <cell r="B582">
            <v>45280</v>
          </cell>
          <cell r="Q582" t="str">
            <v xml:space="preserve"> _</v>
          </cell>
          <cell r="AJ582" t="str">
            <v>PRESO</v>
          </cell>
        </row>
        <row r="583">
          <cell r="B583">
            <v>45281</v>
          </cell>
          <cell r="Q583" t="str">
            <v>DEVUELTA AL JUZGADO DE ORIGEN</v>
          </cell>
          <cell r="AJ583" t="str">
            <v>SIN</v>
          </cell>
        </row>
        <row r="584">
          <cell r="B584">
            <v>45281</v>
          </cell>
          <cell r="Q584" t="str">
            <v xml:space="preserve"> _</v>
          </cell>
          <cell r="AJ584" t="str">
            <v>SIN</v>
          </cell>
        </row>
        <row r="585">
          <cell r="B585">
            <v>45281</v>
          </cell>
          <cell r="Q585" t="str">
            <v xml:space="preserve"> _</v>
          </cell>
          <cell r="AJ585" t="str">
            <v>SIN</v>
          </cell>
        </row>
        <row r="586">
          <cell r="B586">
            <v>45281</v>
          </cell>
          <cell r="Q586" t="str">
            <v xml:space="preserve"> _</v>
          </cell>
          <cell r="AJ586" t="str">
            <v>SIN</v>
          </cell>
        </row>
        <row r="587">
          <cell r="B587">
            <v>45282</v>
          </cell>
          <cell r="Q587" t="str">
            <v>VERDE</v>
          </cell>
          <cell r="AJ587" t="str">
            <v>SIN</v>
          </cell>
        </row>
        <row r="588">
          <cell r="B588">
            <v>45282</v>
          </cell>
          <cell r="Q588" t="str">
            <v xml:space="preserve"> _</v>
          </cell>
          <cell r="AJ588" t="str">
            <v>SIN</v>
          </cell>
        </row>
        <row r="589">
          <cell r="B589">
            <v>45286</v>
          </cell>
          <cell r="Q589" t="str">
            <v xml:space="preserve"> _</v>
          </cell>
          <cell r="AJ589" t="str">
            <v>SIN</v>
          </cell>
        </row>
        <row r="590">
          <cell r="B590">
            <v>45286</v>
          </cell>
          <cell r="Q590" t="str">
            <v xml:space="preserve"> _</v>
          </cell>
          <cell r="AJ590" t="str">
            <v>SIN</v>
          </cell>
        </row>
        <row r="591">
          <cell r="B591">
            <v>45286</v>
          </cell>
          <cell r="Q591" t="str">
            <v xml:space="preserve"> _</v>
          </cell>
          <cell r="AJ591" t="str">
            <v>SIN</v>
          </cell>
        </row>
        <row r="592">
          <cell r="B592">
            <v>45286</v>
          </cell>
          <cell r="Q592" t="str">
            <v xml:space="preserve"> _</v>
          </cell>
          <cell r="AJ592" t="str">
            <v>SIN</v>
          </cell>
        </row>
        <row r="593">
          <cell r="B593">
            <v>45287</v>
          </cell>
          <cell r="Q593" t="str">
            <v xml:space="preserve"> _</v>
          </cell>
          <cell r="AJ593" t="str">
            <v>SIN</v>
          </cell>
        </row>
        <row r="594">
          <cell r="B594">
            <v>45288</v>
          </cell>
          <cell r="Q594" t="str">
            <v xml:space="preserve"> _</v>
          </cell>
          <cell r="AJ594" t="str">
            <v>SIN</v>
          </cell>
        </row>
        <row r="595">
          <cell r="B595">
            <v>45288</v>
          </cell>
          <cell r="Q595" t="str">
            <v xml:space="preserve"> _</v>
          </cell>
          <cell r="AJ595" t="str">
            <v>SIN</v>
          </cell>
        </row>
        <row r="596">
          <cell r="B596">
            <v>45289</v>
          </cell>
          <cell r="Q596" t="str">
            <v xml:space="preserve"> _</v>
          </cell>
          <cell r="AJ596" t="str">
            <v>SIN</v>
          </cell>
        </row>
        <row r="597">
          <cell r="B597">
            <v>45289</v>
          </cell>
          <cell r="Q597" t="str">
            <v xml:space="preserve"> _</v>
          </cell>
          <cell r="AJ597" t="str">
            <v>PRESO</v>
          </cell>
        </row>
        <row r="598">
          <cell r="B598">
            <v>45289</v>
          </cell>
          <cell r="Q598" t="str">
            <v xml:space="preserve"> _</v>
          </cell>
          <cell r="AJ598" t="str">
            <v>SIN</v>
          </cell>
        </row>
        <row r="599">
          <cell r="B599">
            <v>45289</v>
          </cell>
          <cell r="Q599" t="str">
            <v xml:space="preserve"> _</v>
          </cell>
          <cell r="AJ599" t="str">
            <v>SIN</v>
          </cell>
        </row>
        <row r="600">
          <cell r="B600">
            <v>45289</v>
          </cell>
          <cell r="Q600" t="str">
            <v xml:space="preserve"> _</v>
          </cell>
          <cell r="AJ600" t="str">
            <v>SIN</v>
          </cell>
        </row>
        <row r="601">
          <cell r="B601">
            <v>45289</v>
          </cell>
          <cell r="Q601" t="str">
            <v xml:space="preserve"> _</v>
          </cell>
          <cell r="AJ601" t="str">
            <v>SIN</v>
          </cell>
        </row>
        <row r="602">
          <cell r="B602">
            <v>45289</v>
          </cell>
          <cell r="Q602" t="str">
            <v xml:space="preserve"> _</v>
          </cell>
          <cell r="AJ602" t="str">
            <v>SIN</v>
          </cell>
        </row>
        <row r="603">
          <cell r="B603">
            <v>45289</v>
          </cell>
          <cell r="Q603" t="str">
            <v xml:space="preserve"> _</v>
          </cell>
          <cell r="AJ603" t="str">
            <v>SIN</v>
          </cell>
        </row>
        <row r="604">
          <cell r="B604">
            <v>45289</v>
          </cell>
          <cell r="Q604" t="str">
            <v xml:space="preserve"> _</v>
          </cell>
          <cell r="AJ604" t="str">
            <v>PRESO</v>
          </cell>
        </row>
        <row r="605">
          <cell r="B605">
            <v>45289</v>
          </cell>
          <cell r="Q605" t="str">
            <v xml:space="preserve"> _</v>
          </cell>
          <cell r="AJ605" t="str">
            <v>SIN</v>
          </cell>
        </row>
        <row r="606">
          <cell r="B606">
            <v>45289</v>
          </cell>
          <cell r="Q606" t="str">
            <v xml:space="preserve"> _</v>
          </cell>
          <cell r="AJ606" t="str">
            <v>SIN</v>
          </cell>
        </row>
        <row r="607">
          <cell r="B607">
            <v>45294</v>
          </cell>
          <cell r="Q607" t="str">
            <v xml:space="preserve"> _</v>
          </cell>
          <cell r="AJ607" t="str">
            <v>SIN</v>
          </cell>
        </row>
        <row r="608">
          <cell r="B608">
            <v>45296</v>
          </cell>
          <cell r="Q608" t="str">
            <v xml:space="preserve"> _</v>
          </cell>
          <cell r="AJ608" t="str">
            <v>PRESO</v>
          </cell>
        </row>
        <row r="609">
          <cell r="B609">
            <v>45302</v>
          </cell>
          <cell r="Q609" t="str">
            <v xml:space="preserve"> _</v>
          </cell>
          <cell r="AJ609" t="str">
            <v>PRESO</v>
          </cell>
        </row>
        <row r="610">
          <cell r="B610">
            <v>45303</v>
          </cell>
          <cell r="Q610" t="str">
            <v xml:space="preserve"> _</v>
          </cell>
          <cell r="AJ610" t="str">
            <v>PRESO</v>
          </cell>
        </row>
        <row r="611">
          <cell r="B611">
            <v>45309</v>
          </cell>
          <cell r="Q611" t="str">
            <v>RESUELTA EN AUD FLEX Y MULTI PREVENTIVA</v>
          </cell>
          <cell r="AJ611" t="str">
            <v>PRESO</v>
          </cell>
        </row>
        <row r="612">
          <cell r="B612">
            <v>45323</v>
          </cell>
          <cell r="Q612" t="str">
            <v xml:space="preserve"> _</v>
          </cell>
          <cell r="AJ612" t="str">
            <v>SIN</v>
          </cell>
        </row>
        <row r="613">
          <cell r="B613">
            <v>45324</v>
          </cell>
          <cell r="Q613" t="str">
            <v xml:space="preserve"> _</v>
          </cell>
          <cell r="AJ613" t="str">
            <v>SIN</v>
          </cell>
        </row>
        <row r="614">
          <cell r="B614">
            <v>45324</v>
          </cell>
          <cell r="Q614" t="str">
            <v xml:space="preserve"> _</v>
          </cell>
          <cell r="AJ614" t="str">
            <v>SIN</v>
          </cell>
        </row>
        <row r="615">
          <cell r="B615">
            <v>45327</v>
          </cell>
          <cell r="Q615" t="str">
            <v xml:space="preserve"> _</v>
          </cell>
          <cell r="AJ615" t="str">
            <v>SIN</v>
          </cell>
        </row>
        <row r="616">
          <cell r="B616">
            <v>45328</v>
          </cell>
          <cell r="Q616" t="str">
            <v xml:space="preserve"> _</v>
          </cell>
          <cell r="AJ616" t="str">
            <v>PRESO</v>
          </cell>
        </row>
        <row r="617">
          <cell r="B617">
            <v>45328</v>
          </cell>
          <cell r="Q617" t="str">
            <v xml:space="preserve"> _</v>
          </cell>
          <cell r="AJ617" t="str">
            <v>SIN</v>
          </cell>
        </row>
        <row r="618">
          <cell r="B618">
            <v>45328</v>
          </cell>
          <cell r="Q618" t="str">
            <v xml:space="preserve"> _</v>
          </cell>
          <cell r="AJ618" t="str">
            <v>SIN</v>
          </cell>
        </row>
        <row r="619">
          <cell r="B619">
            <v>45328</v>
          </cell>
          <cell r="Q619" t="str">
            <v xml:space="preserve"> _</v>
          </cell>
          <cell r="AJ619" t="str">
            <v>SIN</v>
          </cell>
        </row>
        <row r="620">
          <cell r="B620">
            <v>45328</v>
          </cell>
          <cell r="Q620" t="str">
            <v xml:space="preserve"> _</v>
          </cell>
          <cell r="AJ620" t="str">
            <v>SIN</v>
          </cell>
        </row>
        <row r="621">
          <cell r="B621">
            <v>45328</v>
          </cell>
          <cell r="Q621" t="str">
            <v>VERDE</v>
          </cell>
          <cell r="AJ621" t="str">
            <v>SIN</v>
          </cell>
        </row>
        <row r="622">
          <cell r="B622">
            <v>45328</v>
          </cell>
          <cell r="Q622" t="str">
            <v xml:space="preserve"> _</v>
          </cell>
          <cell r="AJ622" t="str">
            <v>SIN</v>
          </cell>
        </row>
        <row r="623">
          <cell r="B623">
            <v>45328</v>
          </cell>
          <cell r="Q623" t="str">
            <v xml:space="preserve"> _</v>
          </cell>
          <cell r="AJ623" t="str">
            <v>SIN</v>
          </cell>
        </row>
        <row r="624">
          <cell r="B624">
            <v>45328</v>
          </cell>
          <cell r="Q624" t="str">
            <v xml:space="preserve"> _</v>
          </cell>
          <cell r="AJ624" t="str">
            <v>SIN</v>
          </cell>
        </row>
        <row r="625">
          <cell r="B625">
            <v>45328</v>
          </cell>
          <cell r="Q625" t="str">
            <v xml:space="preserve"> _</v>
          </cell>
          <cell r="AJ625" t="str">
            <v>SIN</v>
          </cell>
        </row>
        <row r="626">
          <cell r="B626">
            <v>45328</v>
          </cell>
          <cell r="Q626" t="str">
            <v xml:space="preserve"> _</v>
          </cell>
          <cell r="AJ626" t="str">
            <v>SIN</v>
          </cell>
        </row>
        <row r="627">
          <cell r="B627">
            <v>45329</v>
          </cell>
          <cell r="Q627" t="str">
            <v xml:space="preserve"> _</v>
          </cell>
          <cell r="AJ627" t="str">
            <v>SIN</v>
          </cell>
        </row>
        <row r="628">
          <cell r="B628">
            <v>45329</v>
          </cell>
          <cell r="Q628" t="str">
            <v xml:space="preserve"> _</v>
          </cell>
          <cell r="AJ628" t="str">
            <v>SIN</v>
          </cell>
        </row>
        <row r="629">
          <cell r="B629">
            <v>45329</v>
          </cell>
          <cell r="Q629" t="str">
            <v xml:space="preserve"> _</v>
          </cell>
          <cell r="AJ629" t="str">
            <v>SIN</v>
          </cell>
        </row>
        <row r="630">
          <cell r="B630">
            <v>45329</v>
          </cell>
          <cell r="Q630" t="str">
            <v xml:space="preserve"> _</v>
          </cell>
          <cell r="AJ630" t="str">
            <v>SIN</v>
          </cell>
        </row>
        <row r="631">
          <cell r="B631">
            <v>45329</v>
          </cell>
          <cell r="Q631" t="str">
            <v xml:space="preserve"> _</v>
          </cell>
          <cell r="AJ631" t="str">
            <v>SIN</v>
          </cell>
        </row>
        <row r="632">
          <cell r="B632">
            <v>45329</v>
          </cell>
          <cell r="Q632" t="str">
            <v xml:space="preserve"> _</v>
          </cell>
          <cell r="AJ632" t="str">
            <v>SIN</v>
          </cell>
        </row>
        <row r="633">
          <cell r="B633">
            <v>45329</v>
          </cell>
          <cell r="Q633" t="str">
            <v xml:space="preserve"> _</v>
          </cell>
          <cell r="AJ633" t="str">
            <v>SIN</v>
          </cell>
        </row>
        <row r="634">
          <cell r="B634">
            <v>45329</v>
          </cell>
          <cell r="Q634" t="str">
            <v xml:space="preserve"> _</v>
          </cell>
          <cell r="AJ634" t="str">
            <v>SIN</v>
          </cell>
        </row>
        <row r="635">
          <cell r="B635">
            <v>45330</v>
          </cell>
          <cell r="Q635" t="str">
            <v xml:space="preserve"> _</v>
          </cell>
          <cell r="AJ635" t="str">
            <v>SIN</v>
          </cell>
        </row>
        <row r="636">
          <cell r="B636">
            <v>45330</v>
          </cell>
          <cell r="Q636" t="str">
            <v xml:space="preserve"> _</v>
          </cell>
          <cell r="AJ636" t="str">
            <v>SIN</v>
          </cell>
        </row>
        <row r="637">
          <cell r="B637">
            <v>45330</v>
          </cell>
          <cell r="Q637" t="str">
            <v xml:space="preserve"> _</v>
          </cell>
          <cell r="AJ637" t="str">
            <v>SIN</v>
          </cell>
        </row>
        <row r="638">
          <cell r="B638">
            <v>45330</v>
          </cell>
          <cell r="Q638" t="str">
            <v xml:space="preserve"> _</v>
          </cell>
          <cell r="AJ638" t="str">
            <v>SIN</v>
          </cell>
        </row>
        <row r="639">
          <cell r="B639">
            <v>45330</v>
          </cell>
          <cell r="Q639" t="str">
            <v xml:space="preserve"> _</v>
          </cell>
          <cell r="AJ639" t="str">
            <v>SIN</v>
          </cell>
        </row>
        <row r="640">
          <cell r="B640">
            <v>45330</v>
          </cell>
          <cell r="Q640" t="str">
            <v xml:space="preserve"> _</v>
          </cell>
          <cell r="AJ640" t="str">
            <v>SIN</v>
          </cell>
        </row>
        <row r="641">
          <cell r="B641">
            <v>45330</v>
          </cell>
          <cell r="Q641" t="str">
            <v xml:space="preserve"> _</v>
          </cell>
          <cell r="AJ641" t="str">
            <v>SIN</v>
          </cell>
        </row>
        <row r="642">
          <cell r="B642">
            <v>45330</v>
          </cell>
          <cell r="Q642" t="str">
            <v xml:space="preserve"> _</v>
          </cell>
          <cell r="AJ642" t="str">
            <v>SIN</v>
          </cell>
        </row>
        <row r="643">
          <cell r="B643">
            <v>45330</v>
          </cell>
          <cell r="Q643" t="str">
            <v xml:space="preserve"> _</v>
          </cell>
          <cell r="AJ643" t="str">
            <v>SIN</v>
          </cell>
        </row>
        <row r="644">
          <cell r="B644">
            <v>45330</v>
          </cell>
          <cell r="Q644" t="str">
            <v xml:space="preserve"> _</v>
          </cell>
          <cell r="AJ644" t="str">
            <v>SIN</v>
          </cell>
        </row>
        <row r="645">
          <cell r="B645">
            <v>45330</v>
          </cell>
          <cell r="Q645" t="str">
            <v xml:space="preserve"> _</v>
          </cell>
          <cell r="AJ645" t="str">
            <v>SIN</v>
          </cell>
        </row>
        <row r="646">
          <cell r="B646">
            <v>45330</v>
          </cell>
          <cell r="Q646" t="str">
            <v xml:space="preserve"> _</v>
          </cell>
          <cell r="AJ646" t="str">
            <v>SIN</v>
          </cell>
        </row>
        <row r="647">
          <cell r="B647">
            <v>45330</v>
          </cell>
          <cell r="Q647" t="str">
            <v xml:space="preserve"> _</v>
          </cell>
          <cell r="AJ647" t="str">
            <v>SIN</v>
          </cell>
        </row>
        <row r="648">
          <cell r="B648">
            <v>45331</v>
          </cell>
          <cell r="Q648" t="str">
            <v xml:space="preserve"> _</v>
          </cell>
          <cell r="AJ648" t="str">
            <v>SIN</v>
          </cell>
        </row>
        <row r="649">
          <cell r="B649">
            <v>45331</v>
          </cell>
          <cell r="Q649" t="str">
            <v xml:space="preserve"> _</v>
          </cell>
          <cell r="AJ649" t="str">
            <v>SIN</v>
          </cell>
        </row>
        <row r="650">
          <cell r="B650">
            <v>45331</v>
          </cell>
          <cell r="Q650" t="str">
            <v xml:space="preserve"> _</v>
          </cell>
          <cell r="AJ650" t="str">
            <v>SIN</v>
          </cell>
        </row>
        <row r="651">
          <cell r="B651">
            <v>45331</v>
          </cell>
          <cell r="Q651" t="str">
            <v xml:space="preserve"> _</v>
          </cell>
          <cell r="AJ651" t="str">
            <v>SIN</v>
          </cell>
        </row>
        <row r="652">
          <cell r="B652">
            <v>45331</v>
          </cell>
          <cell r="Q652" t="str">
            <v xml:space="preserve"> _</v>
          </cell>
          <cell r="AJ652" t="str">
            <v>SIN</v>
          </cell>
        </row>
        <row r="653">
          <cell r="B653">
            <v>45331</v>
          </cell>
          <cell r="Q653" t="str">
            <v xml:space="preserve"> _</v>
          </cell>
          <cell r="AJ653" t="str">
            <v>SIN</v>
          </cell>
        </row>
        <row r="654">
          <cell r="B654">
            <v>45331</v>
          </cell>
          <cell r="Q654" t="str">
            <v xml:space="preserve"> _</v>
          </cell>
          <cell r="AJ654" t="str">
            <v>SIN</v>
          </cell>
        </row>
        <row r="655">
          <cell r="B655">
            <v>45336</v>
          </cell>
          <cell r="Q655" t="str">
            <v xml:space="preserve"> _</v>
          </cell>
          <cell r="AJ655" t="str">
            <v>SIN</v>
          </cell>
        </row>
        <row r="656">
          <cell r="B656">
            <v>45336</v>
          </cell>
          <cell r="Q656" t="str">
            <v xml:space="preserve"> _</v>
          </cell>
          <cell r="AJ656" t="str">
            <v>SIN</v>
          </cell>
        </row>
        <row r="657">
          <cell r="B657">
            <v>45336</v>
          </cell>
          <cell r="Q657" t="str">
            <v xml:space="preserve"> _</v>
          </cell>
          <cell r="AJ657" t="str">
            <v>PRESO</v>
          </cell>
        </row>
        <row r="658">
          <cell r="B658">
            <v>45336</v>
          </cell>
          <cell r="Q658" t="str">
            <v xml:space="preserve"> _</v>
          </cell>
          <cell r="AJ658" t="str">
            <v>SIN</v>
          </cell>
        </row>
        <row r="659">
          <cell r="B659">
            <v>45336</v>
          </cell>
          <cell r="Q659" t="str">
            <v xml:space="preserve"> _</v>
          </cell>
          <cell r="AJ659" t="str">
            <v>SIN</v>
          </cell>
        </row>
        <row r="660">
          <cell r="B660">
            <v>45336</v>
          </cell>
          <cell r="Q660" t="str">
            <v xml:space="preserve"> _</v>
          </cell>
          <cell r="AJ660" t="str">
            <v>SIN</v>
          </cell>
        </row>
        <row r="661">
          <cell r="B661">
            <v>45337</v>
          </cell>
          <cell r="Q661" t="str">
            <v xml:space="preserve"> _</v>
          </cell>
          <cell r="AJ661" t="str">
            <v>SIN</v>
          </cell>
        </row>
        <row r="662">
          <cell r="B662">
            <v>45337</v>
          </cell>
          <cell r="Q662" t="str">
            <v xml:space="preserve"> _</v>
          </cell>
          <cell r="AJ662" t="str">
            <v>SIN</v>
          </cell>
        </row>
        <row r="663">
          <cell r="B663">
            <v>45337</v>
          </cell>
          <cell r="Q663" t="str">
            <v xml:space="preserve"> _</v>
          </cell>
          <cell r="AJ663" t="str">
            <v>SIN</v>
          </cell>
        </row>
        <row r="664">
          <cell r="B664">
            <v>45337</v>
          </cell>
          <cell r="Q664" t="str">
            <v xml:space="preserve"> _</v>
          </cell>
          <cell r="AJ664" t="str">
            <v>SIN</v>
          </cell>
        </row>
        <row r="665">
          <cell r="B665">
            <v>45338</v>
          </cell>
          <cell r="Q665" t="str">
            <v xml:space="preserve"> _</v>
          </cell>
          <cell r="AJ665" t="str">
            <v>SIN</v>
          </cell>
        </row>
        <row r="666">
          <cell r="B666">
            <v>45338</v>
          </cell>
          <cell r="Q666" t="str">
            <v xml:space="preserve"> _</v>
          </cell>
          <cell r="AJ666" t="str">
            <v>SIN</v>
          </cell>
        </row>
        <row r="667">
          <cell r="B667">
            <v>45338</v>
          </cell>
          <cell r="Q667" t="str">
            <v xml:space="preserve"> _</v>
          </cell>
          <cell r="AJ667" t="str">
            <v>SIN</v>
          </cell>
        </row>
        <row r="668">
          <cell r="B668">
            <v>45338</v>
          </cell>
          <cell r="Q668" t="str">
            <v xml:space="preserve"> _</v>
          </cell>
          <cell r="AJ668" t="str">
            <v>SIN</v>
          </cell>
        </row>
        <row r="669">
          <cell r="B669">
            <v>45338</v>
          </cell>
          <cell r="Q669" t="str">
            <v xml:space="preserve"> _</v>
          </cell>
          <cell r="AJ669" t="str">
            <v>SIN</v>
          </cell>
        </row>
        <row r="670">
          <cell r="B670">
            <v>45338</v>
          </cell>
          <cell r="Q670" t="str">
            <v xml:space="preserve"> _</v>
          </cell>
          <cell r="AJ670" t="str">
            <v>SIN</v>
          </cell>
        </row>
        <row r="671">
          <cell r="B671">
            <v>45338</v>
          </cell>
          <cell r="Q671" t="str">
            <v xml:space="preserve"> _</v>
          </cell>
          <cell r="AJ671" t="str">
            <v>PRESO</v>
          </cell>
        </row>
        <row r="672">
          <cell r="B672">
            <v>45338</v>
          </cell>
          <cell r="Q672" t="str">
            <v xml:space="preserve"> _</v>
          </cell>
          <cell r="AJ672" t="str">
            <v>SIN</v>
          </cell>
        </row>
        <row r="673">
          <cell r="B673">
            <v>45338</v>
          </cell>
          <cell r="Q673" t="str">
            <v xml:space="preserve"> _</v>
          </cell>
          <cell r="AJ673" t="str">
            <v>SIN</v>
          </cell>
        </row>
        <row r="674">
          <cell r="B674">
            <v>45338</v>
          </cell>
          <cell r="Q674" t="str">
            <v xml:space="preserve"> _</v>
          </cell>
          <cell r="AJ674" t="str">
            <v>SIN</v>
          </cell>
        </row>
        <row r="675">
          <cell r="B675">
            <v>45340</v>
          </cell>
          <cell r="Q675" t="str">
            <v xml:space="preserve"> _</v>
          </cell>
          <cell r="AJ675" t="str">
            <v>SIN</v>
          </cell>
        </row>
        <row r="676">
          <cell r="B676">
            <v>45341</v>
          </cell>
          <cell r="Q676" t="str">
            <v xml:space="preserve"> _</v>
          </cell>
          <cell r="AJ676" t="str">
            <v>SIN</v>
          </cell>
        </row>
        <row r="677">
          <cell r="B677">
            <v>45341</v>
          </cell>
          <cell r="Q677" t="str">
            <v xml:space="preserve"> _</v>
          </cell>
          <cell r="AJ677" t="str">
            <v>SIN</v>
          </cell>
        </row>
        <row r="678">
          <cell r="B678">
            <v>45341</v>
          </cell>
          <cell r="Q678" t="str">
            <v xml:space="preserve"> _</v>
          </cell>
          <cell r="AJ678" t="str">
            <v>SIN</v>
          </cell>
        </row>
        <row r="679">
          <cell r="B679">
            <v>45343</v>
          </cell>
          <cell r="Q679" t="str">
            <v>VERDE</v>
          </cell>
          <cell r="AJ679" t="str">
            <v>SIN</v>
          </cell>
        </row>
        <row r="680">
          <cell r="B680">
            <v>45343</v>
          </cell>
          <cell r="Q680" t="str">
            <v xml:space="preserve"> _</v>
          </cell>
          <cell r="AJ680" t="str">
            <v>SIN</v>
          </cell>
        </row>
        <row r="681">
          <cell r="B681">
            <v>45343</v>
          </cell>
          <cell r="Q681" t="str">
            <v xml:space="preserve"> _</v>
          </cell>
          <cell r="AJ681" t="str">
            <v>SIN</v>
          </cell>
        </row>
        <row r="682">
          <cell r="B682">
            <v>45343</v>
          </cell>
          <cell r="Q682" t="str">
            <v xml:space="preserve"> _</v>
          </cell>
          <cell r="AJ682" t="str">
            <v>SIN</v>
          </cell>
        </row>
        <row r="683">
          <cell r="B683">
            <v>45343</v>
          </cell>
          <cell r="Q683" t="str">
            <v xml:space="preserve"> _</v>
          </cell>
          <cell r="AJ683" t="str">
            <v>SIN</v>
          </cell>
        </row>
        <row r="684">
          <cell r="B684">
            <v>45343</v>
          </cell>
          <cell r="Q684" t="str">
            <v xml:space="preserve"> _</v>
          </cell>
          <cell r="AJ684" t="str">
            <v>SIN</v>
          </cell>
        </row>
        <row r="685">
          <cell r="B685">
            <v>45343</v>
          </cell>
          <cell r="Q685" t="str">
            <v xml:space="preserve"> _</v>
          </cell>
          <cell r="AJ685" t="str">
            <v>SIN</v>
          </cell>
        </row>
        <row r="686">
          <cell r="B686">
            <v>45343</v>
          </cell>
          <cell r="Q686" t="str">
            <v xml:space="preserve"> _</v>
          </cell>
          <cell r="AJ686" t="str">
            <v>SIN</v>
          </cell>
        </row>
        <row r="687">
          <cell r="B687">
            <v>45343</v>
          </cell>
          <cell r="Q687" t="str">
            <v xml:space="preserve"> _</v>
          </cell>
          <cell r="AJ687" t="str">
            <v>SIN</v>
          </cell>
        </row>
        <row r="688">
          <cell r="B688">
            <v>45343</v>
          </cell>
          <cell r="Q688" t="str">
            <v xml:space="preserve"> _</v>
          </cell>
          <cell r="AJ688" t="str">
            <v>SIN</v>
          </cell>
        </row>
        <row r="689">
          <cell r="B689">
            <v>45343</v>
          </cell>
          <cell r="Q689" t="str">
            <v xml:space="preserve"> _</v>
          </cell>
          <cell r="AJ689" t="str">
            <v>SIN</v>
          </cell>
        </row>
        <row r="690">
          <cell r="B690">
            <v>45343</v>
          </cell>
          <cell r="Q690" t="str">
            <v xml:space="preserve"> _</v>
          </cell>
          <cell r="AJ690" t="str">
            <v>SIN</v>
          </cell>
        </row>
        <row r="691">
          <cell r="B691">
            <v>45344</v>
          </cell>
          <cell r="Q691" t="str">
            <v xml:space="preserve"> _</v>
          </cell>
          <cell r="AJ691" t="str">
            <v>SIN</v>
          </cell>
        </row>
        <row r="692">
          <cell r="B692">
            <v>45344</v>
          </cell>
          <cell r="Q692" t="str">
            <v xml:space="preserve"> _</v>
          </cell>
          <cell r="AJ692" t="str">
            <v>SIN</v>
          </cell>
        </row>
        <row r="693">
          <cell r="B693">
            <v>45344</v>
          </cell>
          <cell r="Q693" t="str">
            <v xml:space="preserve"> _</v>
          </cell>
          <cell r="AJ693" t="str">
            <v>SIN</v>
          </cell>
        </row>
        <row r="694">
          <cell r="B694">
            <v>45344</v>
          </cell>
          <cell r="Q694" t="str">
            <v xml:space="preserve"> _</v>
          </cell>
          <cell r="AJ694" t="str">
            <v>SIN</v>
          </cell>
        </row>
        <row r="695">
          <cell r="B695">
            <v>45344</v>
          </cell>
          <cell r="Q695" t="str">
            <v xml:space="preserve"> _</v>
          </cell>
          <cell r="AJ695" t="str">
            <v>SIN</v>
          </cell>
        </row>
        <row r="696">
          <cell r="B696">
            <v>45345</v>
          </cell>
          <cell r="Q696" t="str">
            <v xml:space="preserve"> _</v>
          </cell>
          <cell r="AJ696" t="str">
            <v>SIN</v>
          </cell>
        </row>
        <row r="697">
          <cell r="B697">
            <v>45345</v>
          </cell>
          <cell r="Q697" t="str">
            <v>VERDE</v>
          </cell>
          <cell r="AJ697" t="str">
            <v>SIN</v>
          </cell>
        </row>
        <row r="698">
          <cell r="B698">
            <v>45345</v>
          </cell>
          <cell r="Q698" t="str">
            <v xml:space="preserve"> _</v>
          </cell>
          <cell r="AJ698" t="str">
            <v>SIN</v>
          </cell>
        </row>
        <row r="699">
          <cell r="B699">
            <v>45345</v>
          </cell>
          <cell r="Q699" t="str">
            <v xml:space="preserve"> _</v>
          </cell>
          <cell r="AJ699" t="str">
            <v>SIN</v>
          </cell>
        </row>
        <row r="700">
          <cell r="B700">
            <v>45345</v>
          </cell>
          <cell r="Q700" t="str">
            <v xml:space="preserve"> _</v>
          </cell>
          <cell r="AJ700" t="str">
            <v>SIN</v>
          </cell>
        </row>
        <row r="701">
          <cell r="B701">
            <v>45345</v>
          </cell>
          <cell r="Q701" t="str">
            <v xml:space="preserve"> _</v>
          </cell>
          <cell r="AJ701" t="str">
            <v>SIN</v>
          </cell>
        </row>
        <row r="702">
          <cell r="B702">
            <v>45346</v>
          </cell>
          <cell r="Q702" t="str">
            <v>VERDE</v>
          </cell>
          <cell r="AJ702" t="str">
            <v>SIN</v>
          </cell>
        </row>
        <row r="703">
          <cell r="B703">
            <v>45348</v>
          </cell>
          <cell r="Q703" t="str">
            <v xml:space="preserve"> _</v>
          </cell>
          <cell r="AJ703" t="str">
            <v>SIN</v>
          </cell>
        </row>
        <row r="704">
          <cell r="B704">
            <v>45348</v>
          </cell>
          <cell r="Q704" t="str">
            <v xml:space="preserve"> _</v>
          </cell>
          <cell r="AJ704" t="str">
            <v>SIN</v>
          </cell>
        </row>
        <row r="705">
          <cell r="B705">
            <v>45348</v>
          </cell>
          <cell r="Q705" t="str">
            <v xml:space="preserve"> _</v>
          </cell>
          <cell r="AJ705" t="str">
            <v>SIN</v>
          </cell>
        </row>
        <row r="706">
          <cell r="B706">
            <v>45348</v>
          </cell>
          <cell r="Q706" t="str">
            <v xml:space="preserve"> _</v>
          </cell>
          <cell r="AJ706" t="str">
            <v>SIN</v>
          </cell>
        </row>
        <row r="707">
          <cell r="B707">
            <v>45348</v>
          </cell>
          <cell r="Q707" t="str">
            <v xml:space="preserve"> _</v>
          </cell>
          <cell r="AJ707" t="str">
            <v>SIN</v>
          </cell>
        </row>
        <row r="708">
          <cell r="B708">
            <v>45349</v>
          </cell>
          <cell r="Q708" t="str">
            <v xml:space="preserve"> _</v>
          </cell>
          <cell r="AJ708" t="str">
            <v>SIN</v>
          </cell>
        </row>
        <row r="709">
          <cell r="B709">
            <v>45349</v>
          </cell>
          <cell r="Q709" t="str">
            <v xml:space="preserve"> _</v>
          </cell>
          <cell r="AJ709" t="str">
            <v>SIN</v>
          </cell>
        </row>
        <row r="710">
          <cell r="B710">
            <v>45349</v>
          </cell>
          <cell r="Q710" t="str">
            <v xml:space="preserve"> _</v>
          </cell>
          <cell r="AJ710" t="str">
            <v>SIN</v>
          </cell>
        </row>
        <row r="711">
          <cell r="B711">
            <v>45349</v>
          </cell>
          <cell r="Q711" t="str">
            <v xml:space="preserve"> _</v>
          </cell>
          <cell r="AJ711" t="str">
            <v>SIN</v>
          </cell>
        </row>
        <row r="712">
          <cell r="B712">
            <v>45349</v>
          </cell>
          <cell r="Q712" t="str">
            <v xml:space="preserve"> _</v>
          </cell>
          <cell r="AJ712" t="str">
            <v>SIN</v>
          </cell>
        </row>
        <row r="713">
          <cell r="B713">
            <v>45349</v>
          </cell>
          <cell r="Q713" t="str">
            <v>VERDE</v>
          </cell>
          <cell r="AJ713" t="str">
            <v>SIN</v>
          </cell>
        </row>
        <row r="714">
          <cell r="B714">
            <v>45349</v>
          </cell>
          <cell r="Q714" t="str">
            <v xml:space="preserve"> _</v>
          </cell>
          <cell r="AJ714" t="str">
            <v>SIN</v>
          </cell>
        </row>
        <row r="715">
          <cell r="B715">
            <v>45349</v>
          </cell>
          <cell r="Q715" t="str">
            <v xml:space="preserve"> _</v>
          </cell>
          <cell r="AJ715" t="str">
            <v>SIN</v>
          </cell>
        </row>
        <row r="716">
          <cell r="B716">
            <v>45349</v>
          </cell>
          <cell r="Q716" t="str">
            <v xml:space="preserve"> _</v>
          </cell>
          <cell r="AJ716" t="str">
            <v>SIN</v>
          </cell>
        </row>
        <row r="717">
          <cell r="B717">
            <v>45349</v>
          </cell>
          <cell r="Q717" t="str">
            <v xml:space="preserve"> _</v>
          </cell>
          <cell r="AJ717" t="str">
            <v>SIN</v>
          </cell>
        </row>
        <row r="718">
          <cell r="B718">
            <v>45349</v>
          </cell>
          <cell r="Q718" t="str">
            <v xml:space="preserve"> _</v>
          </cell>
          <cell r="AJ718" t="str">
            <v>SIN</v>
          </cell>
        </row>
        <row r="719">
          <cell r="B719">
            <v>45349</v>
          </cell>
          <cell r="Q719" t="str">
            <v xml:space="preserve"> _</v>
          </cell>
          <cell r="AJ719" t="str">
            <v>SIN</v>
          </cell>
        </row>
        <row r="720">
          <cell r="B720">
            <v>45350</v>
          </cell>
          <cell r="Q720" t="str">
            <v xml:space="preserve"> _</v>
          </cell>
          <cell r="AJ720" t="str">
            <v>SIN</v>
          </cell>
        </row>
        <row r="721">
          <cell r="B721">
            <v>45350</v>
          </cell>
          <cell r="Q721" t="str">
            <v xml:space="preserve"> _</v>
          </cell>
          <cell r="AJ721" t="str">
            <v>SIN</v>
          </cell>
        </row>
        <row r="722">
          <cell r="B722">
            <v>45350</v>
          </cell>
          <cell r="Q722" t="str">
            <v xml:space="preserve"> _</v>
          </cell>
          <cell r="AJ722" t="str">
            <v>SIN</v>
          </cell>
        </row>
        <row r="723">
          <cell r="B723">
            <v>45350</v>
          </cell>
          <cell r="Q723" t="str">
            <v xml:space="preserve"> _</v>
          </cell>
          <cell r="AJ723" t="str">
            <v>SIN</v>
          </cell>
        </row>
        <row r="724">
          <cell r="B724">
            <v>45350</v>
          </cell>
          <cell r="Q724" t="str">
            <v xml:space="preserve"> _</v>
          </cell>
          <cell r="AJ724" t="str">
            <v>SIN</v>
          </cell>
        </row>
        <row r="725">
          <cell r="B725">
            <v>45350</v>
          </cell>
          <cell r="Q725" t="str">
            <v xml:space="preserve"> _</v>
          </cell>
          <cell r="AJ725" t="str">
            <v>SIN</v>
          </cell>
        </row>
        <row r="726">
          <cell r="B726">
            <v>45350</v>
          </cell>
          <cell r="Q726" t="str">
            <v xml:space="preserve"> _</v>
          </cell>
          <cell r="AJ726" t="str">
            <v>SIN</v>
          </cell>
        </row>
        <row r="727">
          <cell r="B727">
            <v>45350</v>
          </cell>
          <cell r="Q727" t="str">
            <v xml:space="preserve"> _</v>
          </cell>
          <cell r="AJ727" t="str">
            <v>SIN</v>
          </cell>
        </row>
        <row r="728">
          <cell r="B728">
            <v>45350</v>
          </cell>
          <cell r="Q728" t="str">
            <v xml:space="preserve"> _</v>
          </cell>
          <cell r="AJ728" t="str">
            <v>SIN</v>
          </cell>
        </row>
        <row r="729">
          <cell r="B729">
            <v>45350</v>
          </cell>
          <cell r="Q729" t="str">
            <v xml:space="preserve"> _</v>
          </cell>
          <cell r="AJ729" t="str">
            <v>SIN</v>
          </cell>
        </row>
        <row r="730">
          <cell r="B730">
            <v>45350</v>
          </cell>
          <cell r="Q730" t="str">
            <v xml:space="preserve"> _</v>
          </cell>
          <cell r="AJ730" t="str">
            <v>SIN</v>
          </cell>
        </row>
        <row r="731">
          <cell r="B731">
            <v>45350</v>
          </cell>
          <cell r="Q731" t="str">
            <v xml:space="preserve"> _</v>
          </cell>
          <cell r="AJ731" t="str">
            <v>SIN</v>
          </cell>
        </row>
        <row r="732">
          <cell r="B732">
            <v>45350</v>
          </cell>
          <cell r="Q732" t="str">
            <v xml:space="preserve"> _</v>
          </cell>
          <cell r="AJ732" t="str">
            <v>SIN</v>
          </cell>
        </row>
        <row r="733">
          <cell r="B733">
            <v>45350</v>
          </cell>
          <cell r="Q733" t="str">
            <v xml:space="preserve"> _</v>
          </cell>
          <cell r="AJ733" t="str">
            <v>SIN</v>
          </cell>
        </row>
        <row r="734">
          <cell r="B734">
            <v>45350</v>
          </cell>
          <cell r="Q734" t="str">
            <v xml:space="preserve"> _</v>
          </cell>
          <cell r="AJ734" t="str">
            <v>SIN</v>
          </cell>
        </row>
        <row r="735">
          <cell r="B735">
            <v>45351</v>
          </cell>
          <cell r="Q735" t="str">
            <v xml:space="preserve"> _</v>
          </cell>
          <cell r="AJ735" t="str">
            <v>SIN</v>
          </cell>
        </row>
        <row r="736">
          <cell r="B736">
            <v>45351</v>
          </cell>
          <cell r="Q736" t="str">
            <v xml:space="preserve"> _</v>
          </cell>
          <cell r="AJ736" t="str">
            <v>SIN</v>
          </cell>
        </row>
        <row r="737">
          <cell r="B737">
            <v>45351</v>
          </cell>
          <cell r="Q737" t="str">
            <v xml:space="preserve"> _</v>
          </cell>
          <cell r="AJ737" t="str">
            <v>SIN</v>
          </cell>
        </row>
        <row r="738">
          <cell r="B738">
            <v>45351</v>
          </cell>
          <cell r="Q738" t="str">
            <v xml:space="preserve"> _</v>
          </cell>
          <cell r="AJ738" t="str">
            <v>SIN</v>
          </cell>
        </row>
        <row r="739">
          <cell r="B739">
            <v>45351</v>
          </cell>
          <cell r="Q739" t="str">
            <v xml:space="preserve"> _</v>
          </cell>
          <cell r="AJ739" t="str">
            <v>SIN</v>
          </cell>
        </row>
        <row r="740">
          <cell r="B740">
            <v>45351</v>
          </cell>
          <cell r="Q740" t="str">
            <v>VERDE</v>
          </cell>
          <cell r="AJ740" t="str">
            <v>SIN</v>
          </cell>
        </row>
        <row r="741">
          <cell r="B741">
            <v>45351</v>
          </cell>
          <cell r="Q741" t="str">
            <v xml:space="preserve"> _</v>
          </cell>
          <cell r="AJ741" t="str">
            <v>SIN</v>
          </cell>
        </row>
        <row r="742">
          <cell r="B742">
            <v>45351</v>
          </cell>
          <cell r="Q742" t="str">
            <v xml:space="preserve"> _</v>
          </cell>
          <cell r="AJ742" t="str">
            <v>SIN</v>
          </cell>
        </row>
        <row r="743">
          <cell r="B743">
            <v>45351</v>
          </cell>
          <cell r="Q743" t="str">
            <v xml:space="preserve"> _</v>
          </cell>
          <cell r="AJ743" t="str">
            <v>SIN</v>
          </cell>
        </row>
        <row r="744">
          <cell r="B744">
            <v>45351</v>
          </cell>
          <cell r="Q744" t="str">
            <v xml:space="preserve"> _</v>
          </cell>
          <cell r="AJ744" t="str">
            <v>SIN</v>
          </cell>
        </row>
        <row r="745">
          <cell r="B745">
            <v>45351</v>
          </cell>
          <cell r="Q745" t="str">
            <v xml:space="preserve"> _</v>
          </cell>
          <cell r="AJ745" t="str">
            <v>SIN</v>
          </cell>
        </row>
        <row r="746">
          <cell r="B746">
            <v>45351</v>
          </cell>
          <cell r="Q746" t="str">
            <v xml:space="preserve"> _</v>
          </cell>
          <cell r="AJ746" t="str">
            <v>SIN</v>
          </cell>
        </row>
        <row r="747">
          <cell r="B747">
            <v>45351</v>
          </cell>
          <cell r="Q747" t="str">
            <v xml:space="preserve"> _</v>
          </cell>
          <cell r="AJ747" t="str">
            <v>SIN</v>
          </cell>
        </row>
        <row r="748">
          <cell r="B748">
            <v>45352</v>
          </cell>
          <cell r="Q748" t="str">
            <v xml:space="preserve"> _</v>
          </cell>
          <cell r="AJ748" t="str">
            <v>SIN</v>
          </cell>
        </row>
        <row r="749">
          <cell r="B749">
            <v>45352</v>
          </cell>
          <cell r="Q749" t="str">
            <v xml:space="preserve"> _</v>
          </cell>
          <cell r="AJ749" t="str">
            <v>SIN</v>
          </cell>
        </row>
        <row r="750">
          <cell r="B750">
            <v>45352</v>
          </cell>
          <cell r="Q750" t="str">
            <v xml:space="preserve"> _</v>
          </cell>
          <cell r="AJ750" t="str">
            <v>PRESO</v>
          </cell>
        </row>
        <row r="751">
          <cell r="B751">
            <v>45352</v>
          </cell>
          <cell r="Q751" t="str">
            <v xml:space="preserve"> _</v>
          </cell>
          <cell r="AJ751" t="str">
            <v>SIN</v>
          </cell>
        </row>
        <row r="752">
          <cell r="B752">
            <v>45352</v>
          </cell>
          <cell r="Q752" t="str">
            <v xml:space="preserve"> _</v>
          </cell>
          <cell r="AJ752" t="str">
            <v>SIN</v>
          </cell>
        </row>
        <row r="753">
          <cell r="B753">
            <v>45355</v>
          </cell>
          <cell r="Q753" t="str">
            <v xml:space="preserve"> _</v>
          </cell>
          <cell r="AJ753" t="str">
            <v>SIN</v>
          </cell>
        </row>
        <row r="754">
          <cell r="B754">
            <v>45355</v>
          </cell>
          <cell r="Q754" t="str">
            <v xml:space="preserve"> _</v>
          </cell>
          <cell r="AJ754" t="str">
            <v>SIN</v>
          </cell>
        </row>
        <row r="755">
          <cell r="B755">
            <v>45356</v>
          </cell>
          <cell r="Q755" t="str">
            <v xml:space="preserve"> _</v>
          </cell>
          <cell r="AJ755" t="str">
            <v>SIN</v>
          </cell>
        </row>
        <row r="756">
          <cell r="B756">
            <v>45356</v>
          </cell>
          <cell r="Q756" t="str">
            <v xml:space="preserve"> _</v>
          </cell>
          <cell r="AJ756" t="str">
            <v>SIN</v>
          </cell>
        </row>
        <row r="757">
          <cell r="B757">
            <v>45356</v>
          </cell>
          <cell r="Q757" t="str">
            <v xml:space="preserve"> _</v>
          </cell>
          <cell r="AJ757" t="str">
            <v>SIN</v>
          </cell>
        </row>
        <row r="758">
          <cell r="B758">
            <v>45356</v>
          </cell>
          <cell r="Q758" t="str">
            <v xml:space="preserve"> _</v>
          </cell>
          <cell r="AJ758" t="str">
            <v>SIN</v>
          </cell>
        </row>
        <row r="759">
          <cell r="B759">
            <v>45356</v>
          </cell>
          <cell r="Q759" t="str">
            <v xml:space="preserve"> _</v>
          </cell>
          <cell r="AJ759" t="str">
            <v>SIN</v>
          </cell>
        </row>
        <row r="760">
          <cell r="B760">
            <v>45356</v>
          </cell>
          <cell r="Q760" t="str">
            <v xml:space="preserve"> _</v>
          </cell>
          <cell r="AJ760" t="str">
            <v>SIN</v>
          </cell>
        </row>
        <row r="761">
          <cell r="B761">
            <v>45356</v>
          </cell>
          <cell r="Q761" t="str">
            <v xml:space="preserve"> _</v>
          </cell>
          <cell r="AJ761" t="str">
            <v>SIN</v>
          </cell>
        </row>
        <row r="762">
          <cell r="B762">
            <v>45356</v>
          </cell>
          <cell r="Q762" t="str">
            <v xml:space="preserve"> _</v>
          </cell>
          <cell r="AJ762" t="str">
            <v>SIN</v>
          </cell>
        </row>
        <row r="763">
          <cell r="B763">
            <v>45356</v>
          </cell>
          <cell r="Q763" t="str">
            <v xml:space="preserve"> _</v>
          </cell>
          <cell r="AJ763" t="str">
            <v>SIN</v>
          </cell>
        </row>
        <row r="764">
          <cell r="B764">
            <v>45356</v>
          </cell>
          <cell r="Q764" t="str">
            <v xml:space="preserve"> _</v>
          </cell>
          <cell r="AJ764" t="str">
            <v>SIN</v>
          </cell>
        </row>
        <row r="765">
          <cell r="B765">
            <v>45356</v>
          </cell>
          <cell r="Q765" t="str">
            <v xml:space="preserve"> _</v>
          </cell>
          <cell r="AJ765" t="str">
            <v>SIN</v>
          </cell>
        </row>
        <row r="766">
          <cell r="B766">
            <v>45357</v>
          </cell>
          <cell r="Q766" t="str">
            <v xml:space="preserve"> _</v>
          </cell>
          <cell r="AJ766" t="str">
            <v>SIN</v>
          </cell>
        </row>
        <row r="767">
          <cell r="B767">
            <v>45357</v>
          </cell>
          <cell r="Q767" t="str">
            <v xml:space="preserve"> _</v>
          </cell>
          <cell r="AJ767" t="str">
            <v>SIN</v>
          </cell>
        </row>
        <row r="768">
          <cell r="B768">
            <v>45357</v>
          </cell>
          <cell r="Q768" t="str">
            <v xml:space="preserve"> _</v>
          </cell>
          <cell r="AJ768" t="str">
            <v>PRESO</v>
          </cell>
        </row>
        <row r="769">
          <cell r="B769">
            <v>45357</v>
          </cell>
          <cell r="H769">
            <v>45406</v>
          </cell>
          <cell r="Q769" t="str">
            <v>ELEVADA A JUICIO</v>
          </cell>
          <cell r="AJ769" t="str">
            <v>PRESO</v>
          </cell>
        </row>
        <row r="770">
          <cell r="B770">
            <v>45357</v>
          </cell>
          <cell r="Q770" t="str">
            <v xml:space="preserve"> _</v>
          </cell>
          <cell r="AJ770" t="str">
            <v>SIN</v>
          </cell>
        </row>
        <row r="771">
          <cell r="B771">
            <v>45357</v>
          </cell>
          <cell r="Q771" t="str">
            <v xml:space="preserve"> _</v>
          </cell>
          <cell r="AJ771" t="str">
            <v>SIN</v>
          </cell>
        </row>
        <row r="772">
          <cell r="B772">
            <v>45357</v>
          </cell>
          <cell r="Q772" t="str">
            <v xml:space="preserve"> _</v>
          </cell>
          <cell r="AJ772" t="str">
            <v>SIN</v>
          </cell>
        </row>
        <row r="773">
          <cell r="B773">
            <v>45357</v>
          </cell>
          <cell r="Q773" t="str">
            <v xml:space="preserve"> _</v>
          </cell>
          <cell r="AJ773" t="str">
            <v>SIN</v>
          </cell>
        </row>
        <row r="774">
          <cell r="B774">
            <v>45357</v>
          </cell>
          <cell r="Q774" t="str">
            <v xml:space="preserve"> _</v>
          </cell>
          <cell r="AJ774" t="str">
            <v>SIN</v>
          </cell>
        </row>
        <row r="775">
          <cell r="B775">
            <v>45357</v>
          </cell>
          <cell r="Q775" t="str">
            <v xml:space="preserve"> _</v>
          </cell>
          <cell r="AJ775" t="str">
            <v>SIN</v>
          </cell>
        </row>
        <row r="776">
          <cell r="B776">
            <v>45357</v>
          </cell>
          <cell r="Q776" t="str">
            <v xml:space="preserve"> _</v>
          </cell>
          <cell r="AJ776" t="str">
            <v>SIN</v>
          </cell>
        </row>
        <row r="777">
          <cell r="B777">
            <v>45357</v>
          </cell>
          <cell r="Q777" t="str">
            <v xml:space="preserve"> _</v>
          </cell>
          <cell r="AJ777" t="str">
            <v>SIN</v>
          </cell>
        </row>
        <row r="778">
          <cell r="B778">
            <v>45357</v>
          </cell>
          <cell r="Q778" t="str">
            <v xml:space="preserve"> _</v>
          </cell>
          <cell r="AJ778" t="str">
            <v>SIN</v>
          </cell>
        </row>
        <row r="779">
          <cell r="B779">
            <v>45357</v>
          </cell>
          <cell r="Q779" t="str">
            <v xml:space="preserve"> _</v>
          </cell>
          <cell r="AJ779" t="str">
            <v>SIN</v>
          </cell>
        </row>
        <row r="780">
          <cell r="B780">
            <v>45357</v>
          </cell>
          <cell r="Q780" t="str">
            <v xml:space="preserve"> _</v>
          </cell>
          <cell r="AJ780" t="str">
            <v>SIN</v>
          </cell>
        </row>
        <row r="781">
          <cell r="B781">
            <v>45357</v>
          </cell>
          <cell r="Q781" t="str">
            <v xml:space="preserve"> _</v>
          </cell>
          <cell r="AJ781" t="str">
            <v>SIN</v>
          </cell>
        </row>
        <row r="782">
          <cell r="B782">
            <v>45357</v>
          </cell>
          <cell r="Q782" t="str">
            <v xml:space="preserve"> _</v>
          </cell>
          <cell r="AJ782" t="str">
            <v>SIN</v>
          </cell>
        </row>
        <row r="783">
          <cell r="B783">
            <v>45357</v>
          </cell>
          <cell r="Q783" t="str">
            <v xml:space="preserve"> _</v>
          </cell>
          <cell r="AJ783" t="str">
            <v>SIN</v>
          </cell>
        </row>
        <row r="784">
          <cell r="B784">
            <v>45357</v>
          </cell>
          <cell r="Q784" t="str">
            <v xml:space="preserve"> _</v>
          </cell>
          <cell r="AJ784" t="str">
            <v>PRESO</v>
          </cell>
        </row>
        <row r="785">
          <cell r="B785">
            <v>45358</v>
          </cell>
          <cell r="Q785" t="str">
            <v xml:space="preserve"> _</v>
          </cell>
          <cell r="AJ785" t="str">
            <v>SIN</v>
          </cell>
        </row>
        <row r="786">
          <cell r="B786">
            <v>45358</v>
          </cell>
          <cell r="Q786" t="str">
            <v xml:space="preserve"> _</v>
          </cell>
          <cell r="AJ786" t="str">
            <v>SIN</v>
          </cell>
        </row>
        <row r="787">
          <cell r="B787">
            <v>45358</v>
          </cell>
          <cell r="Q787" t="str">
            <v xml:space="preserve"> _</v>
          </cell>
          <cell r="AJ787" t="str">
            <v>SIN</v>
          </cell>
        </row>
        <row r="788">
          <cell r="B788">
            <v>45358</v>
          </cell>
          <cell r="Q788" t="str">
            <v xml:space="preserve"> _</v>
          </cell>
          <cell r="AJ788" t="str">
            <v>SIN</v>
          </cell>
        </row>
        <row r="789">
          <cell r="B789">
            <v>45358</v>
          </cell>
          <cell r="Q789" t="str">
            <v xml:space="preserve"> _</v>
          </cell>
          <cell r="AJ789" t="str">
            <v>SIN</v>
          </cell>
        </row>
        <row r="790">
          <cell r="B790">
            <v>45358</v>
          </cell>
          <cell r="Q790" t="str">
            <v xml:space="preserve"> _</v>
          </cell>
          <cell r="AJ790" t="str">
            <v>SIN</v>
          </cell>
        </row>
        <row r="791">
          <cell r="B791">
            <v>45359</v>
          </cell>
          <cell r="Q791" t="str">
            <v xml:space="preserve"> _</v>
          </cell>
          <cell r="AJ791" t="str">
            <v>SIN</v>
          </cell>
        </row>
        <row r="792">
          <cell r="B792">
            <v>45359</v>
          </cell>
          <cell r="Q792" t="str">
            <v xml:space="preserve"> _</v>
          </cell>
          <cell r="AJ792" t="str">
            <v>SIN</v>
          </cell>
        </row>
        <row r="793">
          <cell r="B793">
            <v>45359</v>
          </cell>
          <cell r="Q793" t="str">
            <v xml:space="preserve"> _</v>
          </cell>
          <cell r="AJ793" t="str">
            <v>SIN</v>
          </cell>
        </row>
        <row r="794">
          <cell r="B794">
            <v>45359</v>
          </cell>
          <cell r="Q794" t="str">
            <v xml:space="preserve"> _</v>
          </cell>
          <cell r="AJ794" t="str">
            <v>PRESO</v>
          </cell>
        </row>
        <row r="795">
          <cell r="B795">
            <v>45359</v>
          </cell>
          <cell r="Q795" t="str">
            <v xml:space="preserve"> _</v>
          </cell>
          <cell r="AJ795" t="str">
            <v>SIN</v>
          </cell>
        </row>
        <row r="796">
          <cell r="B796">
            <v>45359</v>
          </cell>
          <cell r="Q796" t="str">
            <v xml:space="preserve"> _</v>
          </cell>
          <cell r="AJ796" t="str">
            <v>SIN</v>
          </cell>
        </row>
        <row r="797">
          <cell r="B797">
            <v>45359</v>
          </cell>
          <cell r="Q797" t="str">
            <v xml:space="preserve"> _</v>
          </cell>
          <cell r="AJ797" t="str">
            <v>SIN</v>
          </cell>
        </row>
        <row r="798">
          <cell r="B798">
            <v>45359</v>
          </cell>
          <cell r="Q798" t="str">
            <v xml:space="preserve"> _</v>
          </cell>
          <cell r="AJ798" t="str">
            <v>SIN</v>
          </cell>
        </row>
        <row r="799">
          <cell r="B799">
            <v>45359</v>
          </cell>
          <cell r="Q799" t="str">
            <v xml:space="preserve"> _</v>
          </cell>
          <cell r="AJ799" t="str">
            <v>SIN</v>
          </cell>
        </row>
        <row r="800">
          <cell r="B800">
            <v>45359</v>
          </cell>
          <cell r="Q800" t="str">
            <v xml:space="preserve"> _</v>
          </cell>
          <cell r="AJ800" t="str">
            <v>SIN</v>
          </cell>
        </row>
        <row r="801">
          <cell r="B801">
            <v>45362</v>
          </cell>
          <cell r="Q801" t="str">
            <v xml:space="preserve"> _</v>
          </cell>
          <cell r="AJ801" t="str">
            <v>SIN</v>
          </cell>
        </row>
        <row r="802">
          <cell r="B802">
            <v>45362</v>
          </cell>
          <cell r="Q802" t="str">
            <v xml:space="preserve"> _</v>
          </cell>
          <cell r="AJ802" t="str">
            <v>SIN</v>
          </cell>
        </row>
        <row r="803">
          <cell r="B803">
            <v>45362</v>
          </cell>
          <cell r="Q803" t="str">
            <v xml:space="preserve"> _</v>
          </cell>
          <cell r="AJ803" t="str">
            <v>SIN</v>
          </cell>
        </row>
        <row r="804">
          <cell r="B804">
            <v>45363</v>
          </cell>
          <cell r="Q804" t="str">
            <v xml:space="preserve"> _</v>
          </cell>
          <cell r="AJ804" t="str">
            <v>PRESO</v>
          </cell>
        </row>
        <row r="805">
          <cell r="B805">
            <v>45363</v>
          </cell>
          <cell r="Q805" t="str">
            <v xml:space="preserve"> _</v>
          </cell>
          <cell r="AJ805" t="str">
            <v>SIN</v>
          </cell>
        </row>
        <row r="806">
          <cell r="B806">
            <v>45363</v>
          </cell>
          <cell r="Q806" t="str">
            <v xml:space="preserve"> _</v>
          </cell>
          <cell r="AJ806" t="str">
            <v>SIN</v>
          </cell>
        </row>
        <row r="807">
          <cell r="B807">
            <v>45363</v>
          </cell>
          <cell r="Q807" t="str">
            <v xml:space="preserve"> _</v>
          </cell>
          <cell r="AJ807" t="str">
            <v>SIN</v>
          </cell>
        </row>
        <row r="808">
          <cell r="B808">
            <v>45363</v>
          </cell>
          <cell r="Q808" t="str">
            <v xml:space="preserve"> _</v>
          </cell>
          <cell r="AJ808" t="str">
            <v>SIN</v>
          </cell>
        </row>
        <row r="809">
          <cell r="B809">
            <v>45363</v>
          </cell>
          <cell r="Q809" t="str">
            <v xml:space="preserve"> _</v>
          </cell>
          <cell r="AJ809" t="str">
            <v>SIN</v>
          </cell>
        </row>
        <row r="810">
          <cell r="B810">
            <v>45364</v>
          </cell>
          <cell r="Q810" t="str">
            <v xml:space="preserve"> _</v>
          </cell>
          <cell r="AJ810" t="str">
            <v>SIN</v>
          </cell>
        </row>
        <row r="811">
          <cell r="B811">
            <v>45364</v>
          </cell>
          <cell r="Q811" t="str">
            <v xml:space="preserve"> _</v>
          </cell>
          <cell r="AJ811" t="str">
            <v>SIN</v>
          </cell>
        </row>
        <row r="812">
          <cell r="B812">
            <v>45365</v>
          </cell>
          <cell r="Q812" t="str">
            <v xml:space="preserve"> _</v>
          </cell>
          <cell r="AJ812" t="str">
            <v>SIN</v>
          </cell>
        </row>
        <row r="813">
          <cell r="B813">
            <v>45365</v>
          </cell>
          <cell r="Q813" t="str">
            <v xml:space="preserve"> _</v>
          </cell>
          <cell r="AJ813" t="str">
            <v>SIN</v>
          </cell>
        </row>
        <row r="814">
          <cell r="B814">
            <v>45365</v>
          </cell>
          <cell r="Q814" t="str">
            <v xml:space="preserve"> _</v>
          </cell>
          <cell r="AJ814" t="str">
            <v>SIN</v>
          </cell>
        </row>
        <row r="815">
          <cell r="B815">
            <v>45365</v>
          </cell>
          <cell r="Q815" t="str">
            <v xml:space="preserve"> _</v>
          </cell>
          <cell r="AJ815" t="str">
            <v>SIN</v>
          </cell>
        </row>
        <row r="816">
          <cell r="B816">
            <v>45365</v>
          </cell>
          <cell r="Q816" t="str">
            <v xml:space="preserve"> _</v>
          </cell>
          <cell r="AJ816" t="str">
            <v>SIN</v>
          </cell>
        </row>
        <row r="817">
          <cell r="B817">
            <v>45366</v>
          </cell>
          <cell r="Q817" t="str">
            <v xml:space="preserve"> _</v>
          </cell>
          <cell r="AJ817" t="str">
            <v>SIN</v>
          </cell>
        </row>
        <row r="818">
          <cell r="B818">
            <v>45366</v>
          </cell>
          <cell r="Q818" t="str">
            <v xml:space="preserve"> _</v>
          </cell>
          <cell r="AJ818" t="str">
            <v>SIN</v>
          </cell>
        </row>
        <row r="819">
          <cell r="B819">
            <v>45366</v>
          </cell>
          <cell r="Q819" t="str">
            <v xml:space="preserve"> _</v>
          </cell>
          <cell r="AJ819" t="str">
            <v>SIN</v>
          </cell>
        </row>
        <row r="820">
          <cell r="B820">
            <v>45366</v>
          </cell>
          <cell r="Q820" t="str">
            <v>VERDE</v>
          </cell>
          <cell r="AJ820" t="str">
            <v>SIN</v>
          </cell>
        </row>
        <row r="821">
          <cell r="B821">
            <v>45369</v>
          </cell>
          <cell r="Q821" t="str">
            <v xml:space="preserve"> _</v>
          </cell>
          <cell r="AJ821" t="str">
            <v>SIN</v>
          </cell>
        </row>
        <row r="822">
          <cell r="B822">
            <v>45369</v>
          </cell>
          <cell r="Q822" t="str">
            <v xml:space="preserve"> _</v>
          </cell>
          <cell r="AJ822" t="str">
            <v>SIN</v>
          </cell>
        </row>
        <row r="823">
          <cell r="B823">
            <v>45369</v>
          </cell>
          <cell r="Q823" t="str">
            <v xml:space="preserve"> _</v>
          </cell>
          <cell r="AJ823" t="str">
            <v>SIN</v>
          </cell>
        </row>
        <row r="824">
          <cell r="B824">
            <v>45369</v>
          </cell>
          <cell r="Q824" t="str">
            <v xml:space="preserve"> _</v>
          </cell>
          <cell r="AJ824" t="str">
            <v>SIN</v>
          </cell>
        </row>
        <row r="825">
          <cell r="B825">
            <v>45370</v>
          </cell>
          <cell r="Q825" t="str">
            <v>VERDE</v>
          </cell>
          <cell r="AJ825" t="str">
            <v>SIN</v>
          </cell>
        </row>
        <row r="826">
          <cell r="B826">
            <v>45370</v>
          </cell>
          <cell r="Q826" t="str">
            <v xml:space="preserve"> _</v>
          </cell>
          <cell r="AJ826" t="str">
            <v>PRESO</v>
          </cell>
        </row>
        <row r="827">
          <cell r="B827">
            <v>45370</v>
          </cell>
          <cell r="Q827" t="str">
            <v>DEVUELTA AL JUZGADO DE ORIGEN</v>
          </cell>
          <cell r="AJ827" t="str">
            <v>SIN</v>
          </cell>
        </row>
        <row r="828">
          <cell r="B828">
            <v>45370</v>
          </cell>
          <cell r="Q828" t="str">
            <v xml:space="preserve"> _</v>
          </cell>
          <cell r="AJ828" t="str">
            <v>SIN</v>
          </cell>
        </row>
        <row r="829">
          <cell r="B829">
            <v>45370</v>
          </cell>
          <cell r="Q829" t="str">
            <v xml:space="preserve"> _</v>
          </cell>
          <cell r="AJ829" t="str">
            <v>SIN</v>
          </cell>
        </row>
        <row r="830">
          <cell r="B830">
            <v>45370</v>
          </cell>
          <cell r="Q830" t="str">
            <v xml:space="preserve"> _</v>
          </cell>
          <cell r="AJ830" t="str">
            <v>SIN</v>
          </cell>
        </row>
        <row r="831">
          <cell r="B831">
            <v>45370</v>
          </cell>
          <cell r="Q831" t="str">
            <v xml:space="preserve"> _</v>
          </cell>
          <cell r="AJ831" t="str">
            <v>SIN</v>
          </cell>
        </row>
        <row r="832">
          <cell r="B832">
            <v>45371</v>
          </cell>
          <cell r="Q832" t="str">
            <v xml:space="preserve"> _</v>
          </cell>
          <cell r="AJ832" t="str">
            <v>SIN</v>
          </cell>
        </row>
        <row r="833">
          <cell r="B833">
            <v>45371</v>
          </cell>
          <cell r="Q833" t="str">
            <v xml:space="preserve"> _</v>
          </cell>
          <cell r="AJ833" t="str">
            <v>SIN</v>
          </cell>
        </row>
        <row r="834">
          <cell r="B834">
            <v>45371</v>
          </cell>
          <cell r="Q834" t="str">
            <v xml:space="preserve"> _</v>
          </cell>
          <cell r="AJ834" t="str">
            <v>SIN</v>
          </cell>
        </row>
        <row r="835">
          <cell r="B835">
            <v>45371</v>
          </cell>
          <cell r="Q835" t="str">
            <v>VERDE</v>
          </cell>
          <cell r="AJ835" t="str">
            <v>SIN</v>
          </cell>
        </row>
        <row r="836">
          <cell r="B836">
            <v>45371</v>
          </cell>
          <cell r="Q836" t="str">
            <v xml:space="preserve"> _</v>
          </cell>
          <cell r="AJ836" t="str">
            <v>PRESO</v>
          </cell>
        </row>
        <row r="837">
          <cell r="B837">
            <v>45371</v>
          </cell>
          <cell r="Q837" t="str">
            <v xml:space="preserve"> _</v>
          </cell>
          <cell r="AJ837" t="str">
            <v>SIN</v>
          </cell>
        </row>
        <row r="838">
          <cell r="B838">
            <v>45371</v>
          </cell>
          <cell r="Q838" t="str">
            <v xml:space="preserve"> _</v>
          </cell>
          <cell r="AJ838" t="str">
            <v>SIN</v>
          </cell>
        </row>
        <row r="839">
          <cell r="B839">
            <v>45371</v>
          </cell>
          <cell r="Q839" t="str">
            <v xml:space="preserve"> _</v>
          </cell>
          <cell r="AJ839" t="str">
            <v>SIN</v>
          </cell>
        </row>
        <row r="840">
          <cell r="B840">
            <v>45372</v>
          </cell>
          <cell r="Q840" t="str">
            <v xml:space="preserve"> _</v>
          </cell>
          <cell r="AJ840" t="str">
            <v>SIN</v>
          </cell>
        </row>
        <row r="841">
          <cell r="B841">
            <v>45372</v>
          </cell>
          <cell r="Q841" t="str">
            <v xml:space="preserve"> _</v>
          </cell>
          <cell r="AJ841" t="str">
            <v>PRESO</v>
          </cell>
        </row>
        <row r="842">
          <cell r="B842">
            <v>45372</v>
          </cell>
          <cell r="Q842" t="str">
            <v xml:space="preserve"> _</v>
          </cell>
          <cell r="AJ842" t="str">
            <v>SIN</v>
          </cell>
        </row>
        <row r="843">
          <cell r="B843">
            <v>45372</v>
          </cell>
          <cell r="Q843" t="str">
            <v xml:space="preserve"> _</v>
          </cell>
          <cell r="AJ843" t="str">
            <v>PRESO</v>
          </cell>
        </row>
        <row r="844">
          <cell r="B844">
            <v>45372</v>
          </cell>
          <cell r="Q844" t="str">
            <v xml:space="preserve"> _</v>
          </cell>
          <cell r="AJ844" t="str">
            <v>SIN</v>
          </cell>
        </row>
        <row r="845">
          <cell r="B845">
            <v>45373</v>
          </cell>
          <cell r="Q845" t="str">
            <v xml:space="preserve"> _</v>
          </cell>
          <cell r="AJ845" t="str">
            <v>SIN</v>
          </cell>
        </row>
        <row r="846">
          <cell r="B846">
            <v>45373</v>
          </cell>
          <cell r="Q846" t="str">
            <v xml:space="preserve"> _</v>
          </cell>
          <cell r="AJ846" t="str">
            <v>SIN</v>
          </cell>
        </row>
        <row r="847">
          <cell r="B847">
            <v>45373</v>
          </cell>
          <cell r="Q847" t="str">
            <v xml:space="preserve"> _</v>
          </cell>
          <cell r="AJ847" t="str">
            <v>SIN</v>
          </cell>
        </row>
        <row r="848">
          <cell r="B848">
            <v>45373</v>
          </cell>
          <cell r="Q848" t="str">
            <v xml:space="preserve"> _</v>
          </cell>
          <cell r="AJ848" t="str">
            <v>SIN</v>
          </cell>
        </row>
        <row r="849">
          <cell r="B849">
            <v>45373</v>
          </cell>
          <cell r="Q849" t="str">
            <v xml:space="preserve"> _</v>
          </cell>
          <cell r="AJ849" t="str">
            <v>SIN</v>
          </cell>
        </row>
        <row r="850">
          <cell r="B850">
            <v>45373</v>
          </cell>
          <cell r="Q850" t="str">
            <v xml:space="preserve"> _</v>
          </cell>
          <cell r="AJ850" t="str">
            <v>SIN</v>
          </cell>
        </row>
        <row r="851">
          <cell r="B851">
            <v>45373</v>
          </cell>
          <cell r="Q851" t="str">
            <v xml:space="preserve"> _</v>
          </cell>
          <cell r="AJ851" t="str">
            <v>SIN</v>
          </cell>
        </row>
        <row r="852">
          <cell r="B852">
            <v>45376</v>
          </cell>
          <cell r="Q852" t="str">
            <v xml:space="preserve"> _</v>
          </cell>
          <cell r="AJ852" t="str">
            <v>SIN</v>
          </cell>
        </row>
        <row r="853">
          <cell r="B853">
            <v>45376</v>
          </cell>
          <cell r="Q853" t="str">
            <v xml:space="preserve"> _</v>
          </cell>
          <cell r="AJ853" t="str">
            <v>SIN</v>
          </cell>
        </row>
        <row r="854">
          <cell r="B854">
            <v>45376</v>
          </cell>
          <cell r="Q854" t="str">
            <v xml:space="preserve"> _</v>
          </cell>
          <cell r="AJ854" t="str">
            <v>SIN</v>
          </cell>
        </row>
        <row r="855">
          <cell r="B855">
            <v>45376</v>
          </cell>
          <cell r="Q855" t="str">
            <v xml:space="preserve"> _</v>
          </cell>
          <cell r="AJ855" t="str">
            <v>SIN</v>
          </cell>
        </row>
        <row r="856">
          <cell r="B856">
            <v>45376</v>
          </cell>
          <cell r="Q856" t="str">
            <v xml:space="preserve"> _</v>
          </cell>
          <cell r="AJ856" t="str">
            <v>SIN</v>
          </cell>
        </row>
        <row r="857">
          <cell r="B857">
            <v>45376</v>
          </cell>
          <cell r="Q857" t="str">
            <v xml:space="preserve"> _</v>
          </cell>
          <cell r="AJ857" t="str">
            <v>SIN</v>
          </cell>
        </row>
        <row r="858">
          <cell r="B858">
            <v>45376</v>
          </cell>
          <cell r="Q858" t="str">
            <v xml:space="preserve"> _</v>
          </cell>
          <cell r="AJ858" t="str">
            <v>SIN</v>
          </cell>
        </row>
        <row r="859">
          <cell r="B859">
            <v>45376</v>
          </cell>
          <cell r="Q859" t="str">
            <v xml:space="preserve"> _</v>
          </cell>
          <cell r="AJ859" t="str">
            <v>SIN</v>
          </cell>
        </row>
        <row r="860">
          <cell r="B860">
            <v>45376</v>
          </cell>
          <cell r="Q860" t="str">
            <v xml:space="preserve"> _</v>
          </cell>
          <cell r="AJ860" t="str">
            <v>SIN</v>
          </cell>
        </row>
        <row r="861">
          <cell r="B861">
            <v>45377</v>
          </cell>
          <cell r="Q861" t="str">
            <v xml:space="preserve"> _</v>
          </cell>
          <cell r="AJ861" t="str">
            <v>SIN</v>
          </cell>
        </row>
        <row r="862">
          <cell r="B862">
            <v>45377</v>
          </cell>
          <cell r="Q862" t="str">
            <v xml:space="preserve"> _</v>
          </cell>
          <cell r="AJ862" t="str">
            <v>SIN</v>
          </cell>
        </row>
        <row r="863">
          <cell r="B863">
            <v>45377</v>
          </cell>
          <cell r="Q863" t="str">
            <v xml:space="preserve"> _</v>
          </cell>
          <cell r="AJ863" t="str">
            <v>SIN</v>
          </cell>
        </row>
        <row r="864">
          <cell r="B864">
            <v>45377</v>
          </cell>
          <cell r="Q864" t="str">
            <v xml:space="preserve"> _</v>
          </cell>
          <cell r="AJ864" t="str">
            <v>SIN</v>
          </cell>
        </row>
        <row r="865">
          <cell r="B865">
            <v>45377</v>
          </cell>
          <cell r="Q865" t="str">
            <v xml:space="preserve"> _</v>
          </cell>
          <cell r="AJ865" t="str">
            <v>SIN</v>
          </cell>
        </row>
        <row r="866">
          <cell r="B866">
            <v>45377</v>
          </cell>
          <cell r="Q866" t="str">
            <v xml:space="preserve"> _</v>
          </cell>
          <cell r="AJ866" t="str">
            <v>SIN</v>
          </cell>
        </row>
        <row r="867">
          <cell r="B867">
            <v>45378</v>
          </cell>
          <cell r="Q867" t="str">
            <v xml:space="preserve"> _</v>
          </cell>
          <cell r="AJ867" t="str">
            <v>PRESO</v>
          </cell>
        </row>
        <row r="868">
          <cell r="B868">
            <v>45378</v>
          </cell>
          <cell r="Q868" t="str">
            <v xml:space="preserve"> _</v>
          </cell>
          <cell r="AJ868" t="str">
            <v>SIN</v>
          </cell>
        </row>
        <row r="869">
          <cell r="B869">
            <v>45378</v>
          </cell>
          <cell r="Q869" t="str">
            <v xml:space="preserve"> _</v>
          </cell>
          <cell r="AJ869" t="str">
            <v>SIN</v>
          </cell>
        </row>
        <row r="870">
          <cell r="B870">
            <v>45378</v>
          </cell>
          <cell r="Q870" t="str">
            <v xml:space="preserve"> _</v>
          </cell>
          <cell r="AJ870" t="str">
            <v>SIN</v>
          </cell>
        </row>
        <row r="871">
          <cell r="B871">
            <v>45378</v>
          </cell>
          <cell r="Q871" t="str">
            <v xml:space="preserve"> _</v>
          </cell>
          <cell r="AJ871" t="str">
            <v>SIN</v>
          </cell>
        </row>
        <row r="872">
          <cell r="B872">
            <v>45378</v>
          </cell>
          <cell r="Q872" t="str">
            <v xml:space="preserve"> _</v>
          </cell>
          <cell r="AJ872" t="str">
            <v>SIN</v>
          </cell>
        </row>
        <row r="873">
          <cell r="B873">
            <v>45378</v>
          </cell>
          <cell r="Q873" t="str">
            <v xml:space="preserve"> _</v>
          </cell>
          <cell r="AJ873" t="str">
            <v>SIN</v>
          </cell>
        </row>
        <row r="874">
          <cell r="B874">
            <v>45385</v>
          </cell>
          <cell r="Q874" t="str">
            <v xml:space="preserve"> _</v>
          </cell>
          <cell r="AJ874" t="str">
            <v>SIN</v>
          </cell>
        </row>
        <row r="875">
          <cell r="B875">
            <v>45385</v>
          </cell>
          <cell r="Q875" t="str">
            <v xml:space="preserve"> _</v>
          </cell>
          <cell r="AJ875" t="str">
            <v>SIN</v>
          </cell>
        </row>
        <row r="876">
          <cell r="B876">
            <v>45385</v>
          </cell>
          <cell r="Q876" t="str">
            <v xml:space="preserve"> _</v>
          </cell>
          <cell r="AJ876" t="str">
            <v>SIN</v>
          </cell>
        </row>
        <row r="877">
          <cell r="B877">
            <v>45386</v>
          </cell>
          <cell r="Q877" t="str">
            <v xml:space="preserve"> _</v>
          </cell>
          <cell r="AJ877" t="str">
            <v>SIN</v>
          </cell>
        </row>
        <row r="878">
          <cell r="B878">
            <v>45386</v>
          </cell>
          <cell r="Q878" t="str">
            <v xml:space="preserve"> _</v>
          </cell>
          <cell r="AJ878" t="str">
            <v>SIN</v>
          </cell>
        </row>
        <row r="879">
          <cell r="B879">
            <v>45387</v>
          </cell>
          <cell r="Q879" t="str">
            <v xml:space="preserve"> _</v>
          </cell>
          <cell r="AJ879" t="str">
            <v>PRESO</v>
          </cell>
        </row>
        <row r="880">
          <cell r="B880">
            <v>45387</v>
          </cell>
          <cell r="Q880" t="str">
            <v xml:space="preserve"> _</v>
          </cell>
          <cell r="AJ880" t="str">
            <v>PRESO</v>
          </cell>
        </row>
        <row r="881">
          <cell r="B881">
            <v>45387</v>
          </cell>
          <cell r="Q881" t="str">
            <v xml:space="preserve"> _</v>
          </cell>
          <cell r="AJ881" t="str">
            <v>SIN</v>
          </cell>
        </row>
        <row r="882">
          <cell r="B882">
            <v>45387</v>
          </cell>
          <cell r="Q882" t="str">
            <v xml:space="preserve"> _</v>
          </cell>
          <cell r="AJ882" t="str">
            <v>SIN</v>
          </cell>
        </row>
        <row r="883">
          <cell r="B883">
            <v>45387</v>
          </cell>
          <cell r="Q883" t="str">
            <v xml:space="preserve"> _</v>
          </cell>
          <cell r="AJ883" t="str">
            <v>PRESO</v>
          </cell>
        </row>
        <row r="884">
          <cell r="B884">
            <v>45387</v>
          </cell>
          <cell r="Q884" t="str">
            <v xml:space="preserve"> _</v>
          </cell>
          <cell r="AJ884" t="str">
            <v>SIN</v>
          </cell>
        </row>
        <row r="885">
          <cell r="B885">
            <v>45387</v>
          </cell>
          <cell r="Q885" t="str">
            <v xml:space="preserve"> _</v>
          </cell>
          <cell r="AJ885" t="str">
            <v>SIN</v>
          </cell>
        </row>
        <row r="886">
          <cell r="B886">
            <v>45390</v>
          </cell>
          <cell r="Q886" t="str">
            <v xml:space="preserve"> _</v>
          </cell>
          <cell r="AJ886" t="str">
            <v>SIN</v>
          </cell>
        </row>
        <row r="887">
          <cell r="B887">
            <v>45390</v>
          </cell>
          <cell r="Q887" t="str">
            <v xml:space="preserve"> _</v>
          </cell>
          <cell r="AJ887" t="str">
            <v>SIN</v>
          </cell>
        </row>
        <row r="888">
          <cell r="B888">
            <v>45390</v>
          </cell>
          <cell r="Q888" t="str">
            <v xml:space="preserve"> _</v>
          </cell>
          <cell r="AJ888" t="str">
            <v>PRESO</v>
          </cell>
        </row>
        <row r="889">
          <cell r="B889">
            <v>45390</v>
          </cell>
          <cell r="Q889" t="str">
            <v xml:space="preserve"> _</v>
          </cell>
          <cell r="AJ889" t="str">
            <v>SIN</v>
          </cell>
        </row>
        <row r="890">
          <cell r="B890">
            <v>45390</v>
          </cell>
          <cell r="Q890" t="str">
            <v xml:space="preserve"> _</v>
          </cell>
          <cell r="AJ890" t="str">
            <v>PRESO</v>
          </cell>
        </row>
        <row r="891">
          <cell r="B891">
            <v>45390</v>
          </cell>
          <cell r="Q891" t="str">
            <v xml:space="preserve"> _</v>
          </cell>
          <cell r="AJ891" t="str">
            <v>SIN</v>
          </cell>
        </row>
        <row r="892">
          <cell r="B892">
            <v>45390</v>
          </cell>
          <cell r="Q892" t="str">
            <v xml:space="preserve"> _</v>
          </cell>
          <cell r="AJ892" t="str">
            <v>SIN</v>
          </cell>
        </row>
        <row r="893">
          <cell r="B893">
            <v>45390</v>
          </cell>
          <cell r="Q893" t="str">
            <v xml:space="preserve"> _</v>
          </cell>
          <cell r="AJ893" t="str">
            <v>PRESO</v>
          </cell>
        </row>
        <row r="894">
          <cell r="B894">
            <v>45390</v>
          </cell>
          <cell r="Q894" t="str">
            <v xml:space="preserve"> _</v>
          </cell>
          <cell r="AJ894" t="str">
            <v>SIN</v>
          </cell>
        </row>
        <row r="895">
          <cell r="B895">
            <v>45390</v>
          </cell>
          <cell r="Q895" t="str">
            <v xml:space="preserve"> _</v>
          </cell>
          <cell r="AJ895" t="str">
            <v>SIN</v>
          </cell>
        </row>
        <row r="896">
          <cell r="B896">
            <v>45390</v>
          </cell>
          <cell r="Q896" t="str">
            <v xml:space="preserve"> _</v>
          </cell>
          <cell r="AJ896" t="str">
            <v>SIN</v>
          </cell>
        </row>
        <row r="897">
          <cell r="B897">
            <v>45390</v>
          </cell>
          <cell r="Q897" t="str">
            <v xml:space="preserve"> _</v>
          </cell>
          <cell r="AJ897" t="str">
            <v>SIN</v>
          </cell>
        </row>
        <row r="898">
          <cell r="B898">
            <v>45390</v>
          </cell>
          <cell r="Q898" t="str">
            <v xml:space="preserve"> _</v>
          </cell>
          <cell r="AJ898" t="str">
            <v>SIN</v>
          </cell>
        </row>
        <row r="899">
          <cell r="B899">
            <v>45391</v>
          </cell>
          <cell r="Q899" t="str">
            <v xml:space="preserve"> _</v>
          </cell>
          <cell r="AJ899" t="str">
            <v>SIN</v>
          </cell>
        </row>
        <row r="900">
          <cell r="B900">
            <v>45391</v>
          </cell>
          <cell r="Q900" t="str">
            <v xml:space="preserve"> _</v>
          </cell>
          <cell r="AJ900" t="str">
            <v>SIN</v>
          </cell>
        </row>
        <row r="901">
          <cell r="B901">
            <v>45391</v>
          </cell>
          <cell r="Q901" t="str">
            <v xml:space="preserve"> _</v>
          </cell>
          <cell r="AJ901" t="str">
            <v>PRESO</v>
          </cell>
        </row>
        <row r="902">
          <cell r="B902">
            <v>45391</v>
          </cell>
          <cell r="Q902" t="str">
            <v xml:space="preserve"> _</v>
          </cell>
          <cell r="AJ902" t="str">
            <v>SIN</v>
          </cell>
        </row>
        <row r="903">
          <cell r="B903">
            <v>45392</v>
          </cell>
          <cell r="Q903" t="str">
            <v xml:space="preserve"> _</v>
          </cell>
          <cell r="AJ903" t="str">
            <v>SIN</v>
          </cell>
        </row>
        <row r="904">
          <cell r="B904">
            <v>45392</v>
          </cell>
          <cell r="Q904" t="str">
            <v xml:space="preserve"> _</v>
          </cell>
          <cell r="AJ904" t="str">
            <v>SIN</v>
          </cell>
        </row>
        <row r="905">
          <cell r="B905">
            <v>45392</v>
          </cell>
          <cell r="Q905" t="str">
            <v xml:space="preserve"> _</v>
          </cell>
          <cell r="AJ905" t="str">
            <v>SIN</v>
          </cell>
        </row>
        <row r="906">
          <cell r="B906">
            <v>45392</v>
          </cell>
          <cell r="Q906" t="str">
            <v xml:space="preserve"> _</v>
          </cell>
          <cell r="AJ906" t="str">
            <v>SIN</v>
          </cell>
        </row>
        <row r="907">
          <cell r="B907">
            <v>45392</v>
          </cell>
          <cell r="Q907" t="str">
            <v xml:space="preserve"> _</v>
          </cell>
          <cell r="AJ907" t="str">
            <v>SIN</v>
          </cell>
        </row>
        <row r="908">
          <cell r="B908">
            <v>45392</v>
          </cell>
          <cell r="Q908" t="str">
            <v xml:space="preserve"> _</v>
          </cell>
          <cell r="AJ908" t="str">
            <v>SIN</v>
          </cell>
        </row>
        <row r="909">
          <cell r="B909">
            <v>45392</v>
          </cell>
          <cell r="Q909" t="str">
            <v xml:space="preserve"> _</v>
          </cell>
          <cell r="AJ909" t="str">
            <v>SIN</v>
          </cell>
        </row>
        <row r="910">
          <cell r="B910">
            <v>45392</v>
          </cell>
          <cell r="Q910" t="str">
            <v xml:space="preserve"> _</v>
          </cell>
          <cell r="AJ910" t="str">
            <v>PRESO</v>
          </cell>
        </row>
        <row r="911">
          <cell r="B911">
            <v>45392</v>
          </cell>
          <cell r="Q911" t="str">
            <v xml:space="preserve"> _</v>
          </cell>
          <cell r="AJ911" t="str">
            <v>SIN</v>
          </cell>
        </row>
        <row r="912">
          <cell r="B912">
            <v>45393</v>
          </cell>
          <cell r="Q912" t="str">
            <v xml:space="preserve"> _</v>
          </cell>
          <cell r="AJ912" t="str">
            <v>SIN</v>
          </cell>
        </row>
        <row r="913">
          <cell r="B913">
            <v>45393</v>
          </cell>
          <cell r="Q913" t="str">
            <v xml:space="preserve"> _</v>
          </cell>
          <cell r="AJ913" t="str">
            <v>SIN</v>
          </cell>
        </row>
        <row r="914">
          <cell r="B914">
            <v>45393</v>
          </cell>
          <cell r="Q914" t="str">
            <v xml:space="preserve"> _</v>
          </cell>
          <cell r="AJ914" t="str">
            <v>SIN</v>
          </cell>
        </row>
        <row r="915">
          <cell r="B915">
            <v>45393</v>
          </cell>
          <cell r="Q915" t="str">
            <v xml:space="preserve"> _</v>
          </cell>
          <cell r="AJ915" t="str">
            <v>SIN</v>
          </cell>
        </row>
        <row r="916">
          <cell r="B916">
            <v>45393</v>
          </cell>
          <cell r="Q916" t="str">
            <v xml:space="preserve"> _</v>
          </cell>
          <cell r="AJ916" t="str">
            <v>SIN</v>
          </cell>
        </row>
        <row r="917">
          <cell r="B917">
            <v>45393</v>
          </cell>
          <cell r="Q917" t="str">
            <v xml:space="preserve"> _</v>
          </cell>
          <cell r="AJ917" t="str">
            <v>PRESO</v>
          </cell>
        </row>
        <row r="918">
          <cell r="B918">
            <v>45394</v>
          </cell>
          <cell r="Q918" t="str">
            <v xml:space="preserve"> _</v>
          </cell>
          <cell r="AJ918" t="str">
            <v>PRESO</v>
          </cell>
        </row>
        <row r="919">
          <cell r="B919">
            <v>45394</v>
          </cell>
          <cell r="Q919" t="str">
            <v xml:space="preserve"> _</v>
          </cell>
          <cell r="AJ919" t="str">
            <v>SIN</v>
          </cell>
        </row>
        <row r="920">
          <cell r="B920">
            <v>45394</v>
          </cell>
          <cell r="Q920" t="str">
            <v xml:space="preserve"> _</v>
          </cell>
          <cell r="AJ920" t="str">
            <v>PRESO</v>
          </cell>
        </row>
        <row r="921">
          <cell r="B921">
            <v>45394</v>
          </cell>
          <cell r="Q921" t="str">
            <v xml:space="preserve"> _</v>
          </cell>
          <cell r="AJ921" t="str">
            <v>PRESO</v>
          </cell>
        </row>
        <row r="922">
          <cell r="B922">
            <v>45394</v>
          </cell>
          <cell r="Q922" t="str">
            <v xml:space="preserve"> _</v>
          </cell>
          <cell r="AJ922" t="str">
            <v>SIN</v>
          </cell>
        </row>
        <row r="923">
          <cell r="B923">
            <v>45394</v>
          </cell>
          <cell r="Q923" t="str">
            <v xml:space="preserve"> _</v>
          </cell>
          <cell r="AJ923" t="str">
            <v>SIN</v>
          </cell>
        </row>
        <row r="924">
          <cell r="B924">
            <v>45394</v>
          </cell>
          <cell r="Q924" t="str">
            <v>CON PROYECTO DE ELEVACION AL JUZGADO DE ORIGEN</v>
          </cell>
          <cell r="AJ924" t="str">
            <v>SIN</v>
          </cell>
        </row>
        <row r="925">
          <cell r="B925">
            <v>45397</v>
          </cell>
          <cell r="H925">
            <v>45407</v>
          </cell>
          <cell r="Q925" t="str">
            <v>ELEVADA A JUICIO</v>
          </cell>
          <cell r="AJ925" t="str">
            <v>PRESO</v>
          </cell>
        </row>
        <row r="926">
          <cell r="B926">
            <v>45397</v>
          </cell>
          <cell r="Q926" t="str">
            <v xml:space="preserve"> _</v>
          </cell>
          <cell r="AJ926" t="str">
            <v>SIN</v>
          </cell>
        </row>
        <row r="927">
          <cell r="B927">
            <v>45397</v>
          </cell>
          <cell r="Q927" t="str">
            <v xml:space="preserve"> _</v>
          </cell>
          <cell r="AJ927" t="str">
            <v>SIN</v>
          </cell>
        </row>
        <row r="928">
          <cell r="B928">
            <v>45398</v>
          </cell>
          <cell r="Q928" t="str">
            <v xml:space="preserve"> _</v>
          </cell>
          <cell r="AJ928" t="str">
            <v>SIN</v>
          </cell>
        </row>
        <row r="929">
          <cell r="B929">
            <v>45398</v>
          </cell>
          <cell r="Q929" t="str">
            <v xml:space="preserve"> _</v>
          </cell>
          <cell r="AJ929" t="str">
            <v>SIN</v>
          </cell>
        </row>
        <row r="930">
          <cell r="B930">
            <v>45398</v>
          </cell>
          <cell r="Q930" t="str">
            <v xml:space="preserve"> _</v>
          </cell>
          <cell r="AJ930" t="str">
            <v>SIN</v>
          </cell>
        </row>
        <row r="931">
          <cell r="B931">
            <v>45399</v>
          </cell>
          <cell r="Q931" t="str">
            <v xml:space="preserve"> _</v>
          </cell>
          <cell r="AJ931" t="str">
            <v>SIN</v>
          </cell>
        </row>
        <row r="932">
          <cell r="B932">
            <v>45399</v>
          </cell>
          <cell r="Q932" t="str">
            <v xml:space="preserve"> _</v>
          </cell>
          <cell r="AJ932" t="str">
            <v>SIN</v>
          </cell>
        </row>
        <row r="933">
          <cell r="B933">
            <v>45399</v>
          </cell>
          <cell r="Q933" t="str">
            <v xml:space="preserve"> _</v>
          </cell>
          <cell r="AJ933" t="str">
            <v>SIN</v>
          </cell>
        </row>
        <row r="934">
          <cell r="B934">
            <v>45399</v>
          </cell>
          <cell r="Q934" t="str">
            <v xml:space="preserve"> _</v>
          </cell>
          <cell r="AJ934" t="str">
            <v>SIN</v>
          </cell>
        </row>
        <row r="935">
          <cell r="B935">
            <v>45399</v>
          </cell>
          <cell r="Q935" t="str">
            <v xml:space="preserve"> _</v>
          </cell>
          <cell r="AJ935" t="str">
            <v>SIN</v>
          </cell>
        </row>
        <row r="936">
          <cell r="B936">
            <v>45399</v>
          </cell>
          <cell r="Q936" t="str">
            <v xml:space="preserve"> _</v>
          </cell>
          <cell r="AJ936" t="str">
            <v>SIN</v>
          </cell>
        </row>
        <row r="937">
          <cell r="B937">
            <v>45399</v>
          </cell>
          <cell r="Q937" t="str">
            <v xml:space="preserve"> _</v>
          </cell>
          <cell r="AJ937" t="str">
            <v>SIN</v>
          </cell>
        </row>
        <row r="938">
          <cell r="B938">
            <v>45399</v>
          </cell>
          <cell r="Q938" t="str">
            <v xml:space="preserve"> _</v>
          </cell>
          <cell r="AJ938" t="str">
            <v>SIN</v>
          </cell>
        </row>
        <row r="939">
          <cell r="B939">
            <v>45399</v>
          </cell>
          <cell r="Q939" t="str">
            <v xml:space="preserve"> _</v>
          </cell>
          <cell r="AJ939" t="str">
            <v>SIN</v>
          </cell>
        </row>
        <row r="940">
          <cell r="B940">
            <v>45399</v>
          </cell>
          <cell r="Q940" t="str">
            <v xml:space="preserve"> _</v>
          </cell>
          <cell r="AJ940" t="str">
            <v>SIN</v>
          </cell>
        </row>
        <row r="941">
          <cell r="B941">
            <v>45399</v>
          </cell>
          <cell r="Q941" t="str">
            <v xml:space="preserve"> _</v>
          </cell>
          <cell r="AJ941" t="str">
            <v>PRESO</v>
          </cell>
        </row>
        <row r="942">
          <cell r="B942">
            <v>45399</v>
          </cell>
          <cell r="Q942" t="str">
            <v xml:space="preserve"> _</v>
          </cell>
          <cell r="AJ942" t="str">
            <v>SIN</v>
          </cell>
        </row>
        <row r="943">
          <cell r="B943">
            <v>45399</v>
          </cell>
          <cell r="Q943" t="str">
            <v xml:space="preserve"> _</v>
          </cell>
          <cell r="AJ943" t="str">
            <v>SIN</v>
          </cell>
        </row>
        <row r="944">
          <cell r="B944">
            <v>45399</v>
          </cell>
          <cell r="Q944" t="str">
            <v xml:space="preserve"> _</v>
          </cell>
          <cell r="AJ944" t="str">
            <v>SIN</v>
          </cell>
        </row>
        <row r="945">
          <cell r="B945">
            <v>45399</v>
          </cell>
          <cell r="Q945" t="str">
            <v xml:space="preserve"> _</v>
          </cell>
          <cell r="AJ945" t="str">
            <v>SIN</v>
          </cell>
        </row>
        <row r="946">
          <cell r="B946">
            <v>45400</v>
          </cell>
          <cell r="Q946" t="str">
            <v xml:space="preserve"> _</v>
          </cell>
          <cell r="AJ946" t="str">
            <v>SIN</v>
          </cell>
        </row>
        <row r="947">
          <cell r="B947">
            <v>45400</v>
          </cell>
          <cell r="Q947" t="str">
            <v xml:space="preserve"> _</v>
          </cell>
          <cell r="AJ947" t="str">
            <v>SIN</v>
          </cell>
        </row>
        <row r="948">
          <cell r="B948">
            <v>45400</v>
          </cell>
          <cell r="Q948" t="str">
            <v xml:space="preserve"> _</v>
          </cell>
          <cell r="AJ948" t="str">
            <v>SIN</v>
          </cell>
        </row>
        <row r="949">
          <cell r="B949">
            <v>45400</v>
          </cell>
          <cell r="Q949" t="str">
            <v xml:space="preserve"> _</v>
          </cell>
          <cell r="AJ949" t="str">
            <v>SIN</v>
          </cell>
        </row>
        <row r="950">
          <cell r="B950">
            <v>45400</v>
          </cell>
          <cell r="Q950" t="str">
            <v xml:space="preserve"> _</v>
          </cell>
          <cell r="AJ950" t="str">
            <v>SIN</v>
          </cell>
        </row>
        <row r="951">
          <cell r="B951">
            <v>45400</v>
          </cell>
          <cell r="Q951" t="str">
            <v xml:space="preserve"> _</v>
          </cell>
          <cell r="AJ951" t="str">
            <v>SIN</v>
          </cell>
        </row>
        <row r="952">
          <cell r="B952">
            <v>45400</v>
          </cell>
          <cell r="Q952" t="str">
            <v xml:space="preserve"> _</v>
          </cell>
          <cell r="AJ952" t="str">
            <v>SIN</v>
          </cell>
        </row>
        <row r="953">
          <cell r="B953">
            <v>45400</v>
          </cell>
          <cell r="Q953" t="str">
            <v xml:space="preserve"> _</v>
          </cell>
          <cell r="AJ953" t="str">
            <v>SIN</v>
          </cell>
        </row>
        <row r="954">
          <cell r="B954">
            <v>45401</v>
          </cell>
          <cell r="Q954" t="str">
            <v xml:space="preserve"> _</v>
          </cell>
          <cell r="AJ954" t="str">
            <v>PRESO</v>
          </cell>
        </row>
        <row r="955">
          <cell r="B955">
            <v>45401</v>
          </cell>
          <cell r="Q955" t="str">
            <v xml:space="preserve"> _</v>
          </cell>
          <cell r="AJ955" t="str">
            <v>SIN</v>
          </cell>
        </row>
        <row r="956">
          <cell r="B956">
            <v>45401</v>
          </cell>
          <cell r="Q956" t="str">
            <v xml:space="preserve"> _</v>
          </cell>
          <cell r="AJ956" t="str">
            <v>SIN</v>
          </cell>
        </row>
        <row r="957">
          <cell r="B957">
            <v>45401</v>
          </cell>
          <cell r="Q957" t="str">
            <v xml:space="preserve"> _</v>
          </cell>
          <cell r="AJ957" t="str">
            <v>SIN</v>
          </cell>
        </row>
        <row r="958">
          <cell r="B958">
            <v>45401</v>
          </cell>
          <cell r="Q958" t="str">
            <v xml:space="preserve"> _</v>
          </cell>
          <cell r="AJ958" t="str">
            <v>SIN</v>
          </cell>
        </row>
        <row r="959">
          <cell r="B959">
            <v>45401</v>
          </cell>
          <cell r="Q959" t="str">
            <v>VERDE</v>
          </cell>
          <cell r="AJ959" t="str">
            <v>SIN</v>
          </cell>
        </row>
        <row r="960">
          <cell r="B960">
            <v>45401</v>
          </cell>
          <cell r="Q960" t="str">
            <v xml:space="preserve"> _</v>
          </cell>
          <cell r="AJ960" t="str">
            <v>PRESO</v>
          </cell>
        </row>
        <row r="961">
          <cell r="B961">
            <v>45387</v>
          </cell>
          <cell r="Q961" t="str">
            <v xml:space="preserve"> _</v>
          </cell>
          <cell r="AJ961" t="str">
            <v>PRESO</v>
          </cell>
        </row>
        <row r="962">
          <cell r="B962">
            <v>45401</v>
          </cell>
          <cell r="Q962" t="str">
            <v xml:space="preserve"> _</v>
          </cell>
          <cell r="AJ962" t="str">
            <v>SIN</v>
          </cell>
        </row>
        <row r="963">
          <cell r="B963">
            <v>45401</v>
          </cell>
          <cell r="Q963" t="str">
            <v>VERDE</v>
          </cell>
          <cell r="AJ963" t="str">
            <v>SIN</v>
          </cell>
        </row>
        <row r="964">
          <cell r="B964">
            <v>45401</v>
          </cell>
          <cell r="Q964" t="str">
            <v xml:space="preserve"> _</v>
          </cell>
          <cell r="AJ964" t="str">
            <v>SIN</v>
          </cell>
        </row>
        <row r="965">
          <cell r="B965">
            <v>45401</v>
          </cell>
          <cell r="Q965" t="str">
            <v xml:space="preserve"> _</v>
          </cell>
          <cell r="AJ965" t="str">
            <v>SIN</v>
          </cell>
        </row>
        <row r="966">
          <cell r="B966">
            <v>45404</v>
          </cell>
          <cell r="Q966" t="str">
            <v xml:space="preserve"> _</v>
          </cell>
          <cell r="AJ966" t="str">
            <v>SIN</v>
          </cell>
        </row>
        <row r="967">
          <cell r="B967">
            <v>45388</v>
          </cell>
          <cell r="Q967" t="str">
            <v xml:space="preserve"> _</v>
          </cell>
          <cell r="AJ967" t="str">
            <v>SIN</v>
          </cell>
        </row>
        <row r="968">
          <cell r="B968">
            <v>45388</v>
          </cell>
          <cell r="Q968" t="str">
            <v xml:space="preserve"> _</v>
          </cell>
          <cell r="AJ968" t="str">
            <v>SIN</v>
          </cell>
        </row>
        <row r="969">
          <cell r="B969">
            <v>45244</v>
          </cell>
          <cell r="Q969" t="str">
            <v xml:space="preserve"> _</v>
          </cell>
          <cell r="AJ969" t="str">
            <v>SIN</v>
          </cell>
        </row>
        <row r="970">
          <cell r="B970">
            <v>45404</v>
          </cell>
          <cell r="Q970" t="str">
            <v xml:space="preserve"> _</v>
          </cell>
          <cell r="AJ970" t="str">
            <v>SIN</v>
          </cell>
        </row>
        <row r="971">
          <cell r="B971">
            <v>45404</v>
          </cell>
          <cell r="Q971" t="str">
            <v xml:space="preserve"> _</v>
          </cell>
          <cell r="AJ971" t="str">
            <v>SIN</v>
          </cell>
        </row>
        <row r="972">
          <cell r="B972">
            <v>45404</v>
          </cell>
          <cell r="Q972" t="str">
            <v xml:space="preserve"> _</v>
          </cell>
          <cell r="AJ972" t="str">
            <v>SIN</v>
          </cell>
        </row>
        <row r="973">
          <cell r="B973">
            <v>45404</v>
          </cell>
          <cell r="Q973" t="str">
            <v>VERDE</v>
          </cell>
          <cell r="AJ973" t="str">
            <v>SIN</v>
          </cell>
        </row>
        <row r="974">
          <cell r="B974">
            <v>45404</v>
          </cell>
          <cell r="Q974" t="str">
            <v xml:space="preserve"> _</v>
          </cell>
          <cell r="AJ974" t="str">
            <v>SIN</v>
          </cell>
        </row>
        <row r="975">
          <cell r="B975">
            <v>45404</v>
          </cell>
          <cell r="Q975" t="str">
            <v xml:space="preserve"> _</v>
          </cell>
          <cell r="AJ975" t="str">
            <v>SIN</v>
          </cell>
        </row>
        <row r="976">
          <cell r="B976">
            <v>45405</v>
          </cell>
          <cell r="Q976" t="str">
            <v xml:space="preserve"> _</v>
          </cell>
          <cell r="AJ976" t="str">
            <v>SIN</v>
          </cell>
        </row>
        <row r="977">
          <cell r="B977">
            <v>45405</v>
          </cell>
          <cell r="Q977" t="str">
            <v xml:space="preserve"> _</v>
          </cell>
          <cell r="AJ977" t="str">
            <v>SIN</v>
          </cell>
        </row>
        <row r="978">
          <cell r="B978">
            <v>45405</v>
          </cell>
          <cell r="Q978" t="str">
            <v xml:space="preserve"> _</v>
          </cell>
          <cell r="AJ978" t="str">
            <v>SIN</v>
          </cell>
        </row>
        <row r="979">
          <cell r="B979">
            <v>45405</v>
          </cell>
          <cell r="Q979" t="str">
            <v xml:space="preserve"> _</v>
          </cell>
          <cell r="AJ979" t="str">
            <v>SIN</v>
          </cell>
        </row>
        <row r="980">
          <cell r="B980">
            <v>45405</v>
          </cell>
          <cell r="Q980" t="str">
            <v xml:space="preserve"> _</v>
          </cell>
          <cell r="AJ980" t="str">
            <v>SIN</v>
          </cell>
        </row>
        <row r="981">
          <cell r="B981">
            <v>45405</v>
          </cell>
          <cell r="Q981" t="str">
            <v xml:space="preserve"> _</v>
          </cell>
          <cell r="AJ981" t="str">
            <v>SIN</v>
          </cell>
        </row>
        <row r="982">
          <cell r="B982">
            <v>45405</v>
          </cell>
          <cell r="Q982" t="str">
            <v xml:space="preserve"> _</v>
          </cell>
          <cell r="AJ982" t="str">
            <v>PRESO</v>
          </cell>
        </row>
        <row r="983">
          <cell r="B983">
            <v>45405</v>
          </cell>
          <cell r="Q983" t="str">
            <v xml:space="preserve"> _</v>
          </cell>
          <cell r="AJ983" t="str">
            <v>SIN</v>
          </cell>
        </row>
        <row r="984">
          <cell r="B984">
            <v>45405</v>
          </cell>
          <cell r="Q984" t="str">
            <v xml:space="preserve"> _</v>
          </cell>
          <cell r="AJ984" t="str">
            <v>SIN</v>
          </cell>
        </row>
        <row r="985">
          <cell r="B985">
            <v>45405</v>
          </cell>
          <cell r="Q985" t="str">
            <v xml:space="preserve"> _</v>
          </cell>
          <cell r="AJ985" t="str">
            <v>SIN</v>
          </cell>
        </row>
        <row r="986">
          <cell r="B986">
            <v>45405</v>
          </cell>
          <cell r="Q986" t="str">
            <v xml:space="preserve"> _</v>
          </cell>
          <cell r="AJ986" t="str">
            <v>PRESO</v>
          </cell>
        </row>
        <row r="987">
          <cell r="B987">
            <v>45405</v>
          </cell>
          <cell r="Q987" t="str">
            <v xml:space="preserve"> _</v>
          </cell>
          <cell r="AJ987" t="str">
            <v>SIN</v>
          </cell>
        </row>
        <row r="988">
          <cell r="B988">
            <v>45406</v>
          </cell>
          <cell r="Q988" t="str">
            <v xml:space="preserve"> _</v>
          </cell>
          <cell r="AJ988" t="str">
            <v>PRESO</v>
          </cell>
        </row>
        <row r="989">
          <cell r="B989">
            <v>45406</v>
          </cell>
          <cell r="Q989" t="str">
            <v>VERDE</v>
          </cell>
          <cell r="AJ989" t="str">
            <v>SIN</v>
          </cell>
        </row>
        <row r="990">
          <cell r="B990">
            <v>45406</v>
          </cell>
          <cell r="Q990" t="str">
            <v xml:space="preserve"> _</v>
          </cell>
          <cell r="AJ990" t="str">
            <v>PRESO</v>
          </cell>
        </row>
        <row r="991">
          <cell r="B991">
            <v>45406</v>
          </cell>
          <cell r="Q991" t="str">
            <v>VERDE</v>
          </cell>
          <cell r="AJ991" t="str">
            <v>SIN</v>
          </cell>
        </row>
        <row r="992">
          <cell r="B992">
            <v>45406</v>
          </cell>
          <cell r="Q992" t="str">
            <v>VERDE</v>
          </cell>
          <cell r="AJ992" t="str">
            <v>SIN</v>
          </cell>
        </row>
        <row r="993">
          <cell r="B993">
            <v>45407</v>
          </cell>
          <cell r="Q993" t="str">
            <v>VERDE</v>
          </cell>
          <cell r="AJ993" t="str">
            <v>SIN</v>
          </cell>
        </row>
        <row r="994">
          <cell r="B994">
            <v>45407</v>
          </cell>
          <cell r="Q994" t="str">
            <v xml:space="preserve"> _</v>
          </cell>
          <cell r="AJ994" t="str">
            <v>PRESO</v>
          </cell>
        </row>
        <row r="995">
          <cell r="B995">
            <v>45407</v>
          </cell>
          <cell r="Q995" t="str">
            <v>VERDE</v>
          </cell>
          <cell r="AJ995" t="str">
            <v>SIN</v>
          </cell>
        </row>
        <row r="996">
          <cell r="B996">
            <v>45407</v>
          </cell>
          <cell r="Q996" t="str">
            <v>VERDE</v>
          </cell>
          <cell r="AJ996" t="str">
            <v>SIN</v>
          </cell>
        </row>
        <row r="997">
          <cell r="B997">
            <v>45407</v>
          </cell>
          <cell r="Q997" t="str">
            <v>VERDE</v>
          </cell>
          <cell r="AJ997" t="str">
            <v>SIN</v>
          </cell>
        </row>
        <row r="998">
          <cell r="B998">
            <v>45407</v>
          </cell>
          <cell r="Q998" t="str">
            <v>VERDE</v>
          </cell>
          <cell r="AJ998" t="str">
            <v>SIN</v>
          </cell>
        </row>
        <row r="999">
          <cell r="B999">
            <v>45407</v>
          </cell>
          <cell r="Q999" t="str">
            <v>VERDE</v>
          </cell>
          <cell r="AJ999" t="str">
            <v>SIN</v>
          </cell>
        </row>
      </sheetData>
      <sheetData sheetId="1"/>
      <sheetData sheetId="2"/>
      <sheetData sheetId="3">
        <row r="6">
          <cell r="E6">
            <v>41</v>
          </cell>
          <cell r="F6">
            <v>28</v>
          </cell>
        </row>
        <row r="7">
          <cell r="E7">
            <v>20</v>
          </cell>
          <cell r="F7">
            <v>12</v>
          </cell>
        </row>
        <row r="8">
          <cell r="E8">
            <v>36</v>
          </cell>
          <cell r="F8">
            <v>19</v>
          </cell>
        </row>
        <row r="9">
          <cell r="E9">
            <v>31</v>
          </cell>
          <cell r="F9">
            <v>20</v>
          </cell>
        </row>
        <row r="10">
          <cell r="E10">
            <v>27</v>
          </cell>
          <cell r="F10">
            <v>17</v>
          </cell>
        </row>
        <row r="11">
          <cell r="E11">
            <v>27</v>
          </cell>
          <cell r="F11">
            <v>17</v>
          </cell>
        </row>
        <row r="12">
          <cell r="E12">
            <v>36</v>
          </cell>
          <cell r="F12">
            <v>25</v>
          </cell>
        </row>
        <row r="13">
          <cell r="E13">
            <v>3</v>
          </cell>
          <cell r="F13">
            <v>1</v>
          </cell>
        </row>
        <row r="20">
          <cell r="E20">
            <v>23</v>
          </cell>
          <cell r="F20">
            <v>4</v>
          </cell>
        </row>
        <row r="21">
          <cell r="E21">
            <v>112</v>
          </cell>
          <cell r="F21">
            <v>14</v>
          </cell>
        </row>
        <row r="22">
          <cell r="E22">
            <v>139</v>
          </cell>
          <cell r="F22">
            <v>5</v>
          </cell>
        </row>
        <row r="23">
          <cell r="E23">
            <v>176</v>
          </cell>
          <cell r="F23">
            <v>11</v>
          </cell>
        </row>
        <row r="24">
          <cell r="E24">
            <v>79</v>
          </cell>
          <cell r="F24">
            <v>3</v>
          </cell>
        </row>
        <row r="25">
          <cell r="E25">
            <v>159</v>
          </cell>
          <cell r="F25">
            <v>10</v>
          </cell>
        </row>
        <row r="26">
          <cell r="E26">
            <v>84</v>
          </cell>
          <cell r="F26">
            <v>5</v>
          </cell>
        </row>
        <row r="27">
          <cell r="E27">
            <v>4</v>
          </cell>
          <cell r="F27">
            <v>0</v>
          </cell>
        </row>
      </sheetData>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XPEDIENTES"/>
      <sheetName val="defensores"/>
      <sheetName val="Informe Disponibilidad"/>
      <sheetName val="Graficos Estadisticos"/>
      <sheetName val="Prev. diarias"/>
      <sheetName val="Informe de Gestión"/>
      <sheetName val="Licencias"/>
      <sheetName val="Feria"/>
      <sheetName val="no realizadas"/>
      <sheetName val="Exp por Jueces"/>
      <sheetName val="Informe semana"/>
      <sheetName val="Feriados"/>
      <sheetName val="Exp por Encargado"/>
      <sheetName val="Jueces"/>
      <sheetName val="Internos"/>
      <sheetName val="fiscalias penales"/>
      <sheetName val="Codigos"/>
      <sheetName val="Resultados"/>
      <sheetName val="Observac"/>
      <sheetName val="Horarios VIEJO"/>
      <sheetName val="Tecnicos"/>
      <sheetName val="Exp por Encargado - Alvaro"/>
      <sheetName val="Personal"/>
      <sheetName val="Notificaciones"/>
      <sheetName val="AGENDA"/>
      <sheetName val="AUXAG"/>
    </sheetNames>
    <sheetDataSet>
      <sheetData sheetId="0" refreshError="1"/>
      <sheetData sheetId="1" refreshError="1"/>
      <sheetData sheetId="2" refreshError="1"/>
      <sheetData sheetId="3" refreshError="1"/>
      <sheetData sheetId="4">
        <row r="6">
          <cell r="C6" t="str">
            <v>01/02</v>
          </cell>
        </row>
        <row r="7">
          <cell r="N7" t="str">
            <v>1ra Febr.</v>
          </cell>
        </row>
        <row r="8">
          <cell r="N8" t="str">
            <v>2da Febr.</v>
          </cell>
        </row>
        <row r="9">
          <cell r="N9" t="str">
            <v>1ra Mar.</v>
          </cell>
        </row>
        <row r="10">
          <cell r="N10" t="str">
            <v>2da Mar.</v>
          </cell>
        </row>
        <row r="11">
          <cell r="N11" t="str">
            <v>1ra  Abr.</v>
          </cell>
        </row>
        <row r="12">
          <cell r="N12" t="str">
            <v>2da Abr.</v>
          </cell>
        </row>
        <row r="13">
          <cell r="N13" t="str">
            <v>1ra May.</v>
          </cell>
        </row>
        <row r="14">
          <cell r="N14" t="str">
            <v>2da May.</v>
          </cell>
        </row>
        <row r="15">
          <cell r="N15" t="str">
            <v>1ra. Jun.</v>
          </cell>
        </row>
        <row r="16">
          <cell r="N16" t="str">
            <v>2da Jun.</v>
          </cell>
        </row>
        <row r="17">
          <cell r="N17" t="str">
            <v>1ra Jul.</v>
          </cell>
        </row>
        <row r="18">
          <cell r="N18" t="str">
            <v>2da Jul.</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405.341007175928" createdVersion="3" refreshedVersion="3" minRefreshableVersion="3" recordCount="2039">
  <cacheSource type="worksheet">
    <worksheetSource ref="D2:N2039" sheet="EXPEDIENTES"/>
  </cacheSource>
  <cacheFields count="11">
    <cacheField name="EXPTE" numFmtId="0">
      <sharedItems containsMixedTypes="1" containsNumber="1" containsInteger="1" minValue="1882" maxValue="187666"/>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8">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s v="Dr. Cristian Parada"/>
        <s v="Dra. Villamayor"/>
        <m/>
      </sharedItems>
    </cacheField>
    <cacheField name="FECHA DE AUDIENCIA" numFmtId="0">
      <sharedItems containsNonDate="0" containsDate="1" containsString="0" containsBlank="1" minDate="2023-02-17T00:00:00" maxDate="2024-06-11T00:00:00" count="287">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4T00:00:00"/>
        <d v="2024-02-15T00:00:00"/>
        <d v="2024-02-16T00:00:00"/>
        <d v="2024-02-19T00:00:00"/>
        <d v="2024-02-21T00:00:00"/>
        <d v="2024-02-22T00:00:00"/>
        <d v="2024-02-23T00:00:00"/>
        <d v="2024-02-26T00:00:00"/>
        <d v="2024-02-27T00:00:00"/>
        <d v="2024-02-28T00:00:00"/>
        <d v="2024-02-29T00:00:00"/>
        <d v="2024-03-01T00:00:00"/>
        <d v="2024-03-04T00:00:00"/>
        <d v="2024-03-05T00:00:00"/>
        <d v="2024-03-06T00:00:00"/>
        <d v="2024-03-07T00:00:00"/>
        <d v="2024-03-08T00:00:00"/>
        <d v="2024-03-11T00:00:00"/>
        <d v="2024-03-12T00:00:00"/>
        <d v="2024-03-13T00:00:00"/>
        <d v="2024-03-14T00:00:00"/>
        <d v="2024-03-15T00:00:00"/>
        <d v="2024-03-18T00:00:00"/>
        <d v="2024-03-19T00:00:00"/>
        <d v="2024-03-20T00:00:00"/>
        <d v="2024-03-21T00:00:00"/>
        <d v="2024-03-22T00:00:00"/>
        <d v="2024-03-25T00:00:00"/>
        <d v="2024-03-26T00:00:00"/>
        <d v="2024-03-27T00:00:00"/>
        <d v="2024-04-03T00:00:00"/>
        <d v="2024-04-04T00:00:00"/>
        <d v="2024-04-05T00:00:00"/>
        <d v="2024-04-08T00:00:00"/>
        <d v="2024-04-09T00:00:00"/>
        <d v="2024-04-10T00:00:00"/>
        <d v="2024-04-11T00:00:00"/>
        <d v="2024-04-12T00:00:00"/>
        <d v="2024-04-15T00:00:00"/>
        <d v="2024-04-16T00:00:00"/>
        <d v="2024-04-17T00:00:00"/>
        <d v="2024-04-18T00:00:00"/>
        <d v="2024-04-19T00:00:00"/>
        <d v="2024-04-22T00:00:00"/>
        <d v="2024-04-23T00:00:00"/>
        <d v="2024-04-24T00:00:00"/>
        <d v="2024-04-25T00:00:00"/>
        <d v="2024-04-26T00:00:00"/>
        <d v="2024-04-29T00:00:00"/>
        <d v="2024-04-30T00:00:00"/>
        <d v="2024-05-02T00:00:00"/>
        <d v="2024-05-03T00:00:00"/>
        <d v="2024-05-06T00:00:00"/>
        <d v="2024-05-07T00:00:00"/>
        <d v="2024-05-09T00:00:00"/>
        <d v="2024-05-10T00:00:00"/>
        <d v="2024-05-29T00:00:00"/>
        <d v="2024-05-31T00:00:00"/>
        <d v="2024-06-10T00:00:00"/>
        <m/>
      </sharedItems>
    </cacheField>
    <cacheField name="HORA" numFmtId="0">
      <sharedItems containsBlank="1" count="27">
        <s v=" 08:00"/>
        <s v=" 09:00"/>
        <s v=" 10:00"/>
        <s v=" 12:00"/>
        <s v="  08:00"/>
        <s v="  12:00"/>
        <s v=" 13:00"/>
        <s v=" 11:00"/>
        <s v=" 10:30"/>
        <s v=" 11:30"/>
        <s v=" 08:30"/>
        <s v=" 08:45"/>
        <s v=" 11:45"/>
        <s v=" 09:30"/>
        <s v=" 09:45"/>
        <s v=" 11:15"/>
        <s v=" 10:45"/>
        <s v=" 12:30"/>
        <s v=" 08:15"/>
        <s v=" 10:15"/>
        <s v="  08:45"/>
        <s v=" 09:15"/>
        <s v=" 12:15"/>
        <s v=" 12:45"/>
        <s v=" 08.00"/>
        <s v=" 14:00"/>
        <m/>
      </sharedItems>
    </cacheField>
    <cacheField name="JUEZ INTERVINIENTE" numFmtId="0">
      <sharedItems containsBlank="1" count="20">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s v="Dr. Diez"/>
        <m/>
      </sharedItems>
    </cacheField>
    <cacheField name="SALA DE AUDIENCIA" numFmtId="0">
      <sharedItems containsBlank="1"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405.341008333337" createdVersion="3" refreshedVersion="3" minRefreshableVersion="3" recordCount="2039">
  <cacheSource type="worksheet">
    <worksheetSource ref="D2:N2039" sheet="EXPEDIENTES"/>
  </cacheSource>
  <cacheFields count="11">
    <cacheField name="EXPTE" numFmtId="0">
      <sharedItems containsMixedTypes="1" containsNumber="1" containsInteger="1" minValue="1882" maxValue="187666"/>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8">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s v="Dr. Cristian Parada"/>
        <s v="Dra. Villamayor"/>
        <m/>
      </sharedItems>
    </cacheField>
    <cacheField name="FECHA DE AUDIENCIA" numFmtId="0">
      <sharedItems containsNonDate="0" containsDate="1" containsString="0" containsBlank="1" minDate="2023-02-17T00:00:00" maxDate="2024-06-11T00:00:00" count="287">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4T00:00:00"/>
        <d v="2024-02-15T00:00:00"/>
        <d v="2024-02-16T00:00:00"/>
        <d v="2024-02-19T00:00:00"/>
        <d v="2024-02-21T00:00:00"/>
        <d v="2024-02-22T00:00:00"/>
        <d v="2024-02-23T00:00:00"/>
        <d v="2024-02-26T00:00:00"/>
        <d v="2024-02-27T00:00:00"/>
        <d v="2024-02-28T00:00:00"/>
        <d v="2024-02-29T00:00:00"/>
        <d v="2024-03-01T00:00:00"/>
        <d v="2024-03-04T00:00:00"/>
        <d v="2024-03-05T00:00:00"/>
        <d v="2024-03-06T00:00:00"/>
        <d v="2024-03-07T00:00:00"/>
        <d v="2024-03-08T00:00:00"/>
        <d v="2024-03-11T00:00:00"/>
        <d v="2024-03-12T00:00:00"/>
        <d v="2024-03-13T00:00:00"/>
        <d v="2024-03-14T00:00:00"/>
        <d v="2024-03-15T00:00:00"/>
        <d v="2024-03-18T00:00:00"/>
        <d v="2024-03-19T00:00:00"/>
        <d v="2024-03-20T00:00:00"/>
        <d v="2024-03-21T00:00:00"/>
        <d v="2024-03-22T00:00:00"/>
        <d v="2024-03-25T00:00:00"/>
        <d v="2024-03-26T00:00:00"/>
        <d v="2024-03-27T00:00:00"/>
        <d v="2024-04-03T00:00:00"/>
        <d v="2024-04-04T00:00:00"/>
        <d v="2024-04-05T00:00:00"/>
        <d v="2024-04-08T00:00:00"/>
        <d v="2024-04-09T00:00:00"/>
        <d v="2024-04-10T00:00:00"/>
        <d v="2024-04-11T00:00:00"/>
        <d v="2024-04-12T00:00:00"/>
        <d v="2024-04-15T00:00:00"/>
        <d v="2024-04-16T00:00:00"/>
        <d v="2024-04-17T00:00:00"/>
        <d v="2024-04-18T00:00:00"/>
        <d v="2024-04-19T00:00:00"/>
        <d v="2024-04-22T00:00:00"/>
        <d v="2024-04-23T00:00:00"/>
        <d v="2024-04-24T00:00:00"/>
        <d v="2024-04-25T00:00:00"/>
        <d v="2024-04-26T00:00:00"/>
        <d v="2024-04-29T00:00:00"/>
        <d v="2024-04-30T00:00:00"/>
        <d v="2024-05-02T00:00:00"/>
        <d v="2024-05-03T00:00:00"/>
        <d v="2024-05-06T00:00:00"/>
        <d v="2024-05-07T00:00:00"/>
        <d v="2024-05-09T00:00:00"/>
        <d v="2024-05-10T00:00:00"/>
        <d v="2024-05-29T00:00:00"/>
        <d v="2024-05-31T00:00:00"/>
        <d v="2024-06-10T00:00:00"/>
        <m/>
      </sharedItems>
    </cacheField>
    <cacheField name="HORA" numFmtId="0">
      <sharedItems containsBlank="1" count="27">
        <s v=" 08:00"/>
        <s v=" 09:00"/>
        <s v=" 10:00"/>
        <s v=" 12:00"/>
        <s v="  08:00"/>
        <s v="  12:00"/>
        <s v=" 13:00"/>
        <s v=" 11:00"/>
        <s v=" 10:30"/>
        <s v=" 11:30"/>
        <s v=" 08:30"/>
        <s v=" 08:45"/>
        <s v=" 11:45"/>
        <s v=" 09:30"/>
        <s v=" 09:45"/>
        <s v=" 11:15"/>
        <s v=" 10:45"/>
        <s v=" 12:30"/>
        <s v=" 08:15"/>
        <s v=" 10:15"/>
        <s v="  08:45"/>
        <s v=" 09:15"/>
        <s v=" 12:15"/>
        <s v=" 12:45"/>
        <s v=" 08.00"/>
        <s v=" 14:00"/>
        <m/>
      </sharedItems>
    </cacheField>
    <cacheField name="JUEZ INTERVINIENTE" numFmtId="0">
      <sharedItems containsBlank="1" count="20">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s v="Dr. Diez"/>
        <m/>
      </sharedItems>
    </cacheField>
    <cacheField name="SALA DE AUDIENCIA" numFmtId="0">
      <sharedItems containsBlank="1"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405.341009606484" createdVersion="3" refreshedVersion="3" minRefreshableVersion="3" recordCount="2039">
  <cacheSource type="worksheet">
    <worksheetSource ref="D2:N2039" sheet="EXPEDIENTES"/>
  </cacheSource>
  <cacheFields count="11">
    <cacheField name="EXPTE" numFmtId="0">
      <sharedItems containsMixedTypes="1" containsNumber="1" containsInteger="1" minValue="1882" maxValue="187666"/>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8">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s v="Dr. Cristian Parada"/>
        <s v="Dra. Villamayor"/>
        <m/>
      </sharedItems>
    </cacheField>
    <cacheField name="FECHA DE AUDIENCIA" numFmtId="0">
      <sharedItems containsNonDate="0" containsDate="1" containsString="0" containsBlank="1" minDate="2023-02-17T00:00:00" maxDate="2024-06-11T00:00:00" count="287">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4T00:00:00"/>
        <d v="2024-02-15T00:00:00"/>
        <d v="2024-02-16T00:00:00"/>
        <d v="2024-02-19T00:00:00"/>
        <d v="2024-02-21T00:00:00"/>
        <d v="2024-02-22T00:00:00"/>
        <d v="2024-02-23T00:00:00"/>
        <d v="2024-02-26T00:00:00"/>
        <d v="2024-02-27T00:00:00"/>
        <d v="2024-02-28T00:00:00"/>
        <d v="2024-02-29T00:00:00"/>
        <d v="2024-03-01T00:00:00"/>
        <d v="2024-03-04T00:00:00"/>
        <d v="2024-03-05T00:00:00"/>
        <d v="2024-03-06T00:00:00"/>
        <d v="2024-03-07T00:00:00"/>
        <d v="2024-03-08T00:00:00"/>
        <d v="2024-03-11T00:00:00"/>
        <d v="2024-03-12T00:00:00"/>
        <d v="2024-03-13T00:00:00"/>
        <d v="2024-03-14T00:00:00"/>
        <d v="2024-03-15T00:00:00"/>
        <d v="2024-03-18T00:00:00"/>
        <d v="2024-03-19T00:00:00"/>
        <d v="2024-03-20T00:00:00"/>
        <d v="2024-03-21T00:00:00"/>
        <d v="2024-03-22T00:00:00"/>
        <d v="2024-03-25T00:00:00"/>
        <d v="2024-03-26T00:00:00"/>
        <d v="2024-03-27T00:00:00"/>
        <d v="2024-04-03T00:00:00"/>
        <d v="2024-04-04T00:00:00"/>
        <d v="2024-04-05T00:00:00"/>
        <d v="2024-04-08T00:00:00"/>
        <d v="2024-04-09T00:00:00"/>
        <d v="2024-04-10T00:00:00"/>
        <d v="2024-04-11T00:00:00"/>
        <d v="2024-04-12T00:00:00"/>
        <d v="2024-04-15T00:00:00"/>
        <d v="2024-04-16T00:00:00"/>
        <d v="2024-04-17T00:00:00"/>
        <d v="2024-04-18T00:00:00"/>
        <d v="2024-04-19T00:00:00"/>
        <d v="2024-04-22T00:00:00"/>
        <d v="2024-04-23T00:00:00"/>
        <d v="2024-04-24T00:00:00"/>
        <d v="2024-04-25T00:00:00"/>
        <d v="2024-04-26T00:00:00"/>
        <d v="2024-04-29T00:00:00"/>
        <d v="2024-04-30T00:00:00"/>
        <d v="2024-05-02T00:00:00"/>
        <d v="2024-05-03T00:00:00"/>
        <d v="2024-05-06T00:00:00"/>
        <d v="2024-05-07T00:00:00"/>
        <d v="2024-05-09T00:00:00"/>
        <d v="2024-05-10T00:00:00"/>
        <d v="2024-05-29T00:00:00"/>
        <d v="2024-05-31T00:00:00"/>
        <d v="2024-06-10T00:00:00"/>
        <m/>
      </sharedItems>
    </cacheField>
    <cacheField name="HORA" numFmtId="0">
      <sharedItems containsBlank="1" count="27">
        <s v=" 08:00"/>
        <s v=" 09:00"/>
        <s v=" 10:00"/>
        <s v=" 12:00"/>
        <s v="  08:00"/>
        <s v="  12:00"/>
        <s v=" 13:00"/>
        <s v=" 11:00"/>
        <s v=" 10:30"/>
        <s v=" 11:30"/>
        <s v=" 08:30"/>
        <s v=" 08:45"/>
        <s v=" 11:45"/>
        <s v=" 09:30"/>
        <s v=" 09:45"/>
        <s v=" 11:15"/>
        <s v=" 10:45"/>
        <s v=" 12:30"/>
        <s v=" 08:15"/>
        <s v=" 10:15"/>
        <s v="  08:45"/>
        <s v=" 09:15"/>
        <s v=" 12:15"/>
        <s v=" 12:45"/>
        <s v=" 08.00"/>
        <s v=" 14:00"/>
        <m/>
      </sharedItems>
    </cacheField>
    <cacheField name="JUEZ INTERVINIENTE" numFmtId="0">
      <sharedItems containsBlank="1" count="20">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s v="Dr. Diez"/>
        <m/>
      </sharedItems>
    </cacheField>
    <cacheField name="SALA DE AUDIENCIA" numFmtId="0">
      <sharedItems containsBlank="1"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405.341010648146" createdVersion="3" refreshedVersion="3" minRefreshableVersion="3" recordCount="2039">
  <cacheSource type="worksheet">
    <worksheetSource ref="D2:N2039" sheet="EXPEDIENTES"/>
  </cacheSource>
  <cacheFields count="11">
    <cacheField name="EXPTE" numFmtId="0">
      <sharedItems containsMixedTypes="1" containsNumber="1" containsInteger="1" minValue="1882" maxValue="187666"/>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8">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s v="Dr. Cristian Parada"/>
        <s v="Dra. Villamayor"/>
        <m/>
      </sharedItems>
    </cacheField>
    <cacheField name="FECHA DE AUDIENCIA" numFmtId="0">
      <sharedItems containsNonDate="0" containsDate="1" containsString="0" containsBlank="1" minDate="2023-02-17T00:00:00" maxDate="2024-06-11T00:00:00" count="287">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4T00:00:00"/>
        <d v="2024-02-15T00:00:00"/>
        <d v="2024-02-16T00:00:00"/>
        <d v="2024-02-19T00:00:00"/>
        <d v="2024-02-21T00:00:00"/>
        <d v="2024-02-22T00:00:00"/>
        <d v="2024-02-23T00:00:00"/>
        <d v="2024-02-26T00:00:00"/>
        <d v="2024-02-27T00:00:00"/>
        <d v="2024-02-28T00:00:00"/>
        <d v="2024-02-29T00:00:00"/>
        <d v="2024-03-01T00:00:00"/>
        <d v="2024-03-04T00:00:00"/>
        <d v="2024-03-05T00:00:00"/>
        <d v="2024-03-06T00:00:00"/>
        <d v="2024-03-07T00:00:00"/>
        <d v="2024-03-08T00:00:00"/>
        <d v="2024-03-11T00:00:00"/>
        <d v="2024-03-12T00:00:00"/>
        <d v="2024-03-13T00:00:00"/>
        <d v="2024-03-14T00:00:00"/>
        <d v="2024-03-15T00:00:00"/>
        <d v="2024-03-18T00:00:00"/>
        <d v="2024-03-19T00:00:00"/>
        <d v="2024-03-20T00:00:00"/>
        <d v="2024-03-21T00:00:00"/>
        <d v="2024-03-22T00:00:00"/>
        <d v="2024-03-25T00:00:00"/>
        <d v="2024-03-26T00:00:00"/>
        <d v="2024-03-27T00:00:00"/>
        <d v="2024-04-03T00:00:00"/>
        <d v="2024-04-04T00:00:00"/>
        <d v="2024-04-05T00:00:00"/>
        <d v="2024-04-08T00:00:00"/>
        <d v="2024-04-09T00:00:00"/>
        <d v="2024-04-10T00:00:00"/>
        <d v="2024-04-11T00:00:00"/>
        <d v="2024-04-12T00:00:00"/>
        <d v="2024-04-15T00:00:00"/>
        <d v="2024-04-16T00:00:00"/>
        <d v="2024-04-17T00:00:00"/>
        <d v="2024-04-18T00:00:00"/>
        <d v="2024-04-19T00:00:00"/>
        <d v="2024-04-22T00:00:00"/>
        <d v="2024-04-23T00:00:00"/>
        <d v="2024-04-24T00:00:00"/>
        <d v="2024-04-25T00:00:00"/>
        <d v="2024-04-26T00:00:00"/>
        <d v="2024-04-29T00:00:00"/>
        <d v="2024-04-30T00:00:00"/>
        <d v="2024-05-02T00:00:00"/>
        <d v="2024-05-03T00:00:00"/>
        <d v="2024-05-06T00:00:00"/>
        <d v="2024-05-07T00:00:00"/>
        <d v="2024-05-09T00:00:00"/>
        <d v="2024-05-10T00:00:00"/>
        <d v="2024-05-29T00:00:00"/>
        <d v="2024-05-31T00:00:00"/>
        <d v="2024-06-10T00:00:00"/>
        <m/>
      </sharedItems>
    </cacheField>
    <cacheField name="HORA" numFmtId="0">
      <sharedItems containsBlank="1" count="27">
        <s v=" 08:00"/>
        <s v=" 09:00"/>
        <s v=" 10:00"/>
        <s v=" 12:00"/>
        <s v="  08:00"/>
        <s v="  12:00"/>
        <s v=" 13:00"/>
        <s v=" 11:00"/>
        <s v=" 10:30"/>
        <s v=" 11:30"/>
        <s v=" 08:30"/>
        <s v=" 08:45"/>
        <s v=" 11:45"/>
        <s v=" 09:30"/>
        <s v=" 09:45"/>
        <s v=" 11:15"/>
        <s v=" 10:45"/>
        <s v=" 12:30"/>
        <s v=" 08:15"/>
        <s v=" 10:15"/>
        <s v="  08:45"/>
        <s v=" 09:15"/>
        <s v=" 12:15"/>
        <s v=" 12:45"/>
        <s v=" 08.00"/>
        <s v=" 14:00"/>
        <m/>
      </sharedItems>
    </cacheField>
    <cacheField name="JUEZ INTERVINIENTE" numFmtId="0">
      <sharedItems containsBlank="1" count="20">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s v="Dr. Diez"/>
        <m/>
      </sharedItems>
    </cacheField>
    <cacheField name="SALA DE AUDIENCIA" numFmtId="0">
      <sharedItems containsBlank="1"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405.341011805554" createdVersion="3" refreshedVersion="3" minRefreshableVersion="3" recordCount="2039">
  <cacheSource type="worksheet">
    <worksheetSource ref="D2:N2039" sheet="EXPEDIENTES"/>
  </cacheSource>
  <cacheFields count="11">
    <cacheField name="EXPTE" numFmtId="0">
      <sharedItems containsMixedTypes="1" containsNumber="1" containsInteger="1" minValue="1882" maxValue="187666"/>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8">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s v="Dr. Cristian Parada"/>
        <s v="Dra. Villamayor"/>
        <m/>
      </sharedItems>
    </cacheField>
    <cacheField name="FECHA DE AUDIENCIA" numFmtId="0">
      <sharedItems containsNonDate="0" containsDate="1" containsString="0" containsBlank="1" minDate="2023-02-17T00:00:00" maxDate="2024-06-11T00:00:00" count="287">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4T00:00:00"/>
        <d v="2024-02-15T00:00:00"/>
        <d v="2024-02-16T00:00:00"/>
        <d v="2024-02-19T00:00:00"/>
        <d v="2024-02-21T00:00:00"/>
        <d v="2024-02-22T00:00:00"/>
        <d v="2024-02-23T00:00:00"/>
        <d v="2024-02-26T00:00:00"/>
        <d v="2024-02-27T00:00:00"/>
        <d v="2024-02-28T00:00:00"/>
        <d v="2024-02-29T00:00:00"/>
        <d v="2024-03-01T00:00:00"/>
        <d v="2024-03-04T00:00:00"/>
        <d v="2024-03-05T00:00:00"/>
        <d v="2024-03-06T00:00:00"/>
        <d v="2024-03-07T00:00:00"/>
        <d v="2024-03-08T00:00:00"/>
        <d v="2024-03-11T00:00:00"/>
        <d v="2024-03-12T00:00:00"/>
        <d v="2024-03-13T00:00:00"/>
        <d v="2024-03-14T00:00:00"/>
        <d v="2024-03-15T00:00:00"/>
        <d v="2024-03-18T00:00:00"/>
        <d v="2024-03-19T00:00:00"/>
        <d v="2024-03-20T00:00:00"/>
        <d v="2024-03-21T00:00:00"/>
        <d v="2024-03-22T00:00:00"/>
        <d v="2024-03-25T00:00:00"/>
        <d v="2024-03-26T00:00:00"/>
        <d v="2024-03-27T00:00:00"/>
        <d v="2024-04-03T00:00:00"/>
        <d v="2024-04-04T00:00:00"/>
        <d v="2024-04-05T00:00:00"/>
        <d v="2024-04-08T00:00:00"/>
        <d v="2024-04-09T00:00:00"/>
        <d v="2024-04-10T00:00:00"/>
        <d v="2024-04-11T00:00:00"/>
        <d v="2024-04-12T00:00:00"/>
        <d v="2024-04-15T00:00:00"/>
        <d v="2024-04-16T00:00:00"/>
        <d v="2024-04-17T00:00:00"/>
        <d v="2024-04-18T00:00:00"/>
        <d v="2024-04-19T00:00:00"/>
        <d v="2024-04-22T00:00:00"/>
        <d v="2024-04-23T00:00:00"/>
        <d v="2024-04-24T00:00:00"/>
        <d v="2024-04-25T00:00:00"/>
        <d v="2024-04-26T00:00:00"/>
        <d v="2024-04-29T00:00:00"/>
        <d v="2024-04-30T00:00:00"/>
        <d v="2024-05-02T00:00:00"/>
        <d v="2024-05-03T00:00:00"/>
        <d v="2024-05-06T00:00:00"/>
        <d v="2024-05-07T00:00:00"/>
        <d v="2024-05-09T00:00:00"/>
        <d v="2024-05-10T00:00:00"/>
        <d v="2024-05-29T00:00:00"/>
        <d v="2024-05-31T00:00:00"/>
        <d v="2024-06-10T00:00:00"/>
        <m/>
      </sharedItems>
    </cacheField>
    <cacheField name="HORA" numFmtId="0">
      <sharedItems containsBlank="1" count="27">
        <s v=" 08:00"/>
        <s v=" 09:00"/>
        <s v=" 10:00"/>
        <s v=" 12:00"/>
        <s v="  08:00"/>
        <s v="  12:00"/>
        <s v=" 13:00"/>
        <s v=" 11:00"/>
        <s v=" 10:30"/>
        <s v=" 11:30"/>
        <s v=" 08:30"/>
        <s v=" 08:45"/>
        <s v=" 11:45"/>
        <s v=" 09:30"/>
        <s v=" 09:45"/>
        <s v=" 11:15"/>
        <s v=" 10:45"/>
        <s v=" 12:30"/>
        <s v=" 08:15"/>
        <s v=" 10:15"/>
        <s v="  08:45"/>
        <s v=" 09:15"/>
        <s v=" 12:15"/>
        <s v=" 12:45"/>
        <s v=" 08.00"/>
        <s v=" 14:00"/>
        <m/>
      </sharedItems>
    </cacheField>
    <cacheField name="JUEZ INTERVINIENTE" numFmtId="0">
      <sharedItems containsBlank="1" count="20">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s v="Dr. Diez"/>
        <m/>
      </sharedItems>
    </cacheField>
    <cacheField name="SALA DE AUDIENCIA" numFmtId="0">
      <sharedItems containsBlank="1"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405.341012847224" createdVersion="3" refreshedVersion="3" minRefreshableVersion="3" recordCount="2039">
  <cacheSource type="worksheet">
    <worksheetSource ref="D2:N2039" sheet="EXPEDIENTES"/>
  </cacheSource>
  <cacheFields count="11">
    <cacheField name="EXPTE" numFmtId="0">
      <sharedItems containsMixedTypes="1" containsNumber="1" containsInteger="1" minValue="1882" maxValue="187666"/>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8">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s v="Dr. Cristian Parada"/>
        <s v="Dra. Villamayor"/>
        <m/>
      </sharedItems>
    </cacheField>
    <cacheField name="FECHA DE AUDIENCIA" numFmtId="0">
      <sharedItems containsNonDate="0" containsDate="1" containsString="0" containsBlank="1" minDate="2023-02-17T00:00:00" maxDate="2024-06-11T00:00:00" count="287">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4T00:00:00"/>
        <d v="2024-02-15T00:00:00"/>
        <d v="2024-02-16T00:00:00"/>
        <d v="2024-02-19T00:00:00"/>
        <d v="2024-02-21T00:00:00"/>
        <d v="2024-02-22T00:00:00"/>
        <d v="2024-02-23T00:00:00"/>
        <d v="2024-02-26T00:00:00"/>
        <d v="2024-02-27T00:00:00"/>
        <d v="2024-02-28T00:00:00"/>
        <d v="2024-02-29T00:00:00"/>
        <d v="2024-03-01T00:00:00"/>
        <d v="2024-03-04T00:00:00"/>
        <d v="2024-03-05T00:00:00"/>
        <d v="2024-03-06T00:00:00"/>
        <d v="2024-03-07T00:00:00"/>
        <d v="2024-03-08T00:00:00"/>
        <d v="2024-03-11T00:00:00"/>
        <d v="2024-03-12T00:00:00"/>
        <d v="2024-03-13T00:00:00"/>
        <d v="2024-03-14T00:00:00"/>
        <d v="2024-03-15T00:00:00"/>
        <d v="2024-03-18T00:00:00"/>
        <d v="2024-03-19T00:00:00"/>
        <d v="2024-03-20T00:00:00"/>
        <d v="2024-03-21T00:00:00"/>
        <d v="2024-03-22T00:00:00"/>
        <d v="2024-03-25T00:00:00"/>
        <d v="2024-03-26T00:00:00"/>
        <d v="2024-03-27T00:00:00"/>
        <d v="2024-04-03T00:00:00"/>
        <d v="2024-04-04T00:00:00"/>
        <d v="2024-04-05T00:00:00"/>
        <d v="2024-04-08T00:00:00"/>
        <d v="2024-04-09T00:00:00"/>
        <d v="2024-04-10T00:00:00"/>
        <d v="2024-04-11T00:00:00"/>
        <d v="2024-04-12T00:00:00"/>
        <d v="2024-04-15T00:00:00"/>
        <d v="2024-04-16T00:00:00"/>
        <d v="2024-04-17T00:00:00"/>
        <d v="2024-04-18T00:00:00"/>
        <d v="2024-04-19T00:00:00"/>
        <d v="2024-04-22T00:00:00"/>
        <d v="2024-04-23T00:00:00"/>
        <d v="2024-04-24T00:00:00"/>
        <d v="2024-04-25T00:00:00"/>
        <d v="2024-04-26T00:00:00"/>
        <d v="2024-04-29T00:00:00"/>
        <d v="2024-04-30T00:00:00"/>
        <d v="2024-05-02T00:00:00"/>
        <d v="2024-05-03T00:00:00"/>
        <d v="2024-05-06T00:00:00"/>
        <d v="2024-05-07T00:00:00"/>
        <d v="2024-05-09T00:00:00"/>
        <d v="2024-05-10T00:00:00"/>
        <d v="2024-05-29T00:00:00"/>
        <d v="2024-05-31T00:00:00"/>
        <d v="2024-06-10T00:00:00"/>
        <m/>
      </sharedItems>
    </cacheField>
    <cacheField name="HORA" numFmtId="0">
      <sharedItems containsBlank="1" count="27">
        <s v=" 08:00"/>
        <s v=" 09:00"/>
        <s v=" 10:00"/>
        <s v=" 12:00"/>
        <s v="  08:00"/>
        <s v="  12:00"/>
        <s v=" 13:00"/>
        <s v=" 11:00"/>
        <s v=" 10:30"/>
        <s v=" 11:30"/>
        <s v=" 08:30"/>
        <s v=" 08:45"/>
        <s v=" 11:45"/>
        <s v=" 09:30"/>
        <s v=" 09:45"/>
        <s v=" 11:15"/>
        <s v=" 10:45"/>
        <s v=" 12:30"/>
        <s v=" 08:15"/>
        <s v=" 10:15"/>
        <s v="  08:45"/>
        <s v=" 09:15"/>
        <s v=" 12:15"/>
        <s v=" 12:45"/>
        <s v=" 08.00"/>
        <s v=" 14:00"/>
        <m/>
      </sharedItems>
    </cacheField>
    <cacheField name="JUEZ INTERVINIENTE" numFmtId="0">
      <sharedItems containsBlank="1" count="20">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s v="Dr. Diez"/>
        <m/>
      </sharedItems>
    </cacheField>
    <cacheField name="SALA DE AUDIENCIA" numFmtId="0">
      <sharedItems containsBlank="1"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2"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6" firstHeaderRow="1" firstDataRow="1" firstDataCol="1" rowPageCount="1" colPageCount="1"/>
  <pivotFields count="11">
    <pivotField showAll="0"/>
    <pivotField showAll="0"/>
    <pivotField showAll="0"/>
    <pivotField axis="axisRow" showAll="0">
      <items count="29">
        <item x="2"/>
        <item x="3"/>
        <item x="8"/>
        <item x="4"/>
        <item x="6"/>
        <item x="5"/>
        <item x="1"/>
        <item x="7"/>
        <item x="0"/>
        <item x="9"/>
        <item x="10"/>
        <item x="11"/>
        <item x="15"/>
        <item x="12"/>
        <item x="13"/>
        <item x="14"/>
        <item x="16"/>
        <item x="17"/>
        <item x="18"/>
        <item x="19"/>
        <item x="20"/>
        <item x="21"/>
        <item x="22"/>
        <item x="24"/>
        <item x="23"/>
        <item x="27"/>
        <item x="25"/>
        <item x="26"/>
        <item t="default"/>
      </items>
    </pivotField>
    <pivotField axis="axisPage" showAll="0">
      <items count="2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6"/>
        <item x="206"/>
        <item x="207"/>
        <item x="208"/>
        <item x="209"/>
        <item x="210"/>
        <item x="211"/>
        <item x="212"/>
        <item x="213"/>
        <item x="214"/>
        <item x="215"/>
        <item x="217"/>
        <item x="218"/>
        <item x="219"/>
        <item x="220"/>
        <item x="221"/>
        <item x="222"/>
        <item x="223"/>
        <item x="224"/>
        <item x="225"/>
        <item x="226"/>
        <item x="227"/>
        <item x="228"/>
        <item x="229"/>
        <item x="230"/>
        <item x="248"/>
        <item x="286"/>
        <item x="240"/>
        <item x="231"/>
        <item x="232"/>
        <item x="233"/>
        <item x="234"/>
        <item x="235"/>
        <item x="236"/>
        <item x="237"/>
        <item x="238"/>
        <item x="239"/>
        <item x="241"/>
        <item x="242"/>
        <item x="243"/>
        <item x="244"/>
        <item x="245"/>
        <item x="263"/>
        <item x="246"/>
        <item x="247"/>
        <item x="252"/>
        <item x="256"/>
        <item x="257"/>
        <item x="268"/>
        <item x="253"/>
        <item x="249"/>
        <item x="250"/>
        <item x="251"/>
        <item x="255"/>
        <item x="254"/>
        <item x="259"/>
        <item x="274"/>
        <item x="258"/>
        <item x="260"/>
        <item x="267"/>
        <item x="261"/>
        <item x="262"/>
        <item x="273"/>
        <item x="265"/>
        <item x="264"/>
        <item x="285"/>
        <item x="266"/>
        <item x="269"/>
        <item x="270"/>
        <item x="271"/>
        <item x="272"/>
        <item x="275"/>
        <item x="281"/>
        <item x="282"/>
        <item x="276"/>
        <item x="277"/>
        <item x="283"/>
        <item x="278"/>
        <item x="279"/>
        <item x="284"/>
        <item x="280"/>
        <item t="default"/>
      </items>
    </pivotField>
    <pivotField axis="axisRow" showAll="0" defaultSubtotal="0">
      <items count="27">
        <item x="4"/>
        <item x="5"/>
        <item x="0"/>
        <item x="10"/>
        <item x="11"/>
        <item x="1"/>
        <item x="13"/>
        <item x="14"/>
        <item x="2"/>
        <item x="8"/>
        <item x="16"/>
        <item x="7"/>
        <item x="15"/>
        <item x="9"/>
        <item x="12"/>
        <item x="3"/>
        <item x="17"/>
        <item x="6"/>
        <item x="18"/>
        <item x="19"/>
        <item x="20"/>
        <item x="21"/>
        <item x="22"/>
        <item x="23"/>
        <item x="26"/>
        <item x="24"/>
        <item x="25"/>
      </items>
    </pivotField>
    <pivotField axis="axisRow" showAll="0">
      <items count="21">
        <item x="2"/>
        <item x="5"/>
        <item x="3"/>
        <item x="0"/>
        <item n="Dr. Zerdan" x="4"/>
        <item x="7"/>
        <item x="1"/>
        <item x="6"/>
        <item x="8"/>
        <item x="10"/>
        <item x="11"/>
        <item x="9"/>
        <item x="13"/>
        <item x="12"/>
        <item x="14"/>
        <item x="15"/>
        <item x="16"/>
        <item x="17"/>
        <item x="18"/>
        <item x="19"/>
        <item t="default"/>
      </items>
    </pivotField>
    <pivotField showAll="0"/>
    <pivotField showAll="0"/>
    <pivotField showAll="0"/>
    <pivotField showAll="0" defaultSubtotal="0"/>
  </pivotFields>
  <rowFields count="3">
    <field x="6"/>
    <field x="3"/>
    <field x="5"/>
  </rowFields>
  <rowItems count="29">
    <i>
      <x/>
    </i>
    <i r="1">
      <x v="12"/>
    </i>
    <i r="2">
      <x v="5"/>
    </i>
    <i r="1">
      <x v="18"/>
    </i>
    <i r="2">
      <x v="2"/>
    </i>
    <i>
      <x v="2"/>
    </i>
    <i r="1">
      <x v="8"/>
    </i>
    <i r="2">
      <x v="5"/>
    </i>
    <i r="1">
      <x v="27"/>
    </i>
    <i r="2">
      <x v="2"/>
    </i>
    <i>
      <x v="3"/>
    </i>
    <i r="1">
      <x v="4"/>
    </i>
    <i r="2">
      <x v="2"/>
    </i>
    <i>
      <x v="4"/>
    </i>
    <i r="1">
      <x v="17"/>
    </i>
    <i r="2">
      <x v="2"/>
    </i>
    <i r="1">
      <x v="20"/>
    </i>
    <i r="2">
      <x v="11"/>
    </i>
    <i>
      <x v="6"/>
    </i>
    <i r="1">
      <x v="6"/>
    </i>
    <i r="2">
      <x v="15"/>
    </i>
    <i r="1">
      <x v="16"/>
    </i>
    <i r="2">
      <x v="8"/>
    </i>
    <i r="1">
      <x v="27"/>
    </i>
    <i r="2">
      <x v="2"/>
    </i>
    <i>
      <x v="13"/>
    </i>
    <i r="1">
      <x v="2"/>
    </i>
    <i r="2">
      <x v="18"/>
    </i>
    <i t="grand">
      <x/>
    </i>
  </rowItems>
  <colItems count="1">
    <i/>
  </colItems>
  <pageFields count="1">
    <pageField fld="4" item="262" hier="-1"/>
  </pageFields>
  <formats count="8">
    <format dxfId="378">
      <pivotArea dataOnly="0" labelOnly="1" outline="0" fieldPosition="0">
        <references count="1">
          <reference field="4" count="1">
            <x v="86"/>
          </reference>
        </references>
      </pivotArea>
    </format>
    <format dxfId="377">
      <pivotArea dataOnly="0" labelOnly="1" fieldPosition="0">
        <references count="1">
          <reference field="6" count="3">
            <x v="0"/>
            <x v="2"/>
            <x v="8"/>
          </reference>
        </references>
      </pivotArea>
    </format>
    <format dxfId="376">
      <pivotArea dataOnly="0" labelOnly="1" outline="0" fieldPosition="0">
        <references count="1">
          <reference field="4" count="1">
            <x v="91"/>
          </reference>
        </references>
      </pivotArea>
    </format>
    <format dxfId="375">
      <pivotArea dataOnly="0" labelOnly="1" outline="0" fieldPosition="0">
        <references count="1">
          <reference field="4" count="1">
            <x v="95"/>
          </reference>
        </references>
      </pivotArea>
    </format>
    <format dxfId="374">
      <pivotArea dataOnly="0" labelOnly="1" outline="0" fieldPosition="0">
        <references count="1">
          <reference field="4" count="1">
            <x v="100"/>
          </reference>
        </references>
      </pivotArea>
    </format>
    <format dxfId="373">
      <pivotArea dataOnly="0" labelOnly="1" outline="0" fieldPosition="0">
        <references count="1">
          <reference field="4" count="1">
            <x v="86"/>
          </reference>
        </references>
      </pivotArea>
    </format>
    <format dxfId="372">
      <pivotArea dataOnly="0" labelOnly="1" outline="0" fieldPosition="0">
        <references count="1">
          <reference field="4" count="1">
            <x v="95"/>
          </reference>
        </references>
      </pivotArea>
    </format>
    <format dxfId="371">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3"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4" firstHeaderRow="1" firstDataRow="1" firstDataCol="1" rowPageCount="1" colPageCount="1"/>
  <pivotFields count="11">
    <pivotField showAll="0"/>
    <pivotField showAll="0"/>
    <pivotField showAll="0"/>
    <pivotField axis="axisRow" showAll="0">
      <items count="29">
        <item x="2"/>
        <item x="3"/>
        <item x="8"/>
        <item x="4"/>
        <item x="6"/>
        <item x="5"/>
        <item x="1"/>
        <item x="7"/>
        <item x="0"/>
        <item x="9"/>
        <item x="10"/>
        <item x="11"/>
        <item x="15"/>
        <item x="12"/>
        <item x="13"/>
        <item x="14"/>
        <item x="16"/>
        <item x="17"/>
        <item x="18"/>
        <item x="19"/>
        <item x="20"/>
        <item x="21"/>
        <item x="22"/>
        <item x="24"/>
        <item x="23"/>
        <item x="27"/>
        <item x="25"/>
        <item x="26"/>
        <item t="default"/>
      </items>
    </pivotField>
    <pivotField axis="axisPage" showAll="0">
      <items count="2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6"/>
        <item x="206"/>
        <item x="207"/>
        <item x="208"/>
        <item x="209"/>
        <item x="210"/>
        <item x="211"/>
        <item x="212"/>
        <item x="213"/>
        <item x="214"/>
        <item x="215"/>
        <item x="217"/>
        <item x="218"/>
        <item x="219"/>
        <item x="220"/>
        <item x="221"/>
        <item x="222"/>
        <item x="223"/>
        <item x="224"/>
        <item x="225"/>
        <item x="226"/>
        <item x="227"/>
        <item x="228"/>
        <item x="229"/>
        <item x="230"/>
        <item x="248"/>
        <item x="286"/>
        <item x="240"/>
        <item x="231"/>
        <item x="232"/>
        <item x="233"/>
        <item x="234"/>
        <item x="235"/>
        <item x="236"/>
        <item x="237"/>
        <item x="238"/>
        <item x="239"/>
        <item x="241"/>
        <item x="242"/>
        <item x="243"/>
        <item x="244"/>
        <item x="245"/>
        <item x="263"/>
        <item x="246"/>
        <item x="247"/>
        <item x="252"/>
        <item x="256"/>
        <item x="257"/>
        <item x="268"/>
        <item x="253"/>
        <item x="249"/>
        <item x="250"/>
        <item x="251"/>
        <item x="255"/>
        <item x="254"/>
        <item x="259"/>
        <item x="274"/>
        <item x="258"/>
        <item x="260"/>
        <item x="267"/>
        <item x="261"/>
        <item x="262"/>
        <item x="273"/>
        <item x="265"/>
        <item x="264"/>
        <item x="285"/>
        <item x="266"/>
        <item x="269"/>
        <item x="270"/>
        <item x="271"/>
        <item x="272"/>
        <item x="275"/>
        <item x="281"/>
        <item x="282"/>
        <item x="276"/>
        <item x="277"/>
        <item x="283"/>
        <item x="278"/>
        <item x="279"/>
        <item x="284"/>
        <item x="280"/>
        <item t="default"/>
      </items>
    </pivotField>
    <pivotField axis="axisRow" showAll="0" defaultSubtotal="0">
      <items count="27">
        <item x="4"/>
        <item x="5"/>
        <item x="0"/>
        <item x="10"/>
        <item x="11"/>
        <item x="1"/>
        <item x="13"/>
        <item x="14"/>
        <item x="2"/>
        <item x="8"/>
        <item x="16"/>
        <item x="7"/>
        <item x="15"/>
        <item x="9"/>
        <item x="12"/>
        <item x="3"/>
        <item x="17"/>
        <item x="6"/>
        <item x="18"/>
        <item x="19"/>
        <item x="20"/>
        <item x="21"/>
        <item x="22"/>
        <item x="23"/>
        <item x="26"/>
        <item x="24"/>
        <item x="25"/>
      </items>
    </pivotField>
    <pivotField axis="axisRow" showAll="0">
      <items count="21">
        <item x="2"/>
        <item x="5"/>
        <item x="3"/>
        <item x="0"/>
        <item n="Dr. Zerdan" x="4"/>
        <item x="7"/>
        <item x="1"/>
        <item x="6"/>
        <item x="8"/>
        <item x="10"/>
        <item x="11"/>
        <item x="9"/>
        <item x="13"/>
        <item x="12"/>
        <item x="14"/>
        <item x="15"/>
        <item x="16"/>
        <item x="17"/>
        <item x="18"/>
        <item x="19"/>
        <item t="default"/>
      </items>
    </pivotField>
    <pivotField showAll="0"/>
    <pivotField showAll="0"/>
    <pivotField showAll="0"/>
    <pivotField showAll="0" defaultSubtotal="0"/>
  </pivotFields>
  <rowFields count="3">
    <field x="6"/>
    <field x="3"/>
    <field x="5"/>
  </rowFields>
  <rowItems count="27">
    <i>
      <x/>
    </i>
    <i r="1">
      <x v="4"/>
    </i>
    <i r="2">
      <x v="2"/>
    </i>
    <i r="1">
      <x v="8"/>
    </i>
    <i r="2">
      <x v="5"/>
    </i>
    <i>
      <x v="2"/>
    </i>
    <i r="1">
      <x/>
    </i>
    <i r="2">
      <x v="2"/>
    </i>
    <i r="1">
      <x v="12"/>
    </i>
    <i r="2">
      <x v="5"/>
    </i>
    <i>
      <x v="3"/>
    </i>
    <i r="1">
      <x v="6"/>
    </i>
    <i r="2">
      <x v="15"/>
    </i>
    <i r="1">
      <x v="26"/>
    </i>
    <i r="2">
      <x v="11"/>
    </i>
    <i>
      <x v="4"/>
    </i>
    <i r="1">
      <x v="7"/>
    </i>
    <i r="2">
      <x v="2"/>
    </i>
    <i>
      <x v="6"/>
    </i>
    <i r="1">
      <x v="2"/>
    </i>
    <i r="2">
      <x v="2"/>
    </i>
    <i r="1">
      <x v="17"/>
    </i>
    <i r="2">
      <x v="5"/>
    </i>
    <i>
      <x v="13"/>
    </i>
    <i r="1">
      <x v="20"/>
    </i>
    <i r="2">
      <x v="8"/>
    </i>
    <i t="grand">
      <x/>
    </i>
  </rowItems>
  <colItems count="1">
    <i/>
  </colItems>
  <pageFields count="1">
    <pageField fld="4" item="277" hier="-1"/>
  </pageFields>
  <formats count="8">
    <format dxfId="386">
      <pivotArea dataOnly="0" labelOnly="1" outline="0" fieldPosition="0">
        <references count="1">
          <reference field="4" count="1">
            <x v="88"/>
          </reference>
        </references>
      </pivotArea>
    </format>
    <format dxfId="385">
      <pivotArea dataOnly="0" labelOnly="1" fieldPosition="0">
        <references count="1">
          <reference field="6" count="3">
            <x v="0"/>
            <x v="2"/>
            <x v="8"/>
          </reference>
        </references>
      </pivotArea>
    </format>
    <format dxfId="384">
      <pivotArea dataOnly="0" outline="0" fieldPosition="0">
        <references count="1">
          <reference field="4" count="1">
            <x v="92"/>
          </reference>
        </references>
      </pivotArea>
    </format>
    <format dxfId="383">
      <pivotArea dataOnly="0" labelOnly="1" outline="0" fieldPosition="0">
        <references count="1">
          <reference field="4" count="1">
            <x v="96"/>
          </reference>
        </references>
      </pivotArea>
    </format>
    <format dxfId="382">
      <pivotArea dataOnly="0" labelOnly="1" outline="0" fieldPosition="0">
        <references count="1">
          <reference field="4" count="1">
            <x v="101"/>
          </reference>
        </references>
      </pivotArea>
    </format>
    <format dxfId="381">
      <pivotArea dataOnly="0" labelOnly="1" outline="0" fieldPosition="0">
        <references count="1">
          <reference field="4" count="1">
            <x v="88"/>
          </reference>
        </references>
      </pivotArea>
    </format>
    <format dxfId="380">
      <pivotArea dataOnly="0" labelOnly="1" outline="0" fieldPosition="0">
        <references count="1">
          <reference field="4" count="1">
            <x v="96"/>
          </reference>
        </references>
      </pivotArea>
    </format>
    <format dxfId="37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6"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192" firstHeaderRow="1" firstDataRow="1" firstDataCol="1" rowPageCount="1" colPageCount="1"/>
  <pivotFields count="11">
    <pivotField showAll="0"/>
    <pivotField showAll="0"/>
    <pivotField showAll="0"/>
    <pivotField axis="axisRow" showAll="0">
      <items count="29">
        <item x="2"/>
        <item x="3"/>
        <item x="8"/>
        <item x="4"/>
        <item x="6"/>
        <item x="5"/>
        <item x="1"/>
        <item x="7"/>
        <item x="0"/>
        <item x="9"/>
        <item x="10"/>
        <item x="11"/>
        <item x="15"/>
        <item x="12"/>
        <item x="13"/>
        <item x="14"/>
        <item x="16"/>
        <item x="17"/>
        <item x="18"/>
        <item x="19"/>
        <item x="20"/>
        <item x="21"/>
        <item x="22"/>
        <item x="24"/>
        <item x="23"/>
        <item x="27"/>
        <item x="25"/>
        <item x="26"/>
        <item t="default"/>
      </items>
    </pivotField>
    <pivotField axis="axisPage" showAll="0">
      <items count="2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6"/>
        <item x="206"/>
        <item x="207"/>
        <item x="208"/>
        <item x="209"/>
        <item x="210"/>
        <item x="211"/>
        <item x="212"/>
        <item x="213"/>
        <item x="214"/>
        <item x="215"/>
        <item x="217"/>
        <item x="218"/>
        <item x="219"/>
        <item x="220"/>
        <item x="221"/>
        <item x="222"/>
        <item x="223"/>
        <item x="224"/>
        <item x="225"/>
        <item x="226"/>
        <item x="227"/>
        <item x="228"/>
        <item x="229"/>
        <item x="230"/>
        <item x="248"/>
        <item x="286"/>
        <item x="240"/>
        <item x="231"/>
        <item x="232"/>
        <item x="233"/>
        <item x="234"/>
        <item x="235"/>
        <item x="236"/>
        <item x="237"/>
        <item x="238"/>
        <item x="239"/>
        <item x="241"/>
        <item x="242"/>
        <item x="243"/>
        <item x="244"/>
        <item x="245"/>
        <item x="263"/>
        <item x="246"/>
        <item x="247"/>
        <item x="252"/>
        <item x="256"/>
        <item x="257"/>
        <item x="268"/>
        <item x="253"/>
        <item x="249"/>
        <item x="250"/>
        <item x="251"/>
        <item x="255"/>
        <item x="254"/>
        <item x="259"/>
        <item x="274"/>
        <item x="258"/>
        <item x="260"/>
        <item x="267"/>
        <item x="261"/>
        <item x="262"/>
        <item x="273"/>
        <item x="265"/>
        <item x="264"/>
        <item x="285"/>
        <item x="266"/>
        <item x="269"/>
        <item x="270"/>
        <item x="271"/>
        <item x="272"/>
        <item x="275"/>
        <item x="281"/>
        <item x="282"/>
        <item x="276"/>
        <item x="277"/>
        <item x="283"/>
        <item x="278"/>
        <item x="279"/>
        <item x="284"/>
        <item x="280"/>
        <item t="default"/>
      </items>
    </pivotField>
    <pivotField axis="axisRow" showAll="0" defaultSubtotal="0">
      <items count="27">
        <item x="4"/>
        <item x="5"/>
        <item x="0"/>
        <item x="10"/>
        <item x="11"/>
        <item x="1"/>
        <item x="13"/>
        <item x="14"/>
        <item x="2"/>
        <item x="8"/>
        <item x="16"/>
        <item x="7"/>
        <item x="15"/>
        <item x="9"/>
        <item x="12"/>
        <item x="3"/>
        <item x="17"/>
        <item x="6"/>
        <item x="18"/>
        <item x="19"/>
        <item x="20"/>
        <item x="21"/>
        <item x="22"/>
        <item x="23"/>
        <item x="26"/>
        <item x="24"/>
        <item x="25"/>
      </items>
    </pivotField>
    <pivotField axis="axisRow" showAll="0">
      <items count="21">
        <item x="2"/>
        <item x="5"/>
        <item x="3"/>
        <item x="0"/>
        <item n="Dr. Zerdan" x="4"/>
        <item x="7"/>
        <item x="1"/>
        <item x="6"/>
        <item x="8"/>
        <item x="10"/>
        <item x="11"/>
        <item x="9"/>
        <item x="13"/>
        <item x="12"/>
        <item x="14"/>
        <item x="15"/>
        <item x="16"/>
        <item x="17"/>
        <item x="18"/>
        <item x="19"/>
        <item t="default"/>
      </items>
    </pivotField>
    <pivotField showAll="0"/>
    <pivotField showAll="0"/>
    <pivotField showAll="0"/>
    <pivotField showAll="0" defaultSubtotal="0"/>
  </pivotFields>
  <rowFields count="3">
    <field x="6"/>
    <field x="3"/>
    <field x="5"/>
  </rowFields>
  <rowItems count="1185">
    <i>
      <x/>
    </i>
    <i r="1">
      <x/>
    </i>
    <i r="2">
      <x v="2"/>
    </i>
    <i r="2">
      <x v="3"/>
    </i>
    <i r="2">
      <x v="4"/>
    </i>
    <i r="2">
      <x v="5"/>
    </i>
    <i r="2">
      <x v="11"/>
    </i>
    <i r="2">
      <x v="15"/>
    </i>
    <i r="2">
      <x v="19"/>
    </i>
    <i r="1">
      <x v="1"/>
    </i>
    <i r="2">
      <x v="2"/>
    </i>
    <i r="2">
      <x v="5"/>
    </i>
    <i r="2">
      <x v="8"/>
    </i>
    <i r="2">
      <x v="15"/>
    </i>
    <i r="1">
      <x v="2"/>
    </i>
    <i r="2">
      <x v="2"/>
    </i>
    <i r="2">
      <x v="4"/>
    </i>
    <i r="2">
      <x v="5"/>
    </i>
    <i r="2">
      <x v="7"/>
    </i>
    <i r="2">
      <x v="9"/>
    </i>
    <i r="2">
      <x v="11"/>
    </i>
    <i r="1">
      <x v="3"/>
    </i>
    <i r="2">
      <x/>
    </i>
    <i r="2">
      <x v="2"/>
    </i>
    <i r="2">
      <x v="3"/>
    </i>
    <i r="2">
      <x v="5"/>
    </i>
    <i r="2">
      <x v="7"/>
    </i>
    <i r="1">
      <x v="4"/>
    </i>
    <i r="2">
      <x v="2"/>
    </i>
    <i r="2">
      <x v="4"/>
    </i>
    <i r="2">
      <x v="5"/>
    </i>
    <i r="2">
      <x v="9"/>
    </i>
    <i r="2">
      <x v="13"/>
    </i>
    <i r="2">
      <x v="16"/>
    </i>
    <i r="1">
      <x v="5"/>
    </i>
    <i r="2">
      <x v="2"/>
    </i>
    <i r="2">
      <x v="3"/>
    </i>
    <i r="2">
      <x v="4"/>
    </i>
    <i r="2">
      <x v="5"/>
    </i>
    <i r="1">
      <x v="6"/>
    </i>
    <i r="2">
      <x v="2"/>
    </i>
    <i r="2">
      <x v="4"/>
    </i>
    <i r="2">
      <x v="5"/>
    </i>
    <i r="2">
      <x v="6"/>
    </i>
    <i r="2">
      <x v="7"/>
    </i>
    <i r="2">
      <x v="8"/>
    </i>
    <i r="2">
      <x v="9"/>
    </i>
    <i r="2">
      <x v="14"/>
    </i>
    <i r="1">
      <x v="7"/>
    </i>
    <i r="2">
      <x v="2"/>
    </i>
    <i r="2">
      <x v="4"/>
    </i>
    <i r="2">
      <x v="5"/>
    </i>
    <i r="2">
      <x v="6"/>
    </i>
    <i r="2">
      <x v="8"/>
    </i>
    <i r="2">
      <x v="9"/>
    </i>
    <i r="2">
      <x v="13"/>
    </i>
    <i r="2">
      <x v="15"/>
    </i>
    <i r="2">
      <x v="19"/>
    </i>
    <i r="1">
      <x v="8"/>
    </i>
    <i r="2">
      <x v="2"/>
    </i>
    <i r="2">
      <x v="4"/>
    </i>
    <i r="2">
      <x v="5"/>
    </i>
    <i r="2">
      <x v="6"/>
    </i>
    <i r="2">
      <x v="7"/>
    </i>
    <i r="2">
      <x v="9"/>
    </i>
    <i r="2">
      <x v="11"/>
    </i>
    <i r="2">
      <x v="13"/>
    </i>
    <i r="2">
      <x v="14"/>
    </i>
    <i r="2">
      <x v="15"/>
    </i>
    <i r="2">
      <x v="16"/>
    </i>
    <i r="2">
      <x v="19"/>
    </i>
    <i r="1">
      <x v="9"/>
    </i>
    <i r="2">
      <x v="5"/>
    </i>
    <i r="1">
      <x v="11"/>
    </i>
    <i r="2">
      <x v="7"/>
    </i>
    <i r="2">
      <x v="9"/>
    </i>
    <i r="1">
      <x v="12"/>
    </i>
    <i r="2">
      <x v="2"/>
    </i>
    <i r="2">
      <x v="4"/>
    </i>
    <i r="2">
      <x v="5"/>
    </i>
    <i r="1">
      <x v="13"/>
    </i>
    <i r="2">
      <x v="2"/>
    </i>
    <i r="2">
      <x v="15"/>
    </i>
    <i r="2">
      <x v="21"/>
    </i>
    <i r="1">
      <x v="14"/>
    </i>
    <i r="2">
      <x v="19"/>
    </i>
    <i r="1">
      <x v="15"/>
    </i>
    <i r="2">
      <x v="2"/>
    </i>
    <i r="2">
      <x v="4"/>
    </i>
    <i r="2">
      <x v="8"/>
    </i>
    <i r="2">
      <x v="13"/>
    </i>
    <i r="1">
      <x v="16"/>
    </i>
    <i r="2">
      <x v="2"/>
    </i>
    <i r="2">
      <x v="4"/>
    </i>
    <i r="2">
      <x v="6"/>
    </i>
    <i r="2">
      <x v="11"/>
    </i>
    <i r="2">
      <x v="15"/>
    </i>
    <i r="1">
      <x v="17"/>
    </i>
    <i r="2">
      <x v="2"/>
    </i>
    <i r="2">
      <x v="4"/>
    </i>
    <i r="2">
      <x v="6"/>
    </i>
    <i r="2">
      <x v="13"/>
    </i>
    <i r="2">
      <x v="15"/>
    </i>
    <i r="2">
      <x v="25"/>
    </i>
    <i r="1">
      <x v="18"/>
    </i>
    <i r="2">
      <x v="2"/>
    </i>
    <i r="2">
      <x v="4"/>
    </i>
    <i r="2">
      <x v="5"/>
    </i>
    <i r="2">
      <x v="6"/>
    </i>
    <i r="2">
      <x v="8"/>
    </i>
    <i r="2">
      <x v="13"/>
    </i>
    <i r="1">
      <x v="19"/>
    </i>
    <i r="2">
      <x v="2"/>
    </i>
    <i r="2">
      <x v="19"/>
    </i>
    <i r="1">
      <x v="20"/>
    </i>
    <i r="2">
      <x v="2"/>
    </i>
    <i r="2">
      <x v="4"/>
    </i>
    <i r="2">
      <x v="5"/>
    </i>
    <i r="2">
      <x v="11"/>
    </i>
    <i r="2">
      <x v="15"/>
    </i>
    <i r="2">
      <x v="16"/>
    </i>
    <i r="1">
      <x v="22"/>
    </i>
    <i r="2">
      <x v="15"/>
    </i>
    <i r="1">
      <x v="26"/>
    </i>
    <i r="2">
      <x v="4"/>
    </i>
    <i r="1">
      <x v="27"/>
    </i>
    <i r="2">
      <x v="2"/>
    </i>
    <i r="2">
      <x v="6"/>
    </i>
    <i>
      <x v="1"/>
    </i>
    <i r="1">
      <x/>
    </i>
    <i r="2">
      <x v="2"/>
    </i>
    <i r="2">
      <x v="4"/>
    </i>
    <i r="1">
      <x v="2"/>
    </i>
    <i r="2">
      <x v="2"/>
    </i>
    <i r="2">
      <x v="4"/>
    </i>
    <i r="1">
      <x v="3"/>
    </i>
    <i r="2">
      <x v="2"/>
    </i>
    <i r="2">
      <x v="4"/>
    </i>
    <i r="1">
      <x v="4"/>
    </i>
    <i r="2">
      <x v="2"/>
    </i>
    <i r="1">
      <x v="5"/>
    </i>
    <i r="2">
      <x v="2"/>
    </i>
    <i r="2">
      <x v="4"/>
    </i>
    <i r="1">
      <x v="6"/>
    </i>
    <i r="2">
      <x v="2"/>
    </i>
    <i r="2">
      <x v="4"/>
    </i>
    <i r="1">
      <x v="7"/>
    </i>
    <i r="2">
      <x v="2"/>
    </i>
    <i r="1">
      <x v="8"/>
    </i>
    <i r="2">
      <x v="2"/>
    </i>
    <i r="2">
      <x v="4"/>
    </i>
    <i r="2">
      <x v="18"/>
    </i>
    <i>
      <x v="2"/>
    </i>
    <i r="1">
      <x/>
    </i>
    <i r="2">
      <x v="2"/>
    </i>
    <i r="2">
      <x v="4"/>
    </i>
    <i r="2">
      <x v="5"/>
    </i>
    <i r="2">
      <x v="6"/>
    </i>
    <i r="2">
      <x v="8"/>
    </i>
    <i r="2">
      <x v="9"/>
    </i>
    <i r="1">
      <x v="1"/>
    </i>
    <i r="2">
      <x v="2"/>
    </i>
    <i r="2">
      <x v="3"/>
    </i>
    <i r="2">
      <x v="5"/>
    </i>
    <i r="1">
      <x v="2"/>
    </i>
    <i r="2">
      <x v="2"/>
    </i>
    <i r="2">
      <x v="4"/>
    </i>
    <i r="2">
      <x v="5"/>
    </i>
    <i r="2">
      <x v="12"/>
    </i>
    <i r="1">
      <x v="3"/>
    </i>
    <i r="2">
      <x v="2"/>
    </i>
    <i r="2">
      <x v="4"/>
    </i>
    <i r="2">
      <x v="5"/>
    </i>
    <i r="2">
      <x v="9"/>
    </i>
    <i r="1">
      <x v="4"/>
    </i>
    <i r="2">
      <x v="2"/>
    </i>
    <i r="2">
      <x v="4"/>
    </i>
    <i r="2">
      <x v="5"/>
    </i>
    <i r="2">
      <x v="7"/>
    </i>
    <i r="2">
      <x v="9"/>
    </i>
    <i r="1">
      <x v="5"/>
    </i>
    <i r="2">
      <x v="2"/>
    </i>
    <i r="2">
      <x v="3"/>
    </i>
    <i r="2">
      <x v="4"/>
    </i>
    <i r="2">
      <x v="5"/>
    </i>
    <i r="2">
      <x v="8"/>
    </i>
    <i r="2">
      <x v="13"/>
    </i>
    <i r="1">
      <x v="6"/>
    </i>
    <i r="2">
      <x v="1"/>
    </i>
    <i r="2">
      <x v="2"/>
    </i>
    <i r="2">
      <x v="3"/>
    </i>
    <i r="2">
      <x v="4"/>
    </i>
    <i r="2">
      <x v="5"/>
    </i>
    <i r="2">
      <x v="7"/>
    </i>
    <i r="2">
      <x v="15"/>
    </i>
    <i r="1">
      <x v="7"/>
    </i>
    <i r="2">
      <x v="2"/>
    </i>
    <i r="2">
      <x v="4"/>
    </i>
    <i r="2">
      <x v="5"/>
    </i>
    <i r="2">
      <x v="9"/>
    </i>
    <i r="2">
      <x v="11"/>
    </i>
    <i r="1">
      <x v="8"/>
    </i>
    <i r="2">
      <x v="2"/>
    </i>
    <i r="2">
      <x v="3"/>
    </i>
    <i r="2">
      <x v="4"/>
    </i>
    <i r="2">
      <x v="5"/>
    </i>
    <i r="2">
      <x v="16"/>
    </i>
    <i r="1">
      <x v="12"/>
    </i>
    <i r="2">
      <x v="2"/>
    </i>
    <i r="2">
      <x v="3"/>
    </i>
    <i r="2">
      <x v="4"/>
    </i>
    <i r="2">
      <x v="5"/>
    </i>
    <i r="1">
      <x v="13"/>
    </i>
    <i r="2">
      <x v="2"/>
    </i>
    <i r="1">
      <x v="14"/>
    </i>
    <i r="2">
      <x v="4"/>
    </i>
    <i r="1">
      <x v="15"/>
    </i>
    <i r="2">
      <x v="2"/>
    </i>
    <i r="2">
      <x v="4"/>
    </i>
    <i r="2">
      <x v="5"/>
    </i>
    <i r="2">
      <x v="15"/>
    </i>
    <i r="1">
      <x v="16"/>
    </i>
    <i r="2">
      <x v="2"/>
    </i>
    <i r="2">
      <x v="4"/>
    </i>
    <i r="2">
      <x v="6"/>
    </i>
    <i r="2">
      <x v="8"/>
    </i>
    <i r="1">
      <x v="17"/>
    </i>
    <i r="2">
      <x v="2"/>
    </i>
    <i r="2">
      <x v="4"/>
    </i>
    <i r="2">
      <x v="5"/>
    </i>
    <i r="2">
      <x v="6"/>
    </i>
    <i r="1">
      <x v="18"/>
    </i>
    <i r="2">
      <x v="2"/>
    </i>
    <i r="2">
      <x v="4"/>
    </i>
    <i r="2">
      <x v="5"/>
    </i>
    <i r="2">
      <x v="6"/>
    </i>
    <i r="1">
      <x v="20"/>
    </i>
    <i r="2">
      <x v="2"/>
    </i>
    <i r="2">
      <x v="4"/>
    </i>
    <i r="1">
      <x v="21"/>
    </i>
    <i r="2">
      <x v="3"/>
    </i>
    <i r="1">
      <x v="26"/>
    </i>
    <i r="2">
      <x v="8"/>
    </i>
    <i r="1">
      <x v="27"/>
    </i>
    <i r="2">
      <x v="2"/>
    </i>
    <i r="2">
      <x v="4"/>
    </i>
    <i r="2">
      <x v="5"/>
    </i>
    <i>
      <x v="3"/>
    </i>
    <i r="1">
      <x/>
    </i>
    <i r="2">
      <x v="2"/>
    </i>
    <i r="2">
      <x v="3"/>
    </i>
    <i r="2">
      <x v="5"/>
    </i>
    <i r="2">
      <x v="8"/>
    </i>
    <i r="2">
      <x v="9"/>
    </i>
    <i r="2">
      <x v="15"/>
    </i>
    <i r="2">
      <x v="16"/>
    </i>
    <i r="2">
      <x v="17"/>
    </i>
    <i r="1">
      <x v="1"/>
    </i>
    <i r="2">
      <x v="2"/>
    </i>
    <i r="2">
      <x v="5"/>
    </i>
    <i r="2">
      <x v="8"/>
    </i>
    <i r="2">
      <x v="15"/>
    </i>
    <i r="2">
      <x v="17"/>
    </i>
    <i r="1">
      <x v="2"/>
    </i>
    <i r="2">
      <x v="2"/>
    </i>
    <i r="2">
      <x v="4"/>
    </i>
    <i r="2">
      <x v="6"/>
    </i>
    <i r="2">
      <x v="7"/>
    </i>
    <i r="2">
      <x v="8"/>
    </i>
    <i r="2">
      <x v="10"/>
    </i>
    <i r="2">
      <x v="11"/>
    </i>
    <i r="2">
      <x v="12"/>
    </i>
    <i r="2">
      <x v="13"/>
    </i>
    <i r="2">
      <x v="14"/>
    </i>
    <i r="2">
      <x v="19"/>
    </i>
    <i r="1">
      <x v="3"/>
    </i>
    <i r="2">
      <x v="2"/>
    </i>
    <i r="2">
      <x v="3"/>
    </i>
    <i r="2">
      <x v="4"/>
    </i>
    <i r="2">
      <x v="5"/>
    </i>
    <i r="2">
      <x v="11"/>
    </i>
    <i r="2">
      <x v="13"/>
    </i>
    <i r="2">
      <x v="15"/>
    </i>
    <i r="1">
      <x v="4"/>
    </i>
    <i r="2">
      <x v="2"/>
    </i>
    <i r="2">
      <x v="3"/>
    </i>
    <i r="2">
      <x v="4"/>
    </i>
    <i r="2">
      <x v="5"/>
    </i>
    <i r="2">
      <x v="11"/>
    </i>
    <i r="2">
      <x v="15"/>
    </i>
    <i r="2">
      <x v="16"/>
    </i>
    <i r="2">
      <x v="19"/>
    </i>
    <i r="1">
      <x v="5"/>
    </i>
    <i r="2">
      <x v="2"/>
    </i>
    <i r="2">
      <x v="4"/>
    </i>
    <i r="2">
      <x v="5"/>
    </i>
    <i r="2">
      <x v="6"/>
    </i>
    <i r="2">
      <x v="8"/>
    </i>
    <i r="2">
      <x v="9"/>
    </i>
    <i r="2">
      <x v="11"/>
    </i>
    <i r="2">
      <x v="16"/>
    </i>
    <i r="1">
      <x v="6"/>
    </i>
    <i r="2">
      <x v="2"/>
    </i>
    <i r="2">
      <x v="3"/>
    </i>
    <i r="2">
      <x v="4"/>
    </i>
    <i r="2">
      <x v="5"/>
    </i>
    <i r="2">
      <x v="6"/>
    </i>
    <i r="2">
      <x v="8"/>
    </i>
    <i r="2">
      <x v="9"/>
    </i>
    <i r="2">
      <x v="11"/>
    </i>
    <i r="2">
      <x v="15"/>
    </i>
    <i r="2">
      <x v="19"/>
    </i>
    <i r="1">
      <x v="7"/>
    </i>
    <i r="2">
      <x v="2"/>
    </i>
    <i r="2">
      <x v="4"/>
    </i>
    <i r="2">
      <x v="6"/>
    </i>
    <i r="2">
      <x v="8"/>
    </i>
    <i r="2">
      <x v="11"/>
    </i>
    <i r="1">
      <x v="8"/>
    </i>
    <i r="2">
      <x v="2"/>
    </i>
    <i r="2">
      <x v="4"/>
    </i>
    <i r="2">
      <x v="5"/>
    </i>
    <i r="2">
      <x v="8"/>
    </i>
    <i r="2">
      <x v="12"/>
    </i>
    <i r="2">
      <x v="15"/>
    </i>
    <i r="1">
      <x v="12"/>
    </i>
    <i r="2">
      <x v="4"/>
    </i>
    <i r="2">
      <x v="7"/>
    </i>
    <i r="2">
      <x v="8"/>
    </i>
    <i r="1">
      <x v="13"/>
    </i>
    <i r="2">
      <x v="2"/>
    </i>
    <i r="2">
      <x v="3"/>
    </i>
    <i r="2">
      <x v="4"/>
    </i>
    <i r="2">
      <x v="8"/>
    </i>
    <i r="2">
      <x v="13"/>
    </i>
    <i r="2">
      <x v="15"/>
    </i>
    <i r="2">
      <x v="16"/>
    </i>
    <i r="1">
      <x v="14"/>
    </i>
    <i r="2">
      <x v="2"/>
    </i>
    <i r="2">
      <x v="4"/>
    </i>
    <i r="1">
      <x v="15"/>
    </i>
    <i r="2">
      <x v="2"/>
    </i>
    <i r="2">
      <x v="4"/>
    </i>
    <i r="2">
      <x v="6"/>
    </i>
    <i r="2">
      <x v="11"/>
    </i>
    <i r="2">
      <x v="19"/>
    </i>
    <i r="1">
      <x v="16"/>
    </i>
    <i r="2">
      <x v="4"/>
    </i>
    <i r="2">
      <x v="6"/>
    </i>
    <i r="2">
      <x v="7"/>
    </i>
    <i r="2">
      <x v="9"/>
    </i>
    <i r="2">
      <x v="11"/>
    </i>
    <i r="2">
      <x v="13"/>
    </i>
    <i r="1">
      <x v="17"/>
    </i>
    <i r="2">
      <x v="2"/>
    </i>
    <i r="2">
      <x v="4"/>
    </i>
    <i r="2">
      <x v="5"/>
    </i>
    <i r="2">
      <x v="19"/>
    </i>
    <i r="1">
      <x v="18"/>
    </i>
    <i r="2">
      <x v="3"/>
    </i>
    <i r="2">
      <x v="8"/>
    </i>
    <i r="2">
      <x v="12"/>
    </i>
    <i r="2">
      <x v="19"/>
    </i>
    <i r="1">
      <x v="19"/>
    </i>
    <i r="2">
      <x v="4"/>
    </i>
    <i r="2">
      <x v="5"/>
    </i>
    <i r="2">
      <x v="15"/>
    </i>
    <i r="1">
      <x v="20"/>
    </i>
    <i r="2">
      <x v="2"/>
    </i>
    <i r="2">
      <x v="4"/>
    </i>
    <i r="2">
      <x v="5"/>
    </i>
    <i r="2">
      <x v="6"/>
    </i>
    <i r="2">
      <x v="8"/>
    </i>
    <i r="2">
      <x v="9"/>
    </i>
    <i r="2">
      <x v="11"/>
    </i>
    <i r="2">
      <x v="13"/>
    </i>
    <i r="2">
      <x v="15"/>
    </i>
    <i r="2">
      <x v="19"/>
    </i>
    <i r="1">
      <x v="21"/>
    </i>
    <i r="2">
      <x v="2"/>
    </i>
    <i r="1">
      <x v="26"/>
    </i>
    <i r="2">
      <x v="2"/>
    </i>
    <i r="2">
      <x v="5"/>
    </i>
    <i r="2">
      <x v="11"/>
    </i>
    <i r="1">
      <x v="27"/>
    </i>
    <i r="2">
      <x v="2"/>
    </i>
    <i r="2">
      <x v="5"/>
    </i>
    <i r="2">
      <x v="9"/>
    </i>
    <i r="2">
      <x v="18"/>
    </i>
    <i>
      <x v="4"/>
    </i>
    <i r="1">
      <x/>
    </i>
    <i r="2">
      <x v="2"/>
    </i>
    <i r="2">
      <x v="4"/>
    </i>
    <i r="2">
      <x v="5"/>
    </i>
    <i r="2">
      <x v="9"/>
    </i>
    <i r="2">
      <x v="12"/>
    </i>
    <i r="2">
      <x v="13"/>
    </i>
    <i r="1">
      <x v="2"/>
    </i>
    <i r="2">
      <x v="2"/>
    </i>
    <i r="2">
      <x v="4"/>
    </i>
    <i r="2">
      <x v="5"/>
    </i>
    <i r="2">
      <x v="9"/>
    </i>
    <i r="2">
      <x v="11"/>
    </i>
    <i r="2">
      <x v="13"/>
    </i>
    <i r="2">
      <x v="15"/>
    </i>
    <i r="1">
      <x v="3"/>
    </i>
    <i r="2">
      <x v="2"/>
    </i>
    <i r="1">
      <x v="4"/>
    </i>
    <i r="2">
      <x v="2"/>
    </i>
    <i r="2">
      <x v="4"/>
    </i>
    <i r="2">
      <x v="13"/>
    </i>
    <i r="2">
      <x v="18"/>
    </i>
    <i r="1">
      <x v="5"/>
    </i>
    <i r="2">
      <x v="2"/>
    </i>
    <i r="2">
      <x v="3"/>
    </i>
    <i r="2">
      <x v="4"/>
    </i>
    <i r="2">
      <x v="16"/>
    </i>
    <i r="1">
      <x v="6"/>
    </i>
    <i r="2">
      <x v="2"/>
    </i>
    <i r="2">
      <x v="4"/>
    </i>
    <i r="2">
      <x v="5"/>
    </i>
    <i r="2">
      <x v="6"/>
    </i>
    <i r="2">
      <x v="8"/>
    </i>
    <i r="2">
      <x v="19"/>
    </i>
    <i r="1">
      <x v="7"/>
    </i>
    <i r="2">
      <x v="2"/>
    </i>
    <i r="2">
      <x v="4"/>
    </i>
    <i r="2">
      <x v="8"/>
    </i>
    <i r="2">
      <x v="11"/>
    </i>
    <i r="1">
      <x v="8"/>
    </i>
    <i r="2">
      <x/>
    </i>
    <i r="2">
      <x v="2"/>
    </i>
    <i r="2">
      <x v="4"/>
    </i>
    <i r="2">
      <x v="5"/>
    </i>
    <i r="2">
      <x v="6"/>
    </i>
    <i r="2">
      <x v="8"/>
    </i>
    <i r="2">
      <x v="13"/>
    </i>
    <i r="2">
      <x v="15"/>
    </i>
    <i r="1">
      <x v="12"/>
    </i>
    <i r="2">
      <x v="2"/>
    </i>
    <i r="2">
      <x v="4"/>
    </i>
    <i r="2">
      <x v="5"/>
    </i>
    <i r="2">
      <x v="7"/>
    </i>
    <i r="2">
      <x v="8"/>
    </i>
    <i r="2">
      <x v="11"/>
    </i>
    <i r="1">
      <x v="13"/>
    </i>
    <i r="2">
      <x v="4"/>
    </i>
    <i r="1">
      <x v="14"/>
    </i>
    <i r="2">
      <x v="2"/>
    </i>
    <i r="1">
      <x v="15"/>
    </i>
    <i r="2">
      <x v="2"/>
    </i>
    <i r="1">
      <x v="16"/>
    </i>
    <i r="2">
      <x v="2"/>
    </i>
    <i r="2">
      <x v="4"/>
    </i>
    <i r="2">
      <x v="5"/>
    </i>
    <i r="2">
      <x v="6"/>
    </i>
    <i r="2">
      <x v="8"/>
    </i>
    <i r="2">
      <x v="9"/>
    </i>
    <i r="2">
      <x v="15"/>
    </i>
    <i r="1">
      <x v="17"/>
    </i>
    <i r="2">
      <x v="2"/>
    </i>
    <i r="2">
      <x v="4"/>
    </i>
    <i r="2">
      <x v="5"/>
    </i>
    <i r="2">
      <x v="11"/>
    </i>
    <i r="2">
      <x v="20"/>
    </i>
    <i r="1">
      <x v="18"/>
    </i>
    <i r="2">
      <x v="2"/>
    </i>
    <i r="2">
      <x v="4"/>
    </i>
    <i r="2">
      <x v="5"/>
    </i>
    <i r="2">
      <x v="9"/>
    </i>
    <i r="2">
      <x v="11"/>
    </i>
    <i r="2">
      <x v="14"/>
    </i>
    <i r="2">
      <x v="26"/>
    </i>
    <i r="1">
      <x v="19"/>
    </i>
    <i r="2">
      <x v="2"/>
    </i>
    <i r="2">
      <x v="4"/>
    </i>
    <i r="2">
      <x v="8"/>
    </i>
    <i r="2">
      <x v="11"/>
    </i>
    <i r="1">
      <x v="20"/>
    </i>
    <i r="2">
      <x v="2"/>
    </i>
    <i r="2">
      <x v="4"/>
    </i>
    <i r="2">
      <x v="5"/>
    </i>
    <i r="2">
      <x v="9"/>
    </i>
    <i r="2">
      <x v="11"/>
    </i>
    <i r="2">
      <x v="16"/>
    </i>
    <i r="2">
      <x v="19"/>
    </i>
    <i r="1">
      <x v="21"/>
    </i>
    <i r="2">
      <x v="16"/>
    </i>
    <i r="1">
      <x v="23"/>
    </i>
    <i r="2">
      <x v="8"/>
    </i>
    <i r="2">
      <x v="11"/>
    </i>
    <i r="2">
      <x v="15"/>
    </i>
    <i r="1">
      <x v="24"/>
    </i>
    <i r="2">
      <x v="2"/>
    </i>
    <i r="2">
      <x v="5"/>
    </i>
    <i r="2">
      <x v="8"/>
    </i>
    <i r="2">
      <x v="10"/>
    </i>
    <i r="2">
      <x v="15"/>
    </i>
    <i r="1">
      <x v="26"/>
    </i>
    <i r="2">
      <x v="19"/>
    </i>
    <i r="1">
      <x v="27"/>
    </i>
    <i r="2">
      <x v="2"/>
    </i>
    <i r="2">
      <x v="4"/>
    </i>
    <i r="2">
      <x v="5"/>
    </i>
    <i r="2">
      <x v="9"/>
    </i>
    <i>
      <x v="5"/>
    </i>
    <i r="1">
      <x/>
    </i>
    <i r="2">
      <x v="2"/>
    </i>
    <i r="2">
      <x v="4"/>
    </i>
    <i r="1">
      <x v="2"/>
    </i>
    <i r="2">
      <x v="2"/>
    </i>
    <i r="2">
      <x v="4"/>
    </i>
    <i r="1">
      <x v="3"/>
    </i>
    <i r="2">
      <x v="2"/>
    </i>
    <i r="1">
      <x v="4"/>
    </i>
    <i r="2">
      <x v="2"/>
    </i>
    <i r="1">
      <x v="6"/>
    </i>
    <i r="2">
      <x v="2"/>
    </i>
    <i r="2">
      <x v="4"/>
    </i>
    <i r="1">
      <x v="7"/>
    </i>
    <i r="2">
      <x v="2"/>
    </i>
    <i r="2">
      <x v="4"/>
    </i>
    <i r="1">
      <x v="8"/>
    </i>
    <i r="2">
      <x v="2"/>
    </i>
    <i r="1">
      <x v="13"/>
    </i>
    <i r="2">
      <x v="11"/>
    </i>
    <i r="1">
      <x v="14"/>
    </i>
    <i r="2">
      <x v="2"/>
    </i>
    <i>
      <x v="6"/>
    </i>
    <i r="1">
      <x/>
    </i>
    <i r="2">
      <x v="2"/>
    </i>
    <i r="2">
      <x v="4"/>
    </i>
    <i r="2">
      <x v="8"/>
    </i>
    <i r="2">
      <x v="11"/>
    </i>
    <i r="2">
      <x v="18"/>
    </i>
    <i r="2">
      <x v="19"/>
    </i>
    <i r="1">
      <x v="1"/>
    </i>
    <i r="2">
      <x v="2"/>
    </i>
    <i r="2">
      <x v="5"/>
    </i>
    <i r="2">
      <x v="15"/>
    </i>
    <i r="1">
      <x v="2"/>
    </i>
    <i r="2">
      <x v="2"/>
    </i>
    <i r="2">
      <x v="4"/>
    </i>
    <i r="2">
      <x v="5"/>
    </i>
    <i r="2">
      <x v="7"/>
    </i>
    <i r="2">
      <x v="8"/>
    </i>
    <i r="1">
      <x v="3"/>
    </i>
    <i r="2">
      <x v="2"/>
    </i>
    <i r="2">
      <x v="3"/>
    </i>
    <i r="2">
      <x v="4"/>
    </i>
    <i r="2">
      <x v="5"/>
    </i>
    <i r="1">
      <x v="4"/>
    </i>
    <i r="2">
      <x v="2"/>
    </i>
    <i r="2">
      <x v="4"/>
    </i>
    <i r="2">
      <x v="5"/>
    </i>
    <i r="2">
      <x v="8"/>
    </i>
    <i r="2">
      <x v="11"/>
    </i>
    <i r="2">
      <x v="13"/>
    </i>
    <i r="2">
      <x v="15"/>
    </i>
    <i r="2">
      <x v="16"/>
    </i>
    <i r="1">
      <x v="5"/>
    </i>
    <i r="2">
      <x v="2"/>
    </i>
    <i r="2">
      <x v="4"/>
    </i>
    <i r="2">
      <x v="5"/>
    </i>
    <i r="2">
      <x v="15"/>
    </i>
    <i r="1">
      <x v="6"/>
    </i>
    <i r="2">
      <x v="2"/>
    </i>
    <i r="2">
      <x v="3"/>
    </i>
    <i r="2">
      <x v="4"/>
    </i>
    <i r="2">
      <x v="5"/>
    </i>
    <i r="2">
      <x v="6"/>
    </i>
    <i r="2">
      <x v="8"/>
    </i>
    <i r="2">
      <x v="15"/>
    </i>
    <i r="1">
      <x v="7"/>
    </i>
    <i r="2">
      <x v="2"/>
    </i>
    <i r="2">
      <x v="4"/>
    </i>
    <i r="2">
      <x v="6"/>
    </i>
    <i r="2">
      <x v="8"/>
    </i>
    <i r="2">
      <x v="16"/>
    </i>
    <i r="1">
      <x v="8"/>
    </i>
    <i r="2">
      <x v="2"/>
    </i>
    <i r="2">
      <x v="3"/>
    </i>
    <i r="2">
      <x v="4"/>
    </i>
    <i r="2">
      <x v="5"/>
    </i>
    <i r="2">
      <x v="6"/>
    </i>
    <i r="2">
      <x v="8"/>
    </i>
    <i r="2">
      <x v="9"/>
    </i>
    <i r="1">
      <x v="12"/>
    </i>
    <i r="2">
      <x v="2"/>
    </i>
    <i r="2">
      <x v="4"/>
    </i>
    <i r="2">
      <x v="10"/>
    </i>
    <i r="1">
      <x v="13"/>
    </i>
    <i r="2">
      <x v="2"/>
    </i>
    <i r="2">
      <x v="4"/>
    </i>
    <i r="2">
      <x v="5"/>
    </i>
    <i r="2">
      <x v="8"/>
    </i>
    <i r="1">
      <x v="14"/>
    </i>
    <i r="2">
      <x v="8"/>
    </i>
    <i r="2">
      <x v="11"/>
    </i>
    <i r="2">
      <x v="15"/>
    </i>
    <i r="2">
      <x v="16"/>
    </i>
    <i r="1">
      <x v="15"/>
    </i>
    <i r="2">
      <x v="2"/>
    </i>
    <i r="2">
      <x v="4"/>
    </i>
    <i r="2">
      <x v="5"/>
    </i>
    <i r="2">
      <x v="6"/>
    </i>
    <i r="2">
      <x v="8"/>
    </i>
    <i r="2">
      <x v="9"/>
    </i>
    <i r="1">
      <x v="16"/>
    </i>
    <i r="2">
      <x v="2"/>
    </i>
    <i r="2">
      <x v="4"/>
    </i>
    <i r="2">
      <x v="5"/>
    </i>
    <i r="2">
      <x v="8"/>
    </i>
    <i r="2">
      <x v="9"/>
    </i>
    <i r="2">
      <x v="11"/>
    </i>
    <i r="2">
      <x v="15"/>
    </i>
    <i r="2">
      <x v="17"/>
    </i>
    <i r="1">
      <x v="17"/>
    </i>
    <i r="2">
      <x v="2"/>
    </i>
    <i r="2">
      <x v="4"/>
    </i>
    <i r="2">
      <x v="5"/>
    </i>
    <i r="2">
      <x v="6"/>
    </i>
    <i r="2">
      <x v="7"/>
    </i>
    <i r="2">
      <x v="8"/>
    </i>
    <i r="1">
      <x v="18"/>
    </i>
    <i r="2">
      <x v="2"/>
    </i>
    <i r="2">
      <x v="4"/>
    </i>
    <i r="2">
      <x v="5"/>
    </i>
    <i r="2">
      <x v="6"/>
    </i>
    <i r="2">
      <x v="15"/>
    </i>
    <i r="2">
      <x v="19"/>
    </i>
    <i r="1">
      <x v="19"/>
    </i>
    <i r="2">
      <x v="4"/>
    </i>
    <i r="1">
      <x v="20"/>
    </i>
    <i r="2">
      <x v="2"/>
    </i>
    <i r="2">
      <x v="4"/>
    </i>
    <i r="2">
      <x v="16"/>
    </i>
    <i r="2">
      <x v="19"/>
    </i>
    <i r="1">
      <x v="22"/>
    </i>
    <i r="2">
      <x v="8"/>
    </i>
    <i r="2">
      <x v="15"/>
    </i>
    <i r="1">
      <x v="26"/>
    </i>
    <i r="2">
      <x v="2"/>
    </i>
    <i r="2">
      <x v="6"/>
    </i>
    <i r="2">
      <x v="9"/>
    </i>
    <i r="1">
      <x v="27"/>
    </i>
    <i r="2">
      <x v="2"/>
    </i>
    <i r="2">
      <x v="4"/>
    </i>
    <i r="2">
      <x v="5"/>
    </i>
    <i r="2">
      <x v="6"/>
    </i>
    <i r="2">
      <x v="9"/>
    </i>
    <i>
      <x v="7"/>
    </i>
    <i r="1">
      <x/>
    </i>
    <i r="2">
      <x v="2"/>
    </i>
    <i r="2">
      <x v="4"/>
    </i>
    <i r="2">
      <x v="5"/>
    </i>
    <i r="2">
      <x v="6"/>
    </i>
    <i r="2">
      <x v="11"/>
    </i>
    <i r="2">
      <x v="15"/>
    </i>
    <i r="2">
      <x v="16"/>
    </i>
    <i r="2">
      <x v="19"/>
    </i>
    <i r="1">
      <x v="2"/>
    </i>
    <i r="2">
      <x v="2"/>
    </i>
    <i r="2">
      <x v="4"/>
    </i>
    <i r="2">
      <x v="6"/>
    </i>
    <i r="1">
      <x v="3"/>
    </i>
    <i r="2">
      <x v="2"/>
    </i>
    <i r="2">
      <x v="4"/>
    </i>
    <i r="2">
      <x v="9"/>
    </i>
    <i r="1">
      <x v="4"/>
    </i>
    <i r="2">
      <x v="2"/>
    </i>
    <i r="2">
      <x v="4"/>
    </i>
    <i r="2">
      <x v="6"/>
    </i>
    <i r="2">
      <x v="8"/>
    </i>
    <i r="1">
      <x v="5"/>
    </i>
    <i r="2">
      <x v="2"/>
    </i>
    <i r="2">
      <x v="4"/>
    </i>
    <i r="2">
      <x v="5"/>
    </i>
    <i r="2">
      <x v="6"/>
    </i>
    <i r="2">
      <x v="8"/>
    </i>
    <i r="2">
      <x v="11"/>
    </i>
    <i r="2">
      <x v="15"/>
    </i>
    <i r="1">
      <x v="6"/>
    </i>
    <i r="2">
      <x v="2"/>
    </i>
    <i r="2">
      <x v="4"/>
    </i>
    <i r="2">
      <x v="5"/>
    </i>
    <i r="2">
      <x v="6"/>
    </i>
    <i r="2">
      <x v="8"/>
    </i>
    <i r="2">
      <x v="11"/>
    </i>
    <i r="2">
      <x v="14"/>
    </i>
    <i r="1">
      <x v="7"/>
    </i>
    <i r="2">
      <x v="2"/>
    </i>
    <i r="2">
      <x v="4"/>
    </i>
    <i r="2">
      <x v="5"/>
    </i>
    <i r="2">
      <x v="15"/>
    </i>
    <i r="1">
      <x v="8"/>
    </i>
    <i r="2">
      <x v="2"/>
    </i>
    <i r="2">
      <x v="4"/>
    </i>
    <i r="2">
      <x v="5"/>
    </i>
    <i r="2">
      <x v="6"/>
    </i>
    <i r="2">
      <x v="8"/>
    </i>
    <i r="2">
      <x v="9"/>
    </i>
    <i r="2">
      <x v="11"/>
    </i>
    <i r="2">
      <x v="15"/>
    </i>
    <i r="2">
      <x v="19"/>
    </i>
    <i r="2">
      <x v="22"/>
    </i>
    <i r="1">
      <x v="12"/>
    </i>
    <i r="2">
      <x v="2"/>
    </i>
    <i r="2">
      <x v="4"/>
    </i>
    <i r="2">
      <x v="5"/>
    </i>
    <i r="2">
      <x v="6"/>
    </i>
    <i r="2">
      <x v="8"/>
    </i>
    <i r="2">
      <x v="9"/>
    </i>
    <i r="2">
      <x v="11"/>
    </i>
    <i r="2">
      <x v="13"/>
    </i>
    <i r="2">
      <x v="16"/>
    </i>
    <i r="1">
      <x v="13"/>
    </i>
    <i r="2">
      <x v="11"/>
    </i>
    <i r="1">
      <x v="14"/>
    </i>
    <i r="2">
      <x v="4"/>
    </i>
    <i r="2">
      <x v="5"/>
    </i>
    <i r="1">
      <x v="15"/>
    </i>
    <i r="2">
      <x v="4"/>
    </i>
    <i r="2">
      <x v="6"/>
    </i>
    <i r="2">
      <x v="9"/>
    </i>
    <i r="2">
      <x v="16"/>
    </i>
    <i r="2">
      <x v="17"/>
    </i>
    <i r="2">
      <x v="19"/>
    </i>
    <i r="1">
      <x v="16"/>
    </i>
    <i r="2">
      <x v="2"/>
    </i>
    <i r="2">
      <x v="4"/>
    </i>
    <i r="2">
      <x v="5"/>
    </i>
    <i r="2">
      <x v="8"/>
    </i>
    <i r="2">
      <x v="11"/>
    </i>
    <i r="2">
      <x v="12"/>
    </i>
    <i r="2">
      <x v="16"/>
    </i>
    <i r="2">
      <x v="17"/>
    </i>
    <i r="1">
      <x v="17"/>
    </i>
    <i r="2">
      <x v="2"/>
    </i>
    <i r="2">
      <x v="4"/>
    </i>
    <i r="2">
      <x v="5"/>
    </i>
    <i r="2">
      <x v="11"/>
    </i>
    <i r="1">
      <x v="18"/>
    </i>
    <i r="2">
      <x v="2"/>
    </i>
    <i r="2">
      <x v="4"/>
    </i>
    <i r="2">
      <x v="5"/>
    </i>
    <i r="2">
      <x v="9"/>
    </i>
    <i r="2">
      <x v="15"/>
    </i>
    <i r="1">
      <x v="20"/>
    </i>
    <i r="2">
      <x v="2"/>
    </i>
    <i r="2">
      <x v="4"/>
    </i>
    <i r="2">
      <x v="5"/>
    </i>
    <i r="2">
      <x v="6"/>
    </i>
    <i r="2">
      <x v="7"/>
    </i>
    <i r="2">
      <x v="11"/>
    </i>
    <i r="2">
      <x v="14"/>
    </i>
    <i r="2">
      <x v="15"/>
    </i>
    <i r="2">
      <x v="16"/>
    </i>
    <i r="2">
      <x v="19"/>
    </i>
    <i r="2">
      <x v="22"/>
    </i>
    <i r="1">
      <x v="23"/>
    </i>
    <i r="2">
      <x v="8"/>
    </i>
    <i r="2">
      <x v="11"/>
    </i>
    <i r="2">
      <x v="14"/>
    </i>
    <i r="2">
      <x v="23"/>
    </i>
    <i r="1">
      <x v="24"/>
    </i>
    <i r="2">
      <x v="5"/>
    </i>
    <i r="2">
      <x v="8"/>
    </i>
    <i r="2">
      <x v="11"/>
    </i>
    <i r="1">
      <x v="26"/>
    </i>
    <i r="2">
      <x v="4"/>
    </i>
    <i r="2">
      <x v="6"/>
    </i>
    <i r="1">
      <x v="27"/>
    </i>
    <i r="2">
      <x v="6"/>
    </i>
    <i r="2">
      <x v="19"/>
    </i>
    <i>
      <x v="8"/>
    </i>
    <i r="1">
      <x/>
    </i>
    <i r="2">
      <x v="7"/>
    </i>
    <i r="2">
      <x v="9"/>
    </i>
    <i r="1">
      <x v="4"/>
    </i>
    <i r="2">
      <x v="7"/>
    </i>
    <i r="2">
      <x v="9"/>
    </i>
    <i r="1">
      <x v="5"/>
    </i>
    <i r="2">
      <x v="5"/>
    </i>
    <i r="2">
      <x v="7"/>
    </i>
    <i r="1">
      <x v="6"/>
    </i>
    <i r="2">
      <x v="5"/>
    </i>
    <i r="1">
      <x v="7"/>
    </i>
    <i r="2">
      <x v="5"/>
    </i>
    <i r="2">
      <x v="7"/>
    </i>
    <i r="1">
      <x v="8"/>
    </i>
    <i r="2">
      <x v="5"/>
    </i>
    <i r="2">
      <x v="9"/>
    </i>
    <i>
      <x v="9"/>
    </i>
    <i r="1">
      <x/>
    </i>
    <i r="2">
      <x v="5"/>
    </i>
    <i r="2">
      <x v="15"/>
    </i>
    <i r="1">
      <x v="4"/>
    </i>
    <i r="2">
      <x v="8"/>
    </i>
    <i r="2">
      <x v="11"/>
    </i>
    <i r="1">
      <x v="6"/>
    </i>
    <i r="2">
      <x v="5"/>
    </i>
    <i r="2">
      <x v="7"/>
    </i>
    <i r="1">
      <x v="8"/>
    </i>
    <i r="2">
      <x v="5"/>
    </i>
    <i r="1">
      <x v="10"/>
    </i>
    <i r="2">
      <x v="5"/>
    </i>
    <i r="1">
      <x v="13"/>
    </i>
    <i r="2">
      <x v="8"/>
    </i>
    <i r="2">
      <x v="11"/>
    </i>
    <i r="1">
      <x v="14"/>
    </i>
    <i r="2">
      <x v="5"/>
    </i>
    <i r="1">
      <x v="15"/>
    </i>
    <i r="2">
      <x v="5"/>
    </i>
    <i r="2">
      <x v="11"/>
    </i>
    <i r="1">
      <x v="16"/>
    </i>
    <i r="2">
      <x v="5"/>
    </i>
    <i r="1">
      <x v="17"/>
    </i>
    <i r="2">
      <x v="8"/>
    </i>
    <i r="1">
      <x v="18"/>
    </i>
    <i r="2">
      <x v="11"/>
    </i>
    <i r="1">
      <x v="22"/>
    </i>
    <i r="2">
      <x v="8"/>
    </i>
    <i r="2">
      <x v="11"/>
    </i>
    <i>
      <x v="10"/>
    </i>
    <i r="1">
      <x v="2"/>
    </i>
    <i r="2">
      <x v="2"/>
    </i>
    <i r="2">
      <x v="4"/>
    </i>
    <i r="2">
      <x v="5"/>
    </i>
    <i r="1">
      <x v="4"/>
    </i>
    <i r="2">
      <x v="4"/>
    </i>
    <i r="1">
      <x v="5"/>
    </i>
    <i r="2">
      <x v="2"/>
    </i>
    <i r="1">
      <x v="6"/>
    </i>
    <i r="2">
      <x v="2"/>
    </i>
    <i r="2">
      <x v="4"/>
    </i>
    <i r="2">
      <x v="9"/>
    </i>
    <i r="1">
      <x v="7"/>
    </i>
    <i r="2">
      <x v="2"/>
    </i>
    <i r="1">
      <x v="8"/>
    </i>
    <i r="2">
      <x v="2"/>
    </i>
    <i r="2">
      <x v="4"/>
    </i>
    <i r="2">
      <x v="5"/>
    </i>
    <i r="1">
      <x v="9"/>
    </i>
    <i r="2">
      <x v="7"/>
    </i>
    <i r="2">
      <x v="9"/>
    </i>
    <i r="1">
      <x v="10"/>
    </i>
    <i r="2">
      <x v="5"/>
    </i>
    <i r="2">
      <x v="10"/>
    </i>
    <i r="1">
      <x v="12"/>
    </i>
    <i r="2">
      <x v="2"/>
    </i>
    <i r="2">
      <x v="4"/>
    </i>
    <i r="1">
      <x v="13"/>
    </i>
    <i r="2">
      <x v="2"/>
    </i>
    <i r="1">
      <x v="15"/>
    </i>
    <i r="2">
      <x v="4"/>
    </i>
    <i r="1">
      <x v="16"/>
    </i>
    <i r="2">
      <x v="2"/>
    </i>
    <i r="2">
      <x v="4"/>
    </i>
    <i r="1">
      <x v="20"/>
    </i>
    <i r="2">
      <x v="2"/>
    </i>
    <i r="2">
      <x v="4"/>
    </i>
    <i>
      <x v="11"/>
    </i>
    <i r="1">
      <x/>
    </i>
    <i r="2">
      <x v="5"/>
    </i>
    <i r="2">
      <x v="7"/>
    </i>
    <i r="1">
      <x v="2"/>
    </i>
    <i r="2">
      <x v="9"/>
    </i>
    <i r="1">
      <x v="3"/>
    </i>
    <i r="2">
      <x v="5"/>
    </i>
    <i r="1">
      <x v="5"/>
    </i>
    <i r="2">
      <x v="5"/>
    </i>
    <i r="2">
      <x v="7"/>
    </i>
    <i r="2">
      <x v="9"/>
    </i>
    <i r="2">
      <x v="10"/>
    </i>
    <i r="2">
      <x v="12"/>
    </i>
    <i r="1">
      <x v="6"/>
    </i>
    <i r="2">
      <x v="5"/>
    </i>
    <i r="2">
      <x v="7"/>
    </i>
    <i r="2">
      <x v="13"/>
    </i>
    <i r="1">
      <x v="7"/>
    </i>
    <i r="2">
      <x v="9"/>
    </i>
    <i r="1">
      <x v="8"/>
    </i>
    <i r="2">
      <x v="12"/>
    </i>
    <i r="2">
      <x v="15"/>
    </i>
    <i r="1">
      <x v="9"/>
    </i>
    <i r="2">
      <x v="12"/>
    </i>
    <i r="1">
      <x v="10"/>
    </i>
    <i r="2">
      <x v="9"/>
    </i>
    <i r="2">
      <x v="12"/>
    </i>
    <i r="1">
      <x v="11"/>
    </i>
    <i r="2">
      <x v="5"/>
    </i>
    <i>
      <x v="12"/>
    </i>
    <i r="1">
      <x/>
    </i>
    <i r="2">
      <x v="4"/>
    </i>
    <i r="2">
      <x v="6"/>
    </i>
    <i r="1">
      <x v="2"/>
    </i>
    <i r="2">
      <x v="4"/>
    </i>
    <i r="1">
      <x v="3"/>
    </i>
    <i r="2">
      <x v="2"/>
    </i>
    <i r="2">
      <x v="4"/>
    </i>
    <i r="2">
      <x v="7"/>
    </i>
    <i r="1">
      <x v="4"/>
    </i>
    <i r="2">
      <x v="5"/>
    </i>
    <i r="2">
      <x v="8"/>
    </i>
    <i r="2">
      <x v="11"/>
    </i>
    <i r="1">
      <x v="5"/>
    </i>
    <i r="2">
      <x v="2"/>
    </i>
    <i r="2">
      <x v="4"/>
    </i>
    <i r="2">
      <x v="6"/>
    </i>
    <i r="1">
      <x v="6"/>
    </i>
    <i r="2">
      <x v="4"/>
    </i>
    <i r="1">
      <x v="7"/>
    </i>
    <i r="2">
      <x v="2"/>
    </i>
    <i r="2">
      <x v="4"/>
    </i>
    <i r="1">
      <x v="8"/>
    </i>
    <i r="2">
      <x v="2"/>
    </i>
    <i r="2">
      <x v="4"/>
    </i>
    <i r="1">
      <x v="14"/>
    </i>
    <i r="2">
      <x v="5"/>
    </i>
    <i r="2">
      <x v="8"/>
    </i>
    <i r="2">
      <x v="11"/>
    </i>
    <i r="1">
      <x v="15"/>
    </i>
    <i r="2">
      <x v="8"/>
    </i>
    <i r="2">
      <x v="11"/>
    </i>
    <i r="2">
      <x v="15"/>
    </i>
    <i r="1">
      <x v="17"/>
    </i>
    <i r="2">
      <x v="5"/>
    </i>
    <i r="1">
      <x v="18"/>
    </i>
    <i r="2">
      <x v="16"/>
    </i>
    <i r="1">
      <x v="22"/>
    </i>
    <i r="2">
      <x v="5"/>
    </i>
    <i r="2">
      <x v="8"/>
    </i>
    <i>
      <x v="13"/>
    </i>
    <i r="1">
      <x v="2"/>
    </i>
    <i r="2">
      <x v="4"/>
    </i>
    <i r="2">
      <x v="5"/>
    </i>
    <i r="2">
      <x v="18"/>
    </i>
    <i r="1">
      <x v="4"/>
    </i>
    <i r="2">
      <x v="4"/>
    </i>
    <i r="2">
      <x v="8"/>
    </i>
    <i r="2">
      <x v="12"/>
    </i>
    <i r="2">
      <x v="18"/>
    </i>
    <i r="1">
      <x v="5"/>
    </i>
    <i r="2">
      <x v="2"/>
    </i>
    <i r="1">
      <x v="6"/>
    </i>
    <i r="2">
      <x v="11"/>
    </i>
    <i r="2">
      <x v="18"/>
    </i>
    <i r="1">
      <x v="7"/>
    </i>
    <i r="2">
      <x v="4"/>
    </i>
    <i r="2">
      <x v="18"/>
    </i>
    <i r="1">
      <x v="8"/>
    </i>
    <i r="2">
      <x v="4"/>
    </i>
    <i r="2">
      <x v="18"/>
    </i>
    <i r="1">
      <x v="12"/>
    </i>
    <i r="2">
      <x v="4"/>
    </i>
    <i r="2">
      <x v="8"/>
    </i>
    <i r="2">
      <x v="18"/>
    </i>
    <i r="1">
      <x v="13"/>
    </i>
    <i r="2">
      <x v="18"/>
    </i>
    <i r="2">
      <x v="21"/>
    </i>
    <i r="1">
      <x v="14"/>
    </i>
    <i r="2">
      <x v="18"/>
    </i>
    <i r="1">
      <x v="15"/>
    </i>
    <i r="2">
      <x v="2"/>
    </i>
    <i r="2">
      <x v="4"/>
    </i>
    <i r="2">
      <x v="18"/>
    </i>
    <i r="1">
      <x v="16"/>
    </i>
    <i r="2">
      <x v="2"/>
    </i>
    <i r="2">
      <x v="18"/>
    </i>
    <i r="1">
      <x v="17"/>
    </i>
    <i r="2">
      <x v="4"/>
    </i>
    <i r="2">
      <x v="8"/>
    </i>
    <i r="2">
      <x v="18"/>
    </i>
    <i r="1">
      <x v="20"/>
    </i>
    <i r="2">
      <x v="2"/>
    </i>
    <i r="2">
      <x v="8"/>
    </i>
    <i r="1">
      <x v="27"/>
    </i>
    <i r="2">
      <x v="5"/>
    </i>
    <i r="2">
      <x v="18"/>
    </i>
    <i r="2">
      <x v="19"/>
    </i>
    <i>
      <x v="14"/>
    </i>
    <i r="1">
      <x/>
    </i>
    <i r="2">
      <x v="2"/>
    </i>
    <i r="1">
      <x v="2"/>
    </i>
    <i r="2">
      <x v="2"/>
    </i>
    <i r="2">
      <x v="4"/>
    </i>
    <i r="1">
      <x v="4"/>
    </i>
    <i r="2">
      <x v="2"/>
    </i>
    <i r="2">
      <x v="4"/>
    </i>
    <i r="1">
      <x v="5"/>
    </i>
    <i r="2">
      <x v="2"/>
    </i>
    <i r="2">
      <x v="4"/>
    </i>
    <i r="1">
      <x v="6"/>
    </i>
    <i r="2">
      <x v="2"/>
    </i>
    <i r="1">
      <x v="7"/>
    </i>
    <i r="2">
      <x v="2"/>
    </i>
    <i r="2">
      <x v="4"/>
    </i>
    <i r="1">
      <x v="8"/>
    </i>
    <i r="2">
      <x v="4"/>
    </i>
    <i r="1">
      <x v="13"/>
    </i>
    <i r="2">
      <x v="2"/>
    </i>
    <i r="2">
      <x v="4"/>
    </i>
    <i r="1">
      <x v="15"/>
    </i>
    <i r="2">
      <x v="2"/>
    </i>
    <i r="1">
      <x v="16"/>
    </i>
    <i r="2">
      <x v="4"/>
    </i>
    <i r="1">
      <x v="17"/>
    </i>
    <i r="2">
      <x v="2"/>
    </i>
    <i r="1">
      <x v="18"/>
    </i>
    <i r="2">
      <x v="2"/>
    </i>
    <i r="2">
      <x v="4"/>
    </i>
    <i r="1">
      <x v="19"/>
    </i>
    <i r="2">
      <x v="2"/>
    </i>
    <i r="1">
      <x v="20"/>
    </i>
    <i r="2">
      <x v="2"/>
    </i>
    <i>
      <x v="15"/>
    </i>
    <i r="1">
      <x v="2"/>
    </i>
    <i r="2">
      <x v="2"/>
    </i>
    <i r="1">
      <x v="4"/>
    </i>
    <i r="2">
      <x v="2"/>
    </i>
    <i r="1">
      <x v="5"/>
    </i>
    <i r="2">
      <x v="2"/>
    </i>
    <i r="1">
      <x v="6"/>
    </i>
    <i r="2">
      <x v="2"/>
    </i>
    <i r="1">
      <x v="7"/>
    </i>
    <i r="2">
      <x v="2"/>
    </i>
    <i r="2">
      <x v="4"/>
    </i>
    <i r="2">
      <x v="5"/>
    </i>
    <i r="1">
      <x v="8"/>
    </i>
    <i r="2">
      <x v="2"/>
    </i>
    <i r="2">
      <x v="4"/>
    </i>
    <i r="2">
      <x v="18"/>
    </i>
    <i r="1">
      <x v="12"/>
    </i>
    <i r="2">
      <x v="2"/>
    </i>
    <i r="1">
      <x v="14"/>
    </i>
    <i r="2">
      <x v="2"/>
    </i>
    <i r="1">
      <x v="15"/>
    </i>
    <i r="2">
      <x/>
    </i>
    <i r="2">
      <x v="4"/>
    </i>
    <i r="1">
      <x v="16"/>
    </i>
    <i r="2">
      <x v="2"/>
    </i>
    <i r="2">
      <x v="4"/>
    </i>
    <i r="1">
      <x v="17"/>
    </i>
    <i r="2">
      <x v="2"/>
    </i>
    <i r="1">
      <x v="18"/>
    </i>
    <i r="2">
      <x v="2"/>
    </i>
    <i>
      <x v="16"/>
    </i>
    <i r="1">
      <x/>
    </i>
    <i r="2">
      <x v="2"/>
    </i>
    <i r="2">
      <x v="4"/>
    </i>
    <i r="1">
      <x v="2"/>
    </i>
    <i r="2">
      <x v="2"/>
    </i>
    <i r="1">
      <x v="4"/>
    </i>
    <i r="2">
      <x v="2"/>
    </i>
    <i r="2">
      <x v="4"/>
    </i>
    <i r="2">
      <x v="14"/>
    </i>
    <i r="1">
      <x v="5"/>
    </i>
    <i r="2">
      <x v="5"/>
    </i>
    <i r="2">
      <x v="11"/>
    </i>
    <i r="2">
      <x v="15"/>
    </i>
    <i r="1">
      <x v="6"/>
    </i>
    <i r="2">
      <x v="2"/>
    </i>
    <i r="2">
      <x v="4"/>
    </i>
    <i r="2">
      <x v="5"/>
    </i>
    <i r="2">
      <x v="8"/>
    </i>
    <i r="2">
      <x v="15"/>
    </i>
    <i r="1">
      <x v="7"/>
    </i>
    <i r="2">
      <x v="2"/>
    </i>
    <i r="2">
      <x v="6"/>
    </i>
    <i r="1">
      <x v="8"/>
    </i>
    <i r="2">
      <x v="5"/>
    </i>
    <i r="2">
      <x v="10"/>
    </i>
    <i r="2">
      <x v="11"/>
    </i>
    <i r="1">
      <x v="12"/>
    </i>
    <i r="2">
      <x v="5"/>
    </i>
    <i r="1">
      <x v="15"/>
    </i>
    <i r="2">
      <x v="2"/>
    </i>
    <i r="2">
      <x v="4"/>
    </i>
    <i r="1">
      <x v="16"/>
    </i>
    <i r="2">
      <x v="2"/>
    </i>
    <i r="2">
      <x v="16"/>
    </i>
    <i r="1">
      <x v="17"/>
    </i>
    <i r="2">
      <x v="2"/>
    </i>
    <i r="2">
      <x v="4"/>
    </i>
    <i r="1">
      <x v="18"/>
    </i>
    <i r="2">
      <x v="2"/>
    </i>
    <i r="1">
      <x v="19"/>
    </i>
    <i r="2">
      <x v="8"/>
    </i>
    <i r="2">
      <x v="17"/>
    </i>
    <i r="1">
      <x v="20"/>
    </i>
    <i r="2">
      <x v="2"/>
    </i>
    <i r="2">
      <x v="11"/>
    </i>
    <i r="2">
      <x v="15"/>
    </i>
    <i r="1">
      <x v="26"/>
    </i>
    <i r="2">
      <x v="2"/>
    </i>
    <i r="1">
      <x v="27"/>
    </i>
    <i r="2">
      <x v="4"/>
    </i>
    <i>
      <x v="17"/>
    </i>
    <i r="1">
      <x/>
    </i>
    <i r="2">
      <x v="2"/>
    </i>
    <i r="1">
      <x v="2"/>
    </i>
    <i r="2">
      <x v="2"/>
    </i>
    <i r="2">
      <x v="4"/>
    </i>
    <i r="2">
      <x v="6"/>
    </i>
    <i r="1">
      <x v="4"/>
    </i>
    <i r="2">
      <x v="2"/>
    </i>
    <i r="2">
      <x v="4"/>
    </i>
    <i r="2">
      <x v="8"/>
    </i>
    <i r="1">
      <x v="6"/>
    </i>
    <i r="2">
      <x v="2"/>
    </i>
    <i r="2">
      <x v="4"/>
    </i>
    <i r="1">
      <x v="7"/>
    </i>
    <i r="2">
      <x v="2"/>
    </i>
    <i r="1">
      <x v="8"/>
    </i>
    <i r="2">
      <x v="2"/>
    </i>
    <i r="1">
      <x v="12"/>
    </i>
    <i r="2">
      <x v="2"/>
    </i>
    <i r="1">
      <x v="13"/>
    </i>
    <i r="2">
      <x v="5"/>
    </i>
    <i r="2">
      <x v="8"/>
    </i>
    <i r="2">
      <x v="11"/>
    </i>
    <i r="1">
      <x v="15"/>
    </i>
    <i r="2">
      <x v="2"/>
    </i>
    <i r="2">
      <x v="5"/>
    </i>
    <i r="2">
      <x v="11"/>
    </i>
    <i r="1">
      <x v="16"/>
    </i>
    <i r="2">
      <x v="2"/>
    </i>
    <i r="2">
      <x v="4"/>
    </i>
    <i r="2">
      <x v="5"/>
    </i>
    <i r="2">
      <x v="8"/>
    </i>
    <i r="2">
      <x v="11"/>
    </i>
    <i r="1">
      <x v="17"/>
    </i>
    <i r="2">
      <x v="2"/>
    </i>
    <i r="2">
      <x v="8"/>
    </i>
    <i r="2">
      <x v="11"/>
    </i>
    <i r="2">
      <x v="15"/>
    </i>
    <i r="1">
      <x v="18"/>
    </i>
    <i r="2">
      <x v="2"/>
    </i>
    <i r="2">
      <x v="5"/>
    </i>
    <i r="2">
      <x v="8"/>
    </i>
    <i r="2">
      <x v="11"/>
    </i>
    <i r="2">
      <x v="15"/>
    </i>
    <i r="1">
      <x v="22"/>
    </i>
    <i r="2">
      <x v="5"/>
    </i>
    <i r="2">
      <x v="8"/>
    </i>
    <i r="2">
      <x v="11"/>
    </i>
    <i r="2">
      <x v="14"/>
    </i>
    <i r="2">
      <x v="16"/>
    </i>
    <i r="1">
      <x v="26"/>
    </i>
    <i r="2">
      <x v="2"/>
    </i>
    <i r="1">
      <x v="27"/>
    </i>
    <i r="2">
      <x v="2"/>
    </i>
    <i>
      <x v="18"/>
    </i>
    <i r="1">
      <x/>
    </i>
    <i r="2">
      <x v="2"/>
    </i>
    <i r="1">
      <x v="2"/>
    </i>
    <i r="2">
      <x v="2"/>
    </i>
    <i r="1">
      <x v="4"/>
    </i>
    <i r="2">
      <x v="2"/>
    </i>
    <i r="2">
      <x v="4"/>
    </i>
    <i r="1">
      <x v="6"/>
    </i>
    <i r="2">
      <x v="8"/>
    </i>
    <i r="2">
      <x v="13"/>
    </i>
    <i r="1">
      <x v="7"/>
    </i>
    <i r="2">
      <x v="2"/>
    </i>
    <i r="2">
      <x v="4"/>
    </i>
    <i r="1">
      <x v="8"/>
    </i>
    <i r="2">
      <x v="2"/>
    </i>
    <i r="1">
      <x v="12"/>
    </i>
    <i r="2">
      <x v="2"/>
    </i>
    <i r="2">
      <x v="4"/>
    </i>
    <i r="1">
      <x v="16"/>
    </i>
    <i r="2">
      <x v="2"/>
    </i>
    <i r="1">
      <x v="17"/>
    </i>
    <i r="2">
      <x v="5"/>
    </i>
    <i r="1">
      <x v="20"/>
    </i>
    <i r="2">
      <x v="2"/>
    </i>
    <i r="1">
      <x v="27"/>
    </i>
    <i r="2">
      <x v="2"/>
    </i>
    <i r="2">
      <x v="4"/>
    </i>
    <i>
      <x v="19"/>
    </i>
    <i r="1">
      <x v="25"/>
    </i>
    <i r="2">
      <x v="24"/>
    </i>
    <i t="grand">
      <x/>
    </i>
  </rowItems>
  <colItems count="1">
    <i/>
  </colItems>
  <pageFields count="1">
    <pageField fld="4" hier="-1"/>
  </pageFields>
  <formats count="8">
    <format dxfId="394">
      <pivotArea dataOnly="0" labelOnly="1" outline="0" fieldPosition="0">
        <references count="1">
          <reference field="4" count="1">
            <x v="88"/>
          </reference>
        </references>
      </pivotArea>
    </format>
    <format dxfId="393">
      <pivotArea dataOnly="0" labelOnly="1" outline="0" fieldPosition="0">
        <references count="1">
          <reference field="4" count="1">
            <x v="88"/>
          </reference>
        </references>
      </pivotArea>
    </format>
    <format dxfId="392">
      <pivotArea dataOnly="0" labelOnly="1" fieldPosition="0">
        <references count="1">
          <reference field="6" count="3">
            <x v="0"/>
            <x v="2"/>
            <x v="8"/>
          </reference>
        </references>
      </pivotArea>
    </format>
    <format dxfId="391">
      <pivotArea dataOnly="0" outline="0" fieldPosition="0">
        <references count="1">
          <reference field="4" count="1">
            <x v="92"/>
          </reference>
        </references>
      </pivotArea>
    </format>
    <format dxfId="390">
      <pivotArea dataOnly="0" labelOnly="1" outline="0" fieldPosition="0">
        <references count="1">
          <reference field="4" count="1">
            <x v="96"/>
          </reference>
        </references>
      </pivotArea>
    </format>
    <format dxfId="389">
      <pivotArea dataOnly="0" labelOnly="1" outline="0" fieldPosition="0">
        <references count="1">
          <reference field="4" count="1">
            <x v="96"/>
          </reference>
        </references>
      </pivotArea>
    </format>
    <format dxfId="388">
      <pivotArea dataOnly="0" labelOnly="1" outline="0" fieldPosition="0">
        <references count="1">
          <reference field="4" count="1">
            <x v="101"/>
          </reference>
        </references>
      </pivotArea>
    </format>
    <format dxfId="387">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37" firstHeaderRow="1" firstDataRow="1" firstDataCol="1" rowPageCount="1" colPageCount="1"/>
  <pivotFields count="11">
    <pivotField showAll="0"/>
    <pivotField showAll="0"/>
    <pivotField showAll="0"/>
    <pivotField axis="axisRow" showAll="0">
      <items count="29">
        <item x="2"/>
        <item x="3"/>
        <item x="8"/>
        <item x="4"/>
        <item x="6"/>
        <item x="5"/>
        <item x="1"/>
        <item x="7"/>
        <item x="0"/>
        <item x="9"/>
        <item x="10"/>
        <item x="11"/>
        <item x="15"/>
        <item x="12"/>
        <item x="13"/>
        <item x="14"/>
        <item x="16"/>
        <item x="17"/>
        <item x="18"/>
        <item x="19"/>
        <item x="20"/>
        <item x="21"/>
        <item x="22"/>
        <item x="24"/>
        <item x="23"/>
        <item x="27"/>
        <item x="25"/>
        <item x="26"/>
        <item t="default"/>
      </items>
    </pivotField>
    <pivotField axis="axisPage" showAll="0">
      <items count="2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6"/>
        <item x="206"/>
        <item x="207"/>
        <item x="208"/>
        <item x="209"/>
        <item x="210"/>
        <item x="211"/>
        <item x="212"/>
        <item x="213"/>
        <item x="214"/>
        <item x="215"/>
        <item x="217"/>
        <item x="218"/>
        <item x="219"/>
        <item x="220"/>
        <item x="221"/>
        <item x="222"/>
        <item x="223"/>
        <item x="224"/>
        <item x="225"/>
        <item x="226"/>
        <item x="227"/>
        <item x="228"/>
        <item x="229"/>
        <item x="230"/>
        <item x="248"/>
        <item x="286"/>
        <item x="240"/>
        <item x="231"/>
        <item x="232"/>
        <item x="233"/>
        <item x="234"/>
        <item x="235"/>
        <item x="236"/>
        <item x="237"/>
        <item x="238"/>
        <item x="239"/>
        <item x="241"/>
        <item x="242"/>
        <item x="243"/>
        <item x="244"/>
        <item x="245"/>
        <item x="263"/>
        <item x="246"/>
        <item x="247"/>
        <item x="252"/>
        <item x="256"/>
        <item x="257"/>
        <item x="268"/>
        <item x="253"/>
        <item x="249"/>
        <item x="250"/>
        <item x="251"/>
        <item x="255"/>
        <item x="254"/>
        <item x="259"/>
        <item x="274"/>
        <item x="258"/>
        <item x="260"/>
        <item x="267"/>
        <item x="261"/>
        <item x="262"/>
        <item x="273"/>
        <item x="265"/>
        <item x="264"/>
        <item x="285"/>
        <item x="266"/>
        <item x="269"/>
        <item x="270"/>
        <item x="271"/>
        <item x="272"/>
        <item x="275"/>
        <item x="281"/>
        <item x="282"/>
        <item x="276"/>
        <item x="277"/>
        <item x="283"/>
        <item x="278"/>
        <item x="279"/>
        <item x="284"/>
        <item x="280"/>
        <item t="default"/>
      </items>
    </pivotField>
    <pivotField axis="axisRow" showAll="0" defaultSubtotal="0">
      <items count="27">
        <item x="4"/>
        <item x="5"/>
        <item x="0"/>
        <item x="10"/>
        <item x="11"/>
        <item x="1"/>
        <item x="13"/>
        <item x="14"/>
        <item x="2"/>
        <item x="8"/>
        <item x="16"/>
        <item x="7"/>
        <item x="15"/>
        <item x="9"/>
        <item x="12"/>
        <item x="3"/>
        <item x="17"/>
        <item x="6"/>
        <item x="18"/>
        <item x="19"/>
        <item x="20"/>
        <item x="21"/>
        <item x="22"/>
        <item x="23"/>
        <item x="26"/>
        <item x="24"/>
        <item x="25"/>
      </items>
    </pivotField>
    <pivotField axis="axisRow" showAll="0">
      <items count="21">
        <item x="2"/>
        <item x="5"/>
        <item x="3"/>
        <item x="0"/>
        <item n="Dr. Zerdan" x="4"/>
        <item x="7"/>
        <item x="1"/>
        <item x="6"/>
        <item x="8"/>
        <item x="10"/>
        <item x="11"/>
        <item x="9"/>
        <item x="13"/>
        <item x="12"/>
        <item x="14"/>
        <item x="15"/>
        <item x="16"/>
        <item x="17"/>
        <item x="18"/>
        <item x="19"/>
        <item t="default"/>
      </items>
    </pivotField>
    <pivotField showAll="0"/>
    <pivotField showAll="0"/>
    <pivotField showAll="0"/>
    <pivotField showAll="0" defaultSubtotal="0"/>
  </pivotFields>
  <rowFields count="3">
    <field x="6"/>
    <field x="3"/>
    <field x="5"/>
  </rowFields>
  <rowItems count="30">
    <i>
      <x v="2"/>
    </i>
    <i r="1">
      <x v="21"/>
    </i>
    <i r="2">
      <x v="3"/>
    </i>
    <i>
      <x v="3"/>
    </i>
    <i r="1">
      <x/>
    </i>
    <i r="2">
      <x v="8"/>
    </i>
    <i r="1">
      <x v="4"/>
    </i>
    <i r="2">
      <x v="11"/>
    </i>
    <i>
      <x v="7"/>
    </i>
    <i r="1">
      <x v="7"/>
    </i>
    <i r="2">
      <x v="5"/>
    </i>
    <i r="1">
      <x v="8"/>
    </i>
    <i r="2">
      <x v="8"/>
    </i>
    <i>
      <x v="13"/>
    </i>
    <i r="1">
      <x v="6"/>
    </i>
    <i r="2">
      <x v="11"/>
    </i>
    <i r="1">
      <x v="12"/>
    </i>
    <i r="2">
      <x v="18"/>
    </i>
    <i r="1">
      <x v="27"/>
    </i>
    <i r="2">
      <x v="5"/>
    </i>
    <i>
      <x v="16"/>
    </i>
    <i r="1">
      <x v="18"/>
    </i>
    <i r="2">
      <x v="2"/>
    </i>
    <i>
      <x v="17"/>
    </i>
    <i r="1">
      <x v="17"/>
    </i>
    <i r="2">
      <x v="2"/>
    </i>
    <i>
      <x v="18"/>
    </i>
    <i r="1">
      <x v="2"/>
    </i>
    <i r="2">
      <x v="2"/>
    </i>
    <i t="grand">
      <x/>
    </i>
  </rowItems>
  <colItems count="1">
    <i/>
  </colItems>
  <pageFields count="1">
    <pageField fld="4" item="270" hier="-1"/>
  </pageFields>
  <formats count="8">
    <format dxfId="402">
      <pivotArea dataOnly="0" labelOnly="1" outline="0" fieldPosition="0">
        <references count="1">
          <reference field="4" count="1">
            <x v="88"/>
          </reference>
        </references>
      </pivotArea>
    </format>
    <format dxfId="401">
      <pivotArea dataOnly="0" labelOnly="1" fieldPosition="0">
        <references count="1">
          <reference field="6" count="3">
            <x v="0"/>
            <x v="2"/>
            <x v="8"/>
          </reference>
        </references>
      </pivotArea>
    </format>
    <format dxfId="400">
      <pivotArea dataOnly="0" outline="0" fieldPosition="0">
        <references count="1">
          <reference field="4" count="1">
            <x v="92"/>
          </reference>
        </references>
      </pivotArea>
    </format>
    <format dxfId="399">
      <pivotArea dataOnly="0" labelOnly="1" outline="0" fieldPosition="0">
        <references count="1">
          <reference field="4" count="1">
            <x v="96"/>
          </reference>
        </references>
      </pivotArea>
    </format>
    <format dxfId="398">
      <pivotArea dataOnly="0" labelOnly="1" outline="0" fieldPosition="0">
        <references count="1">
          <reference field="4" count="1">
            <x v="101"/>
          </reference>
        </references>
      </pivotArea>
    </format>
    <format dxfId="397">
      <pivotArea dataOnly="0" labelOnly="1" outline="0" fieldPosition="0">
        <references count="1">
          <reference field="4" count="1">
            <x v="88"/>
          </reference>
        </references>
      </pivotArea>
    </format>
    <format dxfId="396">
      <pivotArea dataOnly="0" labelOnly="1" outline="0" fieldPosition="0">
        <references count="1">
          <reference field="4" count="1">
            <x v="96"/>
          </reference>
        </references>
      </pivotArea>
    </format>
    <format dxfId="395">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4"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36" firstHeaderRow="1" firstDataRow="1" firstDataCol="1" rowPageCount="1" colPageCount="1"/>
  <pivotFields count="11">
    <pivotField showAll="0"/>
    <pivotField showAll="0"/>
    <pivotField showAll="0"/>
    <pivotField axis="axisRow" showAll="0">
      <items count="29">
        <item x="2"/>
        <item x="3"/>
        <item x="8"/>
        <item x="4"/>
        <item x="6"/>
        <item x="5"/>
        <item x="1"/>
        <item x="7"/>
        <item x="0"/>
        <item x="9"/>
        <item x="10"/>
        <item x="11"/>
        <item x="15"/>
        <item x="12"/>
        <item x="13"/>
        <item x="14"/>
        <item x="16"/>
        <item x="17"/>
        <item x="18"/>
        <item x="19"/>
        <item x="20"/>
        <item x="21"/>
        <item x="22"/>
        <item x="24"/>
        <item x="23"/>
        <item x="27"/>
        <item x="25"/>
        <item x="26"/>
        <item t="default"/>
      </items>
    </pivotField>
    <pivotField axis="axisPage" showAll="0">
      <items count="2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6"/>
        <item x="206"/>
        <item x="207"/>
        <item x="208"/>
        <item x="209"/>
        <item x="210"/>
        <item x="211"/>
        <item x="212"/>
        <item x="213"/>
        <item x="214"/>
        <item x="215"/>
        <item x="217"/>
        <item x="218"/>
        <item x="219"/>
        <item x="220"/>
        <item x="221"/>
        <item x="222"/>
        <item x="223"/>
        <item x="224"/>
        <item x="225"/>
        <item x="226"/>
        <item x="227"/>
        <item x="228"/>
        <item x="229"/>
        <item x="230"/>
        <item x="248"/>
        <item x="286"/>
        <item x="240"/>
        <item x="231"/>
        <item x="232"/>
        <item x="233"/>
        <item x="234"/>
        <item x="235"/>
        <item x="236"/>
        <item x="237"/>
        <item x="238"/>
        <item x="239"/>
        <item x="241"/>
        <item x="242"/>
        <item x="243"/>
        <item x="244"/>
        <item x="245"/>
        <item x="263"/>
        <item x="246"/>
        <item x="247"/>
        <item x="252"/>
        <item x="256"/>
        <item x="257"/>
        <item x="268"/>
        <item x="253"/>
        <item x="249"/>
        <item x="250"/>
        <item n="25/04/2024" x="251"/>
        <item x="255"/>
        <item x="254"/>
        <item x="259"/>
        <item x="274"/>
        <item x="258"/>
        <item x="260"/>
        <item x="267"/>
        <item x="261"/>
        <item x="262"/>
        <item x="273"/>
        <item x="265"/>
        <item x="264"/>
        <item x="285"/>
        <item x="266"/>
        <item x="269"/>
        <item x="270"/>
        <item x="271"/>
        <item x="272"/>
        <item x="275"/>
        <item x="281"/>
        <item x="282"/>
        <item x="276"/>
        <item x="277"/>
        <item x="283"/>
        <item x="278"/>
        <item x="279"/>
        <item x="284"/>
        <item x="280"/>
        <item t="default"/>
      </items>
    </pivotField>
    <pivotField axis="axisRow" showAll="0" defaultSubtotal="0">
      <items count="27">
        <item x="4"/>
        <item x="5"/>
        <item x="0"/>
        <item x="10"/>
        <item x="11"/>
        <item x="1"/>
        <item x="13"/>
        <item x="14"/>
        <item x="2"/>
        <item x="8"/>
        <item x="16"/>
        <item x="7"/>
        <item x="15"/>
        <item x="9"/>
        <item x="12"/>
        <item x="3"/>
        <item x="17"/>
        <item x="6"/>
        <item x="18"/>
        <item x="19"/>
        <item x="20"/>
        <item x="21"/>
        <item x="22"/>
        <item x="23"/>
        <item x="26"/>
        <item x="24"/>
        <item x="25"/>
      </items>
    </pivotField>
    <pivotField axis="axisRow" showAll="0">
      <items count="21">
        <item x="2"/>
        <item x="5"/>
        <item x="3"/>
        <item x="0"/>
        <item n="Dr. Zerdan" x="4"/>
        <item x="7"/>
        <item x="1"/>
        <item x="6"/>
        <item x="8"/>
        <item x="10"/>
        <item x="11"/>
        <item x="9"/>
        <item x="13"/>
        <item x="12"/>
        <item x="14"/>
        <item x="15"/>
        <item x="16"/>
        <item x="17"/>
        <item x="18"/>
        <item x="19"/>
        <item t="default"/>
      </items>
    </pivotField>
    <pivotField showAll="0"/>
    <pivotField showAll="0"/>
    <pivotField showAll="0"/>
    <pivotField showAll="0" defaultSubtotal="0"/>
  </pivotFields>
  <rowFields count="3">
    <field x="6"/>
    <field x="3"/>
    <field x="5"/>
  </rowFields>
  <rowItems count="29">
    <i>
      <x/>
    </i>
    <i r="1">
      <x v="16"/>
    </i>
    <i r="2">
      <x v="2"/>
    </i>
    <i r="1">
      <x v="20"/>
    </i>
    <i r="2">
      <x v="5"/>
    </i>
    <i>
      <x v="2"/>
    </i>
    <i r="1">
      <x v="2"/>
    </i>
    <i r="2">
      <x v="5"/>
    </i>
    <i>
      <x v="3"/>
    </i>
    <i r="1">
      <x/>
    </i>
    <i r="2">
      <x v="2"/>
    </i>
    <i r="1">
      <x v="27"/>
    </i>
    <i r="2">
      <x v="5"/>
    </i>
    <i>
      <x v="4"/>
    </i>
    <i r="1">
      <x v="4"/>
    </i>
    <i r="2">
      <x v="2"/>
    </i>
    <i r="1">
      <x v="12"/>
    </i>
    <i r="2">
      <x v="5"/>
    </i>
    <i>
      <x v="6"/>
    </i>
    <i r="1">
      <x v="8"/>
    </i>
    <i r="2">
      <x v="8"/>
    </i>
    <i r="1">
      <x v="18"/>
    </i>
    <i r="2">
      <x v="5"/>
    </i>
    <i>
      <x v="13"/>
    </i>
    <i r="1">
      <x v="15"/>
    </i>
    <i r="2">
      <x v="2"/>
    </i>
    <i r="1">
      <x v="17"/>
    </i>
    <i r="2">
      <x v="8"/>
    </i>
    <i t="grand">
      <x/>
    </i>
  </rowItems>
  <colItems count="1">
    <i/>
  </colItems>
  <pageFields count="1">
    <pageField fld="4" item="280" hier="-1"/>
  </pageFields>
  <formats count="8">
    <format dxfId="410">
      <pivotArea dataOnly="0" labelOnly="1" outline="0" fieldPosition="0">
        <references count="1">
          <reference field="4" count="1">
            <x v="88"/>
          </reference>
        </references>
      </pivotArea>
    </format>
    <format dxfId="409">
      <pivotArea dataOnly="0" labelOnly="1" fieldPosition="0">
        <references count="1">
          <reference field="6" count="3">
            <x v="0"/>
            <x v="2"/>
            <x v="8"/>
          </reference>
        </references>
      </pivotArea>
    </format>
    <format dxfId="408">
      <pivotArea dataOnly="0" outline="0" fieldPosition="0">
        <references count="1">
          <reference field="4" count="1">
            <x v="92"/>
          </reference>
        </references>
      </pivotArea>
    </format>
    <format dxfId="407">
      <pivotArea dataOnly="0" labelOnly="1" outline="0" fieldPosition="0">
        <references count="1">
          <reference field="4" count="1">
            <x v="96"/>
          </reference>
        </references>
      </pivotArea>
    </format>
    <format dxfId="406">
      <pivotArea dataOnly="0" labelOnly="1" outline="0" fieldPosition="0">
        <references count="1">
          <reference field="4" count="1">
            <x v="101"/>
          </reference>
        </references>
      </pivotArea>
    </format>
    <format dxfId="405">
      <pivotArea dataOnly="0" labelOnly="1" outline="0" fieldPosition="0">
        <references count="1">
          <reference field="4" count="1">
            <x v="88"/>
          </reference>
        </references>
      </pivotArea>
    </format>
    <format dxfId="404">
      <pivotArea dataOnly="0" labelOnly="1" outline="0" fieldPosition="0">
        <references count="1">
          <reference field="4" count="1">
            <x v="96"/>
          </reference>
        </references>
      </pivotArea>
    </format>
    <format dxfId="403">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1"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2" firstHeaderRow="1" firstDataRow="1" firstDataCol="1" rowPageCount="1" colPageCount="1"/>
  <pivotFields count="11">
    <pivotField showAll="0"/>
    <pivotField showAll="0"/>
    <pivotField showAll="0"/>
    <pivotField axis="axisRow" showAll="0">
      <items count="29">
        <item x="2"/>
        <item x="3"/>
        <item x="8"/>
        <item x="4"/>
        <item x="6"/>
        <item x="5"/>
        <item x="1"/>
        <item x="7"/>
        <item x="0"/>
        <item x="9"/>
        <item x="10"/>
        <item x="11"/>
        <item x="15"/>
        <item x="12"/>
        <item x="13"/>
        <item x="14"/>
        <item x="16"/>
        <item x="17"/>
        <item x="18"/>
        <item x="19"/>
        <item x="20"/>
        <item x="21"/>
        <item x="22"/>
        <item x="24"/>
        <item x="23"/>
        <item x="27"/>
        <item x="25"/>
        <item x="26"/>
        <item t="default"/>
      </items>
    </pivotField>
    <pivotField axis="axisPage" showAll="0">
      <items count="2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6"/>
        <item x="206"/>
        <item x="207"/>
        <item x="208"/>
        <item x="209"/>
        <item x="210"/>
        <item x="211"/>
        <item x="212"/>
        <item x="213"/>
        <item x="214"/>
        <item x="215"/>
        <item x="217"/>
        <item x="218"/>
        <item x="219"/>
        <item x="220"/>
        <item x="221"/>
        <item x="222"/>
        <item x="223"/>
        <item x="224"/>
        <item x="225"/>
        <item x="226"/>
        <item x="227"/>
        <item x="228"/>
        <item x="229"/>
        <item x="230"/>
        <item x="248"/>
        <item x="286"/>
        <item x="240"/>
        <item x="231"/>
        <item x="232"/>
        <item x="233"/>
        <item x="234"/>
        <item x="235"/>
        <item x="236"/>
        <item x="237"/>
        <item x="238"/>
        <item x="239"/>
        <item x="241"/>
        <item x="242"/>
        <item x="243"/>
        <item x="244"/>
        <item x="245"/>
        <item x="263"/>
        <item x="246"/>
        <item x="247"/>
        <item x="252"/>
        <item x="256"/>
        <item x="257"/>
        <item x="268"/>
        <item x="253"/>
        <item x="249"/>
        <item x="250"/>
        <item x="251"/>
        <item x="255"/>
        <item x="254"/>
        <item x="259"/>
        <item x="274"/>
        <item x="258"/>
        <item x="260"/>
        <item x="267"/>
        <item x="261"/>
        <item x="262"/>
        <item x="273"/>
        <item x="265"/>
        <item x="264"/>
        <item x="285"/>
        <item x="266"/>
        <item x="269"/>
        <item x="270"/>
        <item x="271"/>
        <item x="272"/>
        <item x="275"/>
        <item x="281"/>
        <item x="282"/>
        <item x="276"/>
        <item x="277"/>
        <item x="283"/>
        <item x="278"/>
        <item x="279"/>
        <item x="284"/>
        <item x="280"/>
        <item t="default"/>
      </items>
    </pivotField>
    <pivotField axis="axisRow" showAll="0" defaultSubtotal="0">
      <items count="27">
        <item x="4"/>
        <item x="5"/>
        <item x="0"/>
        <item x="10"/>
        <item x="11"/>
        <item x="1"/>
        <item x="13"/>
        <item x="14"/>
        <item x="2"/>
        <item x="8"/>
        <item x="16"/>
        <item x="7"/>
        <item x="15"/>
        <item x="9"/>
        <item x="12"/>
        <item x="3"/>
        <item x="17"/>
        <item x="6"/>
        <item x="18"/>
        <item x="19"/>
        <item x="20"/>
        <item x="21"/>
        <item x="22"/>
        <item x="23"/>
        <item x="26"/>
        <item x="24"/>
        <item x="25"/>
      </items>
    </pivotField>
    <pivotField axis="axisRow" showAll="0">
      <items count="21">
        <item x="2"/>
        <item x="5"/>
        <item x="3"/>
        <item x="0"/>
        <item x="4"/>
        <item x="7"/>
        <item x="1"/>
        <item x="6"/>
        <item x="8"/>
        <item x="10"/>
        <item x="11"/>
        <item x="9"/>
        <item x="13"/>
        <item x="12"/>
        <item x="14"/>
        <item x="15"/>
        <item x="16"/>
        <item x="17"/>
        <item x="18"/>
        <item x="19"/>
        <item t="default"/>
      </items>
    </pivotField>
    <pivotField showAll="0"/>
    <pivotField showAll="0"/>
    <pivotField showAll="0"/>
    <pivotField showAll="0"/>
  </pivotFields>
  <rowFields count="3">
    <field x="6"/>
    <field x="3"/>
    <field x="5"/>
  </rowFields>
  <rowItems count="25">
    <i>
      <x/>
    </i>
    <i r="1">
      <x v="8"/>
    </i>
    <i r="2">
      <x v="5"/>
    </i>
    <i r="1">
      <x v="20"/>
    </i>
    <i r="2">
      <x v="2"/>
    </i>
    <i>
      <x v="2"/>
    </i>
    <i r="1">
      <x v="12"/>
    </i>
    <i r="2">
      <x v="2"/>
    </i>
    <i r="1">
      <x v="16"/>
    </i>
    <i r="2">
      <x v="8"/>
    </i>
    <i>
      <x v="3"/>
    </i>
    <i r="1">
      <x v="2"/>
    </i>
    <i r="2">
      <x v="2"/>
    </i>
    <i r="1">
      <x v="4"/>
    </i>
    <i r="2">
      <x v="5"/>
    </i>
    <i>
      <x v="4"/>
    </i>
    <i r="1">
      <x v="18"/>
    </i>
    <i r="2">
      <x v="5"/>
    </i>
    <i>
      <x v="6"/>
    </i>
    <i r="1">
      <x/>
    </i>
    <i r="2">
      <x v="2"/>
    </i>
    <i>
      <x v="13"/>
    </i>
    <i r="1">
      <x v="27"/>
    </i>
    <i r="2">
      <x v="18"/>
    </i>
    <i t="grand">
      <x/>
    </i>
  </rowItems>
  <colItems count="1">
    <i/>
  </colItems>
  <pageFields count="1">
    <pageField fld="4" item="268" hier="-1"/>
  </pageFields>
  <formats count="9">
    <format dxfId="419">
      <pivotArea type="all" dataOnly="0" outline="0" fieldPosition="0"/>
    </format>
    <format dxfId="418">
      <pivotArea dataOnly="0" labelOnly="1" outline="0" fieldPosition="0">
        <references count="1">
          <reference field="4" count="1">
            <x v="85"/>
          </reference>
        </references>
      </pivotArea>
    </format>
    <format dxfId="417">
      <pivotArea field="6" type="button" dataOnly="0" labelOnly="1" outline="0" axis="axisRow" fieldPosition="0"/>
    </format>
    <format dxfId="416">
      <pivotArea dataOnly="0" labelOnly="1" fieldPosition="0">
        <references count="1">
          <reference field="6" count="3">
            <x v="0"/>
            <x v="2"/>
            <x v="8"/>
          </reference>
        </references>
      </pivotArea>
    </format>
    <format dxfId="415">
      <pivotArea dataOnly="0" labelOnly="1" outline="0" fieldPosition="0">
        <references count="1">
          <reference field="4" count="1">
            <x v="90"/>
          </reference>
        </references>
      </pivotArea>
    </format>
    <format dxfId="414">
      <pivotArea dataOnly="0" labelOnly="1" outline="0" fieldPosition="0">
        <references count="1">
          <reference field="4" count="1">
            <x v="99"/>
          </reference>
        </references>
      </pivotArea>
    </format>
    <format dxfId="413">
      <pivotArea dataOnly="0" labelOnly="1" fieldPosition="0">
        <references count="1">
          <reference field="6" count="1">
            <x v="2"/>
          </reference>
        </references>
      </pivotArea>
    </format>
    <format dxfId="412">
      <pivotArea dataOnly="0" labelOnly="1" outline="0" fieldPosition="0">
        <references count="1">
          <reference field="4" count="1">
            <x v="85"/>
          </reference>
        </references>
      </pivotArea>
    </format>
    <format dxfId="411">
      <pivotArea dataOnly="0" labelOnly="1" outline="0" fieldPosition="0">
        <references count="1">
          <reference field="4" count="1">
            <x v="99"/>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omments" Target="../comments1.xml"/><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3" Type="http://schemas.openxmlformats.org/officeDocument/2006/relationships/printerSettings" Target="../printerSettings/printerSettings3.bin"/><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47" Type="http://schemas.openxmlformats.org/officeDocument/2006/relationships/ctrlProp" Target="../ctrlProps/ctrlProp32.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20" Type="http://schemas.openxmlformats.org/officeDocument/2006/relationships/ctrlProp" Target="../ctrlProps/ctrlProp5.xml"/><Relationship Id="rId41"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48" Type="http://schemas.openxmlformats.org/officeDocument/2006/relationships/ctrlProp" Target="../ctrlProps/ctrlProp3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1.bin"/><Relationship Id="rId13" Type="http://schemas.openxmlformats.org/officeDocument/2006/relationships/vmlDrawing" Target="../drawings/vmlDrawing2.vml"/><Relationship Id="rId3" Type="http://schemas.openxmlformats.org/officeDocument/2006/relationships/pivotTable" Target="../pivotTables/pivotTable3.xml"/><Relationship Id="rId7" Type="http://schemas.openxmlformats.org/officeDocument/2006/relationships/printerSettings" Target="../printerSettings/printerSettings10.bin"/><Relationship Id="rId12" Type="http://schemas.openxmlformats.org/officeDocument/2006/relationships/printerSettings" Target="../printerSettings/printerSettings15.bin"/><Relationship Id="rId2" Type="http://schemas.openxmlformats.org/officeDocument/2006/relationships/pivotTable" Target="../pivotTables/pivotTable2.xml"/><Relationship Id="rId16" Type="http://schemas.openxmlformats.org/officeDocument/2006/relationships/ctrlProp" Target="../ctrlProps/ctrlProp37.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4.bin"/><Relationship Id="rId5" Type="http://schemas.openxmlformats.org/officeDocument/2006/relationships/pivotTable" Target="../pivotTables/pivotTable5.xml"/><Relationship Id="rId15" Type="http://schemas.openxmlformats.org/officeDocument/2006/relationships/ctrlProp" Target="../ctrlProps/ctrlProp36.xml"/><Relationship Id="rId10" Type="http://schemas.openxmlformats.org/officeDocument/2006/relationships/printerSettings" Target="../printerSettings/printerSettings13.bin"/><Relationship Id="rId4" Type="http://schemas.openxmlformats.org/officeDocument/2006/relationships/pivotTable" Target="../pivotTables/pivotTable4.xml"/><Relationship Id="rId9" Type="http://schemas.openxmlformats.org/officeDocument/2006/relationships/printerSettings" Target="../printerSettings/printerSettings12.bin"/></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rinterSettings" Target="../printerSettings/printerSettings18.bin"/><Relationship Id="rId7" Type="http://schemas.openxmlformats.org/officeDocument/2006/relationships/printerSettings" Target="../printerSettings/printerSettings22.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printerSettings" Target="../printerSettings/printerSettings21.bin"/><Relationship Id="rId5" Type="http://schemas.openxmlformats.org/officeDocument/2006/relationships/printerSettings" Target="../printerSettings/printerSettings20.bin"/><Relationship Id="rId4" Type="http://schemas.openxmlformats.org/officeDocument/2006/relationships/printerSettings" Target="../printerSettings/printerSettings19.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26.bin"/><Relationship Id="rId4" Type="http://schemas.openxmlformats.org/officeDocument/2006/relationships/ctrlProp" Target="../ctrlProps/ctrlProp38.xml"/></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27.bin"/><Relationship Id="rId4" Type="http://schemas.openxmlformats.org/officeDocument/2006/relationships/ctrlProp" Target="../ctrlProps/ctrlProp35.xml"/></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rinterSettings" Target="../printerSettings/printerSettings30.bin"/><Relationship Id="rId7" Type="http://schemas.openxmlformats.org/officeDocument/2006/relationships/printerSettings" Target="../printerSettings/printerSettings34.bin"/><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5" Type="http://schemas.openxmlformats.org/officeDocument/2006/relationships/printerSettings" Target="../printerSettings/printerSettings32.bin"/><Relationship Id="rId4" Type="http://schemas.openxmlformats.org/officeDocument/2006/relationships/printerSettings" Target="../printerSettings/printerSettings31.bin"/><Relationship Id="rId9"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37.bin"/><Relationship Id="rId7" Type="http://schemas.openxmlformats.org/officeDocument/2006/relationships/printerSettings" Target="../printerSettings/printerSettings41.bin"/><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 Id="rId6" Type="http://schemas.openxmlformats.org/officeDocument/2006/relationships/printerSettings" Target="../printerSettings/printerSettings40.bin"/><Relationship Id="rId5" Type="http://schemas.openxmlformats.org/officeDocument/2006/relationships/printerSettings" Target="../printerSettings/printerSettings39.bin"/><Relationship Id="rId4" Type="http://schemas.openxmlformats.org/officeDocument/2006/relationships/printerSettings" Target="../printerSettings/printerSettings3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46.bin"/><Relationship Id="rId7" Type="http://schemas.openxmlformats.org/officeDocument/2006/relationships/printerSettings" Target="../printerSettings/printerSettings50.bin"/><Relationship Id="rId2" Type="http://schemas.openxmlformats.org/officeDocument/2006/relationships/printerSettings" Target="../printerSettings/printerSettings45.bin"/><Relationship Id="rId1" Type="http://schemas.openxmlformats.org/officeDocument/2006/relationships/printerSettings" Target="../printerSettings/printerSettings44.bin"/><Relationship Id="rId6" Type="http://schemas.openxmlformats.org/officeDocument/2006/relationships/printerSettings" Target="../printerSettings/printerSettings49.bin"/><Relationship Id="rId5" Type="http://schemas.openxmlformats.org/officeDocument/2006/relationships/printerSettings" Target="../printerSettings/printerSettings48.bin"/><Relationship Id="rId4" Type="http://schemas.openxmlformats.org/officeDocument/2006/relationships/printerSettings" Target="../printerSettings/printerSettings47.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60.bin"/><Relationship Id="rId7" Type="http://schemas.openxmlformats.org/officeDocument/2006/relationships/printerSettings" Target="../printerSettings/printerSettings64.bin"/><Relationship Id="rId2" Type="http://schemas.openxmlformats.org/officeDocument/2006/relationships/printerSettings" Target="../printerSettings/printerSettings59.bin"/><Relationship Id="rId1" Type="http://schemas.openxmlformats.org/officeDocument/2006/relationships/printerSettings" Target="../printerSettings/printerSettings58.bin"/><Relationship Id="rId6" Type="http://schemas.openxmlformats.org/officeDocument/2006/relationships/printerSettings" Target="../printerSettings/printerSettings63.bin"/><Relationship Id="rId5" Type="http://schemas.openxmlformats.org/officeDocument/2006/relationships/printerSettings" Target="../printerSettings/printerSettings62.bin"/><Relationship Id="rId4" Type="http://schemas.openxmlformats.org/officeDocument/2006/relationships/printerSettings" Target="../printerSettings/printerSettings6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25.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printerSettings" Target="../printerSettings/printerSettings69.bin"/><Relationship Id="rId7" Type="http://schemas.openxmlformats.org/officeDocument/2006/relationships/drawing" Target="../drawings/drawing8.xml"/><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 Id="rId6" Type="http://schemas.openxmlformats.org/officeDocument/2006/relationships/printerSettings" Target="../printerSettings/printerSettings72.bin"/><Relationship Id="rId5" Type="http://schemas.openxmlformats.org/officeDocument/2006/relationships/printerSettings" Target="../printerSettings/printerSettings71.bin"/><Relationship Id="rId4" Type="http://schemas.openxmlformats.org/officeDocument/2006/relationships/printerSettings" Target="../printerSettings/printerSettings70.bin"/><Relationship Id="rId9" Type="http://schemas.openxmlformats.org/officeDocument/2006/relationships/ctrlProp" Target="../ctrlProps/ctrlProp34.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sheet1.xml><?xml version="1.0" encoding="utf-8"?>
<worksheet xmlns="http://schemas.openxmlformats.org/spreadsheetml/2006/main" xmlns:r="http://schemas.openxmlformats.org/officeDocument/2006/relationships">
  <sheetPr codeName="Hoja1">
    <tabColor rgb="FF92D050"/>
  </sheetPr>
  <dimension ref="A1:AL2082"/>
  <sheetViews>
    <sheetView showGridLines="0" zoomScale="70" zoomScaleNormal="70" zoomScaleSheetLayoutView="55" workbookViewId="0">
      <pane ySplit="2" topLeftCell="A1917" activePane="bottomLeft" state="frozen"/>
      <selection activeCell="A267" sqref="A267"/>
      <selection pane="bottomLeft" activeCell="J1972" sqref="J1919:J1972"/>
    </sheetView>
  </sheetViews>
  <sheetFormatPr baseColWidth="10" defaultColWidth="11.5546875" defaultRowHeight="60" customHeight="1" outlineLevelRow="1"/>
  <cols>
    <col min="1" max="1" width="13.109375" style="1" customWidth="1"/>
    <col min="2" max="2" width="18.88671875" style="2" customWidth="1"/>
    <col min="3" max="3" width="8.33203125" style="1" customWidth="1"/>
    <col min="4" max="4" width="11.88671875" style="1" customWidth="1"/>
    <col min="5" max="5" width="37.5546875" style="16" customWidth="1"/>
    <col min="6" max="6" width="13.109375" style="1" customWidth="1"/>
    <col min="7" max="7" width="15.109375" style="1" customWidth="1"/>
    <col min="8" max="8" width="13.33203125" style="2" customWidth="1"/>
    <col min="9" max="9" width="10.88671875" style="2" customWidth="1"/>
    <col min="10" max="10" width="25.88671875" style="2" customWidth="1"/>
    <col min="11" max="11" width="11" style="1" customWidth="1"/>
    <col min="12" max="12" width="26.109375" style="1" customWidth="1"/>
    <col min="13" max="13" width="31.6640625" style="1" customWidth="1"/>
    <col min="14" max="14" width="23.6640625" style="1" customWidth="1"/>
    <col min="15" max="15" width="29.33203125" style="3" hidden="1" customWidth="1"/>
    <col min="16" max="16" width="13.44140625" style="3" hidden="1" customWidth="1"/>
    <col min="17" max="18" width="31" style="3" customWidth="1"/>
    <col min="19" max="19" width="11.44140625" style="3" customWidth="1"/>
    <col min="20" max="21" width="11.44140625" style="59" hidden="1" customWidth="1"/>
    <col min="22" max="22" width="12.6640625" style="1" hidden="1" customWidth="1"/>
    <col min="23" max="23" width="11.44140625" style="1" customWidth="1"/>
    <col min="24" max="24" width="26.44140625" style="1" customWidth="1"/>
    <col min="25" max="25" width="17.44140625" style="1" customWidth="1"/>
    <col min="26" max="26" width="22.109375" style="1" customWidth="1"/>
    <col min="27" max="28" width="18.6640625" style="1" customWidth="1"/>
    <col min="29" max="29" width="11.44140625" style="1" customWidth="1"/>
    <col min="30" max="16384" width="11.5546875" style="1"/>
  </cols>
  <sheetData>
    <row r="1" spans="1:29" s="97" customFormat="1" ht="180" customHeight="1">
      <c r="A1" s="225">
        <v>2080</v>
      </c>
      <c r="B1" s="226" t="str">
        <f ca="1" xml:space="preserve"> COUNTIF(O:O,"NO") &amp;"                                      -                 "                 &amp; COUNTIF(O:O,"LIMBO")</f>
        <v>83                                      -                 27</v>
      </c>
      <c r="C1" s="226">
        <f ca="1" xml:space="preserve"> COUNTIF(O:O,"SI")</f>
        <v>1970</v>
      </c>
      <c r="D1" s="224"/>
      <c r="E1" s="261" t="str">
        <f ca="1" xml:space="preserve"> "Cantidad de audiencias de la fecha:   " &amp; COUNTIF(H:H,TODAY())</f>
        <v>Cantidad de audiencias de la fecha:   12</v>
      </c>
      <c r="F1" s="227"/>
      <c r="G1" s="228"/>
      <c r="H1" s="229"/>
      <c r="I1" s="229"/>
      <c r="J1" s="229" t="s">
        <v>1435</v>
      </c>
      <c r="K1" s="228" t="s">
        <v>897</v>
      </c>
      <c r="L1" s="230" t="s">
        <v>3775</v>
      </c>
      <c r="M1" s="98"/>
      <c r="N1" s="99"/>
      <c r="O1" s="99"/>
      <c r="P1" s="100">
        <v>45408</v>
      </c>
      <c r="Q1" s="231">
        <v>45098</v>
      </c>
      <c r="R1" s="231">
        <v>45100</v>
      </c>
      <c r="S1" s="224"/>
      <c r="T1" s="101"/>
      <c r="U1" s="98"/>
      <c r="Y1" s="224"/>
      <c r="Z1" s="232"/>
    </row>
    <row r="2" spans="1:29" s="509" customFormat="1" ht="50.1" customHeight="1">
      <c r="A2" s="82" t="s">
        <v>1735</v>
      </c>
      <c r="B2" s="83" t="s">
        <v>0</v>
      </c>
      <c r="C2" s="82" t="s">
        <v>18</v>
      </c>
      <c r="D2" s="82" t="s">
        <v>1</v>
      </c>
      <c r="E2" s="82" t="s">
        <v>2</v>
      </c>
      <c r="F2" s="82" t="s">
        <v>662</v>
      </c>
      <c r="G2" s="82" t="s">
        <v>917</v>
      </c>
      <c r="H2" s="83" t="s">
        <v>5</v>
      </c>
      <c r="I2" s="82" t="s">
        <v>18</v>
      </c>
      <c r="J2" s="82" t="s">
        <v>30</v>
      </c>
      <c r="K2" s="82" t="s">
        <v>89</v>
      </c>
      <c r="L2" s="82" t="s">
        <v>79</v>
      </c>
      <c r="M2" s="82" t="s">
        <v>80</v>
      </c>
      <c r="N2" s="82" t="s">
        <v>918</v>
      </c>
      <c r="O2" s="47" t="s">
        <v>637</v>
      </c>
      <c r="P2" s="47" t="s">
        <v>1663</v>
      </c>
      <c r="Q2" s="47" t="s">
        <v>945</v>
      </c>
      <c r="R2" s="47" t="s">
        <v>946</v>
      </c>
      <c r="S2" s="47" t="s">
        <v>1019</v>
      </c>
      <c r="T2" s="84" t="s">
        <v>1664</v>
      </c>
      <c r="U2" s="73" t="s">
        <v>929</v>
      </c>
      <c r="V2" s="47" t="s">
        <v>1665</v>
      </c>
      <c r="W2" s="47" t="s">
        <v>1020</v>
      </c>
      <c r="X2" s="47" t="s">
        <v>988</v>
      </c>
      <c r="Y2" s="47" t="s">
        <v>994</v>
      </c>
      <c r="Z2" s="47" t="s">
        <v>1050</v>
      </c>
      <c r="AA2" s="47" t="s">
        <v>1177</v>
      </c>
      <c r="AB2" s="47" t="s">
        <v>1178</v>
      </c>
      <c r="AC2" s="47" t="s">
        <v>3407</v>
      </c>
    </row>
    <row r="3" spans="1:29" ht="60" customHeight="1">
      <c r="A3" s="7">
        <v>1</v>
      </c>
      <c r="B3" s="19">
        <v>44973</v>
      </c>
      <c r="C3" s="15" t="s">
        <v>73</v>
      </c>
      <c r="D3" s="7" t="s">
        <v>101</v>
      </c>
      <c r="E3" s="40" t="s">
        <v>104</v>
      </c>
      <c r="F3" s="7">
        <v>3</v>
      </c>
      <c r="G3" s="7" t="s">
        <v>1433</v>
      </c>
      <c r="H3" s="297">
        <v>44974</v>
      </c>
      <c r="I3" s="7" t="s">
        <v>73</v>
      </c>
      <c r="J3" s="19" t="s">
        <v>33</v>
      </c>
      <c r="K3" s="7">
        <f>IFERROR(VLOOKUP(J3,Jueces!$A$1:$B$11,2,FALSE),"")</f>
        <v>4</v>
      </c>
      <c r="L3" s="7" t="s">
        <v>102</v>
      </c>
      <c r="M3" s="7" t="s">
        <v>103</v>
      </c>
      <c r="N3" s="7" t="s">
        <v>100</v>
      </c>
      <c r="O3" s="7" t="str">
        <f ca="1">IF(H3&lt;&gt;"",IF(H3&lt;=TODAY(),"SI","NO"),"LIMBO")</f>
        <v>SI</v>
      </c>
      <c r="P3" s="7" t="str">
        <f>IF($P$1=H3,"DIASOL", "DIANOSOL")</f>
        <v>DIANOSOL</v>
      </c>
      <c r="Q3" s="7" t="s">
        <v>902</v>
      </c>
      <c r="R3" s="7" t="str">
        <f>VLOOKUP($Q3,Resultados!$A$1:$B$49,2,FALSE)</f>
        <v>Juicio Abreviado</v>
      </c>
      <c r="S3" s="15"/>
      <c r="T3" s="68" t="str">
        <f>IF(G3=$J$1,"SI","NO")</f>
        <v>NO</v>
      </c>
      <c r="U3" s="68">
        <f>IF(H3="",0,MONTH(H3))</f>
        <v>2</v>
      </c>
      <c r="V3" s="7" t="str">
        <f ca="1">IF(color_Celda(E3)=12106214,"ROSA",IF(color_Celda(E3)=65535,"AMARILLO",IF(color_Celda(E3)=5296274,"VERDE",IF(color_Celda(E3)=16777215,"BLANCO","NO SE"))))</f>
        <v>ROSA</v>
      </c>
      <c r="W3" s="7"/>
      <c r="X3" s="7"/>
      <c r="Y3" s="7"/>
      <c r="Z3" s="68"/>
      <c r="AA3" s="68"/>
      <c r="AB3" s="68"/>
      <c r="AC3" s="249"/>
    </row>
    <row r="4" spans="1:29" ht="60" customHeight="1">
      <c r="A4" s="7">
        <v>2</v>
      </c>
      <c r="B4" s="19">
        <v>44979</v>
      </c>
      <c r="C4" s="7" t="s">
        <v>20</v>
      </c>
      <c r="D4" s="7" t="s">
        <v>14</v>
      </c>
      <c r="E4" s="40" t="s">
        <v>15</v>
      </c>
      <c r="F4" s="7">
        <v>3</v>
      </c>
      <c r="G4" s="7" t="s">
        <v>283</v>
      </c>
      <c r="H4" s="297">
        <v>44984</v>
      </c>
      <c r="I4" s="7" t="s">
        <v>73</v>
      </c>
      <c r="J4" s="19" t="s">
        <v>33</v>
      </c>
      <c r="K4" s="7">
        <f>IFERROR(VLOOKUP(J4,Jueces!$A$1:$B$11,2,FALSE),"")</f>
        <v>4</v>
      </c>
      <c r="L4" s="7" t="s">
        <v>82</v>
      </c>
      <c r="M4" s="7" t="s">
        <v>83</v>
      </c>
      <c r="N4" s="7" t="s">
        <v>116</v>
      </c>
      <c r="O4" s="7" t="str">
        <f ca="1">IF(H4&lt;&gt;"",IF(H4&lt;=TODAY(),"SI","NO"),"LIMBO")</f>
        <v>SI</v>
      </c>
      <c r="P4" s="7" t="str">
        <f>IF($P$1=H4,"DIASOL", "DIANOSOL")</f>
        <v>DIANOSOL</v>
      </c>
      <c r="Q4" s="7" t="s">
        <v>902</v>
      </c>
      <c r="R4" s="7" t="str">
        <f>VLOOKUP($Q4,Resultados!$A$1:$B$49,2,FALSE)</f>
        <v>Juicio Abreviado</v>
      </c>
      <c r="S4" s="7"/>
      <c r="T4" s="68" t="str">
        <f>IF(G4=$J$1,"SI","NO")</f>
        <v>NO</v>
      </c>
      <c r="U4" s="68">
        <f>IF(H4="",0,MONTH(H4))</f>
        <v>2</v>
      </c>
      <c r="V4" s="7" t="str">
        <f ca="1">IF(color_Celda(E4)=12106214,"ROSA",IF(color_Celda(E4)=65535,"AMARILLO",IF(color_Celda(E4)=5296274,"VERDE",IF(color_Celda(E4)=16777215,"BLANCO","NO SE"))))</f>
        <v>ROSA</v>
      </c>
      <c r="W4" s="7"/>
      <c r="X4" s="7"/>
      <c r="Y4" s="7"/>
      <c r="Z4" s="68"/>
      <c r="AA4" s="68"/>
      <c r="AB4" s="68"/>
      <c r="AC4" s="698"/>
    </row>
    <row r="5" spans="1:29" ht="60" customHeight="1">
      <c r="A5" s="7">
        <v>3</v>
      </c>
      <c r="B5" s="19">
        <v>44979</v>
      </c>
      <c r="C5" s="7" t="s">
        <v>19</v>
      </c>
      <c r="D5" s="7" t="s">
        <v>10</v>
      </c>
      <c r="E5" s="40" t="s">
        <v>11</v>
      </c>
      <c r="F5" s="7">
        <v>3</v>
      </c>
      <c r="G5" s="7" t="s">
        <v>29</v>
      </c>
      <c r="H5" s="297">
        <v>44984</v>
      </c>
      <c r="I5" s="7" t="s">
        <v>76</v>
      </c>
      <c r="J5" s="19" t="s">
        <v>33</v>
      </c>
      <c r="K5" s="7">
        <f>IFERROR(VLOOKUP(J5,Jueces!$A$1:$B$11,2,FALSE),"")</f>
        <v>4</v>
      </c>
      <c r="L5" s="7" t="s">
        <v>95</v>
      </c>
      <c r="M5" s="7" t="s">
        <v>81</v>
      </c>
      <c r="N5" s="7" t="s">
        <v>117</v>
      </c>
      <c r="O5" s="7" t="str">
        <f ca="1">IF(H5&lt;&gt;"",IF(H5&lt;=TODAY(),"SI","NO"),"LIMBO")</f>
        <v>SI</v>
      </c>
      <c r="P5" s="7" t="str">
        <f>IF($P$1=H5,"DIASOL", "DIANOSOL")</f>
        <v>DIANOSOL</v>
      </c>
      <c r="Q5" s="7" t="s">
        <v>902</v>
      </c>
      <c r="R5" s="7" t="str">
        <f>VLOOKUP($Q5,Resultados!$A$1:$B$49,2,FALSE)</f>
        <v>Juicio Abreviado</v>
      </c>
      <c r="S5" s="7" t="s">
        <v>675</v>
      </c>
      <c r="T5" s="68" t="str">
        <f>IF(G5=$J$1,"SI","NO")</f>
        <v>NO</v>
      </c>
      <c r="U5" s="68">
        <f>IF(H5="",0,MONTH(H5))</f>
        <v>2</v>
      </c>
      <c r="V5" s="7" t="str">
        <f ca="1">IF(color_Celda(E5)=12106214,"ROSA",IF(color_Celda(E5)=65535,"AMARILLO",IF(color_Celda(E5)=5296274,"VERDE",IF(color_Celda(E5)=16777215,"BLANCO","NO SE"))))</f>
        <v>ROSA</v>
      </c>
      <c r="W5" s="7"/>
      <c r="X5" s="7"/>
      <c r="Y5" s="7"/>
      <c r="Z5" s="68"/>
      <c r="AA5" s="68"/>
      <c r="AB5" s="68"/>
      <c r="AC5" s="698"/>
    </row>
    <row r="6" spans="1:29" ht="60" customHeight="1">
      <c r="A6" s="7">
        <v>4</v>
      </c>
      <c r="B6" s="19">
        <v>44979</v>
      </c>
      <c r="C6" s="7" t="s">
        <v>21</v>
      </c>
      <c r="D6" s="7" t="s">
        <v>7</v>
      </c>
      <c r="E6" s="40" t="s">
        <v>526</v>
      </c>
      <c r="F6" s="7">
        <v>3</v>
      </c>
      <c r="G6" s="7" t="s">
        <v>283</v>
      </c>
      <c r="H6" s="297">
        <v>44985</v>
      </c>
      <c r="I6" s="7" t="s">
        <v>75</v>
      </c>
      <c r="J6" s="19" t="s">
        <v>78</v>
      </c>
      <c r="K6" s="7">
        <f>IFERROR(VLOOKUP(J6,Jueces!$A$1:$B$11,2,FALSE),"")</f>
        <v>8</v>
      </c>
      <c r="L6" s="7" t="s">
        <v>93</v>
      </c>
      <c r="M6" s="7" t="s">
        <v>84</v>
      </c>
      <c r="N6" s="7" t="s">
        <v>156</v>
      </c>
      <c r="O6" s="7" t="str">
        <f ca="1">IF(H6&lt;&gt;"",IF(H6&lt;=TODAY(),"SI","NO"),"LIMBO")</f>
        <v>SI</v>
      </c>
      <c r="P6" s="7" t="str">
        <f>IF($P$1=H6,"DIASOL", "DIANOSOL")</f>
        <v>DIANOSOL</v>
      </c>
      <c r="Q6" s="7" t="s">
        <v>1021</v>
      </c>
      <c r="R6" s="7" t="str">
        <f>VLOOKUP($Q6,Resultados!$A$1:$B$49,2,FALSE)</f>
        <v>Difiere Resolución</v>
      </c>
      <c r="S6" s="7"/>
      <c r="T6" s="68" t="str">
        <f>IF(G6=$J$1,"SI","NO")</f>
        <v>NO</v>
      </c>
      <c r="U6" s="68">
        <f>IF(H6="",0,MONTH(H6))</f>
        <v>2</v>
      </c>
      <c r="V6" s="7" t="str">
        <f ca="1">IF(color_Celda(E6)=12106214,"ROSA",IF(color_Celda(E6)=65535,"AMARILLO",IF(color_Celda(E6)=5296274,"VERDE",IF(color_Celda(E6)=16777215,"BLANCO","NO SE"))))</f>
        <v>ROSA</v>
      </c>
      <c r="W6" s="7"/>
      <c r="X6" s="7"/>
      <c r="Y6" s="7"/>
      <c r="Z6" s="68"/>
      <c r="AA6" s="68"/>
      <c r="AB6" s="68"/>
      <c r="AC6" s="698"/>
    </row>
    <row r="7" spans="1:29" ht="60" customHeight="1">
      <c r="A7" s="7">
        <v>5</v>
      </c>
      <c r="B7" s="19">
        <v>44980</v>
      </c>
      <c r="C7" s="7" t="s">
        <v>22</v>
      </c>
      <c r="D7" s="7" t="s">
        <v>16</v>
      </c>
      <c r="E7" s="40" t="s">
        <v>17</v>
      </c>
      <c r="F7" s="7">
        <v>3</v>
      </c>
      <c r="G7" s="7" t="s">
        <v>34</v>
      </c>
      <c r="H7" s="297">
        <v>44986</v>
      </c>
      <c r="I7" s="7" t="s">
        <v>228</v>
      </c>
      <c r="J7" s="19" t="s">
        <v>78</v>
      </c>
      <c r="K7" s="7">
        <f>IFERROR(VLOOKUP(J7,Jueces!$A$1:$B$11,2,FALSE),"")</f>
        <v>8</v>
      </c>
      <c r="L7" s="7" t="s">
        <v>119</v>
      </c>
      <c r="M7" s="7" t="s">
        <v>106</v>
      </c>
      <c r="N7" s="7" t="s">
        <v>118</v>
      </c>
      <c r="O7" s="7" t="str">
        <f ca="1">IF(H7&lt;&gt;"",IF(H7&lt;=TODAY(),"SI","NO"),"LIMBO")</f>
        <v>SI</v>
      </c>
      <c r="P7" s="7" t="str">
        <f>IF($P$1=H7,"DIASOL", "DIANOSOL")</f>
        <v>DIANOSOL</v>
      </c>
      <c r="Q7" s="7" t="s">
        <v>902</v>
      </c>
      <c r="R7" s="7" t="str">
        <f>VLOOKUP($Q7,Resultados!$A$1:$B$49,2,FALSE)</f>
        <v>Juicio Abreviado</v>
      </c>
      <c r="S7" s="7"/>
      <c r="T7" s="68" t="str">
        <f>IF(G7=$J$1,"SI","NO")</f>
        <v>NO</v>
      </c>
      <c r="U7" s="68">
        <f>IF(H7="",0,MONTH(H7))</f>
        <v>3</v>
      </c>
      <c r="V7" s="7" t="str">
        <f ca="1">IF(color_Celda(E7)=12106214,"ROSA",IF(color_Celda(E7)=65535,"AMARILLO",IF(color_Celda(E7)=5296274,"VERDE",IF(color_Celda(E7)=16777215,"BLANCO","NO SE"))))</f>
        <v>ROSA</v>
      </c>
      <c r="W7" s="7"/>
      <c r="X7" s="7"/>
      <c r="Y7" s="7"/>
      <c r="Z7" s="68"/>
      <c r="AA7" s="68"/>
      <c r="AB7" s="68"/>
      <c r="AC7" s="698"/>
    </row>
    <row r="8" spans="1:29" ht="60" customHeight="1">
      <c r="A8" s="7">
        <v>6</v>
      </c>
      <c r="B8" s="19">
        <v>44980</v>
      </c>
      <c r="C8" s="7" t="s">
        <v>23</v>
      </c>
      <c r="D8" s="7" t="s">
        <v>8</v>
      </c>
      <c r="E8" s="40" t="s">
        <v>9</v>
      </c>
      <c r="F8" s="7">
        <v>3</v>
      </c>
      <c r="G8" s="7" t="s">
        <v>32</v>
      </c>
      <c r="H8" s="297">
        <v>44987</v>
      </c>
      <c r="I8" s="7" t="s">
        <v>360</v>
      </c>
      <c r="J8" s="19" t="s">
        <v>31</v>
      </c>
      <c r="K8" s="7">
        <f>IFERROR(VLOOKUP(J8,Jueces!$A$1:$B$11,2,FALSE),"")</f>
        <v>2</v>
      </c>
      <c r="L8" s="7" t="s">
        <v>87</v>
      </c>
      <c r="M8" s="7" t="s">
        <v>86</v>
      </c>
      <c r="N8" s="7" t="s">
        <v>85</v>
      </c>
      <c r="O8" s="7" t="str">
        <f ca="1">IF(H8&lt;&gt;"",IF(H8&lt;=TODAY(),"SI","NO"),"LIMBO")</f>
        <v>SI</v>
      </c>
      <c r="P8" s="7" t="str">
        <f>IF($P$1=H8,"DIASOL", "DIANOSOL")</f>
        <v>DIANOSOL</v>
      </c>
      <c r="Q8" s="7" t="s">
        <v>902</v>
      </c>
      <c r="R8" s="7" t="str">
        <f>VLOOKUP($Q8,Resultados!$A$1:$B$49,2,FALSE)</f>
        <v>Juicio Abreviado</v>
      </c>
      <c r="S8" s="7"/>
      <c r="T8" s="68" t="str">
        <f>IF(G8=$J$1,"SI","NO")</f>
        <v>NO</v>
      </c>
      <c r="U8" s="68">
        <f>IF(H8="",0,MONTH(H8))</f>
        <v>3</v>
      </c>
      <c r="V8" s="7" t="str">
        <f ca="1">IF(color_Celda(E8)=12106214,"ROSA",IF(color_Celda(E8)=65535,"AMARILLO",IF(color_Celda(E8)=5296274,"VERDE",IF(color_Celda(E8)=16777215,"BLANCO","NO SE"))))</f>
        <v>ROSA</v>
      </c>
      <c r="W8" s="7"/>
      <c r="X8" s="7"/>
      <c r="Y8" s="7"/>
      <c r="Z8" s="68"/>
      <c r="AA8" s="68"/>
      <c r="AB8" s="68"/>
      <c r="AC8" s="698"/>
    </row>
    <row r="9" spans="1:29" ht="60" customHeight="1" outlineLevel="1">
      <c r="A9" s="7">
        <v>7</v>
      </c>
      <c r="B9" s="19">
        <v>44980</v>
      </c>
      <c r="C9" s="7" t="s">
        <v>24</v>
      </c>
      <c r="D9" s="7" t="s">
        <v>12</v>
      </c>
      <c r="E9" s="40" t="s">
        <v>13</v>
      </c>
      <c r="F9" s="7">
        <v>3</v>
      </c>
      <c r="G9" s="7" t="s">
        <v>34</v>
      </c>
      <c r="H9" s="297">
        <v>44988</v>
      </c>
      <c r="I9" s="7" t="s">
        <v>73</v>
      </c>
      <c r="J9" s="19" t="s">
        <v>35</v>
      </c>
      <c r="K9" s="7">
        <f>IFERROR(VLOOKUP(J9,Jueces!$A$1:$B$11,2,FALSE),"")</f>
        <v>3</v>
      </c>
      <c r="L9" s="7" t="s">
        <v>152</v>
      </c>
      <c r="M9" s="7" t="s">
        <v>106</v>
      </c>
      <c r="N9" s="7" t="s">
        <v>151</v>
      </c>
      <c r="O9" s="7" t="str">
        <f ca="1">IF(H9&lt;&gt;"",IF(H9&lt;=TODAY(),"SI","NO"),"LIMBO")</f>
        <v>SI</v>
      </c>
      <c r="P9" s="7" t="str">
        <f>IF($P$1=H9,"DIASOL", "DIANOSOL")</f>
        <v>DIANOSOL</v>
      </c>
      <c r="Q9" s="7" t="s">
        <v>151</v>
      </c>
      <c r="R9" s="7" t="str">
        <f>VLOOKUP($Q9,Resultados!$A$1:$B$49,2,FALSE)</f>
        <v>Prisión Preventiva</v>
      </c>
      <c r="S9" s="7"/>
      <c r="T9" s="68" t="str">
        <f>IF(G9=$J$1,"SI","NO")</f>
        <v>NO</v>
      </c>
      <c r="U9" s="68">
        <f>IF(H9="",0,MONTH(H9))</f>
        <v>3</v>
      </c>
      <c r="V9" s="7" t="str">
        <f ca="1">IF(color_Celda(E9)=12106214,"ROSA",IF(color_Celda(E9)=65535,"AMARILLO",IF(color_Celda(E9)=5296274,"VERDE",IF(color_Celda(E9)=16777215,"BLANCO","NO SE"))))</f>
        <v>ROSA</v>
      </c>
      <c r="W9" s="7"/>
      <c r="X9" s="7"/>
      <c r="Y9" s="7"/>
      <c r="Z9" s="68"/>
      <c r="AA9" s="68"/>
      <c r="AB9" s="68"/>
      <c r="AC9" s="698"/>
    </row>
    <row r="10" spans="1:29" ht="60" customHeight="1" outlineLevel="1">
      <c r="A10" s="7">
        <v>8</v>
      </c>
      <c r="B10" s="19">
        <v>44980</v>
      </c>
      <c r="C10" s="7" t="s">
        <v>25</v>
      </c>
      <c r="D10" s="7" t="s">
        <v>57</v>
      </c>
      <c r="E10" s="40" t="s">
        <v>40</v>
      </c>
      <c r="F10" s="7">
        <v>3</v>
      </c>
      <c r="G10" s="7" t="s">
        <v>29</v>
      </c>
      <c r="H10" s="297">
        <v>44988</v>
      </c>
      <c r="I10" s="7" t="s">
        <v>76</v>
      </c>
      <c r="J10" s="19" t="s">
        <v>35</v>
      </c>
      <c r="K10" s="7">
        <f>IFERROR(VLOOKUP(J10,Jueces!$A$1:$B$11,2,FALSE),"")</f>
        <v>3</v>
      </c>
      <c r="L10" s="7" t="s">
        <v>94</v>
      </c>
      <c r="M10" s="7" t="s">
        <v>90</v>
      </c>
      <c r="N10" s="7" t="s">
        <v>155</v>
      </c>
      <c r="O10" s="7" t="str">
        <f ca="1">IF(H10&lt;&gt;"",IF(H10&lt;=TODAY(),"SI","NO"),"LIMBO")</f>
        <v>SI</v>
      </c>
      <c r="P10" s="7" t="str">
        <f>IF($P$1=H10,"DIASOL", "DIANOSOL")</f>
        <v>DIANOSOL</v>
      </c>
      <c r="Q10" s="7" t="s">
        <v>902</v>
      </c>
      <c r="R10" s="7" t="str">
        <f>VLOOKUP($Q10,Resultados!$A$1:$B$49,2,FALSE)</f>
        <v>Juicio Abreviado</v>
      </c>
      <c r="S10" s="7"/>
      <c r="T10" s="68" t="str">
        <f>IF(G10=$J$1,"SI","NO")</f>
        <v>NO</v>
      </c>
      <c r="U10" s="68">
        <f>IF(H10="",0,MONTH(H10))</f>
        <v>3</v>
      </c>
      <c r="V10" s="7" t="str">
        <f ca="1">IF(color_Celda(E10)=12106214,"ROSA",IF(color_Celda(E10)=65535,"AMARILLO",IF(color_Celda(E10)=5296274,"VERDE",IF(color_Celda(E10)=16777215,"BLANCO","NO SE"))))</f>
        <v>ROSA</v>
      </c>
      <c r="W10" s="7"/>
      <c r="X10" s="7"/>
      <c r="Y10" s="7"/>
      <c r="Z10" s="68"/>
      <c r="AA10" s="68"/>
      <c r="AB10" s="68"/>
      <c r="AC10" s="698"/>
    </row>
    <row r="11" spans="1:29" ht="60" customHeight="1" outlineLevel="1">
      <c r="A11" s="7">
        <v>9</v>
      </c>
      <c r="B11" s="19">
        <v>44981</v>
      </c>
      <c r="C11" s="7" t="s">
        <v>26</v>
      </c>
      <c r="D11" s="7" t="s">
        <v>4</v>
      </c>
      <c r="E11" s="40" t="s">
        <v>6</v>
      </c>
      <c r="F11" s="7">
        <v>3</v>
      </c>
      <c r="G11" s="7" t="s">
        <v>283</v>
      </c>
      <c r="H11" s="297">
        <v>44991</v>
      </c>
      <c r="I11" s="7" t="s">
        <v>73</v>
      </c>
      <c r="J11" s="19" t="s">
        <v>31</v>
      </c>
      <c r="K11" s="7">
        <f>IFERROR(VLOOKUP(J11,Jueces!$A$1:$B$11,2,FALSE),"")</f>
        <v>2</v>
      </c>
      <c r="L11" s="7" t="s">
        <v>91</v>
      </c>
      <c r="M11" s="7" t="s">
        <v>684</v>
      </c>
      <c r="N11" s="7" t="s">
        <v>203</v>
      </c>
      <c r="O11" s="7" t="str">
        <f ca="1">IF(H11&lt;&gt;"",IF(H11&lt;=TODAY(),"SI","NO"),"LIMBO")</f>
        <v>SI</v>
      </c>
      <c r="P11" s="7" t="str">
        <f>IF($P$1=H11,"DIASOL", "DIANOSOL")</f>
        <v>DIANOSOL</v>
      </c>
      <c r="Q11" s="7" t="s">
        <v>151</v>
      </c>
      <c r="R11" s="7" t="str">
        <f>VLOOKUP($Q11,Resultados!$A$1:$B$49,2,FALSE)</f>
        <v>Prisión Preventiva</v>
      </c>
      <c r="S11" s="7"/>
      <c r="T11" s="68" t="str">
        <f>IF(G11=$J$1,"SI","NO")</f>
        <v>NO</v>
      </c>
      <c r="U11" s="68">
        <f>IF(H11="",0,MONTH(H11))</f>
        <v>3</v>
      </c>
      <c r="V11" s="7" t="str">
        <f ca="1">IF(color_Celda(E11)=12106214,"ROSA",IF(color_Celda(E11)=65535,"AMARILLO",IF(color_Celda(E11)=5296274,"VERDE",IF(color_Celda(E11)=16777215,"BLANCO","NO SE"))))</f>
        <v>ROSA</v>
      </c>
      <c r="W11" s="7"/>
      <c r="X11" s="7"/>
      <c r="Y11" s="7"/>
      <c r="Z11" s="68"/>
      <c r="AA11" s="68"/>
      <c r="AB11" s="68"/>
      <c r="AC11" s="698"/>
    </row>
    <row r="12" spans="1:29" ht="60" customHeight="1" outlineLevel="1">
      <c r="A12" s="7">
        <v>10</v>
      </c>
      <c r="B12" s="19">
        <v>44984</v>
      </c>
      <c r="C12" s="7" t="s">
        <v>36</v>
      </c>
      <c r="D12" s="7" t="s">
        <v>56</v>
      </c>
      <c r="E12" s="40" t="s">
        <v>39</v>
      </c>
      <c r="F12" s="7">
        <v>3</v>
      </c>
      <c r="G12" s="7" t="s">
        <v>43</v>
      </c>
      <c r="H12" s="297">
        <v>44991</v>
      </c>
      <c r="I12" s="7" t="s">
        <v>76</v>
      </c>
      <c r="J12" s="19" t="s">
        <v>78</v>
      </c>
      <c r="K12" s="7">
        <f>IFERROR(VLOOKUP(J12,Jueces!$A$1:$B$11,2,FALSE),"")</f>
        <v>8</v>
      </c>
      <c r="L12" s="7" t="s">
        <v>92</v>
      </c>
      <c r="M12" s="7" t="s">
        <v>96</v>
      </c>
      <c r="N12" s="7" t="s">
        <v>167</v>
      </c>
      <c r="O12" s="7" t="str">
        <f ca="1">IF(H12&lt;&gt;"",IF(H12&lt;=TODAY(),"SI","NO"),"LIMBO")</f>
        <v>SI</v>
      </c>
      <c r="P12" s="7" t="str">
        <f>IF($P$1=H12,"DIASOL", "DIANOSOL")</f>
        <v>DIANOSOL</v>
      </c>
      <c r="Q12" s="7" t="s">
        <v>902</v>
      </c>
      <c r="R12" s="7" t="str">
        <f>VLOOKUP($Q12,Resultados!$A$1:$B$49,2,FALSE)</f>
        <v>Juicio Abreviado</v>
      </c>
      <c r="S12" s="7"/>
      <c r="T12" s="68" t="str">
        <f>IF(G12=$J$1,"SI","NO")</f>
        <v>NO</v>
      </c>
      <c r="U12" s="68">
        <f>IF(H12="",0,MONTH(H12))</f>
        <v>3</v>
      </c>
      <c r="V12" s="7" t="str">
        <f ca="1">IF(color_Celda(E12)=12106214,"ROSA",IF(color_Celda(E12)=65535,"AMARILLO",IF(color_Celda(E12)=5296274,"VERDE",IF(color_Celda(E12)=16777215,"BLANCO","NO SE"))))</f>
        <v>ROSA</v>
      </c>
      <c r="W12" s="7"/>
      <c r="X12" s="7"/>
      <c r="Y12" s="7"/>
      <c r="Z12" s="68"/>
      <c r="AA12" s="68"/>
      <c r="AB12" s="68"/>
      <c r="AC12" s="698"/>
    </row>
    <row r="13" spans="1:29" ht="60" customHeight="1" outlineLevel="1">
      <c r="A13" s="7">
        <v>11</v>
      </c>
      <c r="B13" s="19">
        <v>44985</v>
      </c>
      <c r="C13" s="7" t="s">
        <v>38</v>
      </c>
      <c r="D13" s="7" t="s">
        <v>53</v>
      </c>
      <c r="E13" s="40" t="s">
        <v>48</v>
      </c>
      <c r="F13" s="7">
        <v>3</v>
      </c>
      <c r="G13" s="7" t="s">
        <v>283</v>
      </c>
      <c r="H13" s="297">
        <v>44992</v>
      </c>
      <c r="I13" s="7" t="s">
        <v>73</v>
      </c>
      <c r="J13" s="19" t="s">
        <v>35</v>
      </c>
      <c r="K13" s="7">
        <f>IFERROR(VLOOKUP(J13,Jueces!$A$1:$B$11,2,FALSE),"")</f>
        <v>3</v>
      </c>
      <c r="L13" s="7" t="s">
        <v>93</v>
      </c>
      <c r="M13" s="7" t="s">
        <v>83</v>
      </c>
      <c r="N13" s="7" t="s">
        <v>208</v>
      </c>
      <c r="O13" s="7" t="str">
        <f ca="1">IF(H13&lt;&gt;"",IF(H13&lt;=TODAY(),"SI","NO"),"LIMBO")</f>
        <v>SI</v>
      </c>
      <c r="P13" s="7" t="str">
        <f>IF($P$1=H13,"DIASOL", "DIANOSOL")</f>
        <v>DIANOSOL</v>
      </c>
      <c r="Q13" s="7" t="s">
        <v>902</v>
      </c>
      <c r="R13" s="7" t="str">
        <f>VLOOKUP($Q13,Resultados!$A$1:$B$49,2,FALSE)</f>
        <v>Juicio Abreviado</v>
      </c>
      <c r="S13" s="7"/>
      <c r="T13" s="68" t="str">
        <f>IF(G13=$J$1,"SI","NO")</f>
        <v>NO</v>
      </c>
      <c r="U13" s="68">
        <f>IF(H13="",0,MONTH(H13))</f>
        <v>3</v>
      </c>
      <c r="V13" s="7" t="str">
        <f ca="1">IF(color_Celda(E13)=12106214,"ROSA",IF(color_Celda(E13)=65535,"AMARILLO",IF(color_Celda(E13)=5296274,"VERDE",IF(color_Celda(E13)=16777215,"BLANCO","NO SE"))))</f>
        <v>ROSA</v>
      </c>
      <c r="W13" s="7"/>
      <c r="X13" s="7"/>
      <c r="Y13" s="7"/>
      <c r="Z13" s="68"/>
      <c r="AA13" s="68"/>
      <c r="AB13" s="68"/>
      <c r="AC13" s="698"/>
    </row>
    <row r="14" spans="1:29" ht="60" customHeight="1" outlineLevel="1">
      <c r="A14" s="7">
        <v>12</v>
      </c>
      <c r="B14" s="19">
        <v>44985</v>
      </c>
      <c r="C14" s="7" t="s">
        <v>38</v>
      </c>
      <c r="D14" s="7" t="s">
        <v>27</v>
      </c>
      <c r="E14" s="40" t="s">
        <v>28</v>
      </c>
      <c r="F14" s="7">
        <v>3</v>
      </c>
      <c r="G14" s="7" t="s">
        <v>29</v>
      </c>
      <c r="H14" s="297">
        <v>44992</v>
      </c>
      <c r="I14" s="7" t="s">
        <v>75</v>
      </c>
      <c r="J14" s="19" t="s">
        <v>35</v>
      </c>
      <c r="K14" s="7">
        <f>IFERROR(VLOOKUP(J14,Jueces!$A$1:$B$11,2,FALSE),"")</f>
        <v>3</v>
      </c>
      <c r="L14" s="7" t="s">
        <v>93</v>
      </c>
      <c r="M14" s="7" t="s">
        <v>88</v>
      </c>
      <c r="N14" s="7" t="s">
        <v>204</v>
      </c>
      <c r="O14" s="7" t="str">
        <f ca="1">IF(H14&lt;&gt;"",IF(H14&lt;=TODAY(),"SI","NO"),"LIMBO")</f>
        <v>SI</v>
      </c>
      <c r="P14" s="7" t="str">
        <f>IF($P$1=H14,"DIASOL", "DIANOSOL")</f>
        <v>DIANOSOL</v>
      </c>
      <c r="Q14" s="7" t="s">
        <v>907</v>
      </c>
      <c r="R14" s="7" t="str">
        <f>VLOOKUP($Q14,Resultados!$A$1:$B$49,2,FALSE)</f>
        <v>Suspensión de juicio a prueba</v>
      </c>
      <c r="S14" s="7"/>
      <c r="T14" s="68" t="str">
        <f>IF(G14=$J$1,"SI","NO")</f>
        <v>NO</v>
      </c>
      <c r="U14" s="68">
        <f>IF(H14="",0,MONTH(H14))</f>
        <v>3</v>
      </c>
      <c r="V14" s="7" t="str">
        <f ca="1">IF(color_Celda(E14)=12106214,"ROSA",IF(color_Celda(E14)=65535,"AMARILLO",IF(color_Celda(E14)=5296274,"VERDE",IF(color_Celda(E14)=16777215,"BLANCO","NO SE"))))</f>
        <v>ROSA</v>
      </c>
      <c r="W14" s="7"/>
      <c r="X14" s="7"/>
      <c r="Y14" s="7"/>
      <c r="Z14" s="68"/>
      <c r="AA14" s="68"/>
      <c r="AB14" s="68"/>
      <c r="AC14" s="698"/>
    </row>
    <row r="15" spans="1:29" ht="60" customHeight="1" outlineLevel="1">
      <c r="A15" s="7">
        <v>13</v>
      </c>
      <c r="B15" s="19">
        <v>44985</v>
      </c>
      <c r="C15" s="7" t="s">
        <v>42</v>
      </c>
      <c r="D15" s="7" t="s">
        <v>67</v>
      </c>
      <c r="E15" s="40" t="s">
        <v>70</v>
      </c>
      <c r="F15" s="7">
        <v>3</v>
      </c>
      <c r="G15" s="7" t="s">
        <v>283</v>
      </c>
      <c r="H15" s="297">
        <v>44992</v>
      </c>
      <c r="I15" s="7" t="s">
        <v>228</v>
      </c>
      <c r="J15" s="19" t="s">
        <v>78</v>
      </c>
      <c r="K15" s="7">
        <f>IFERROR(VLOOKUP(J15,Jueces!$A$1:$B$11,2,FALSE),"")</f>
        <v>8</v>
      </c>
      <c r="L15" s="7" t="s">
        <v>97</v>
      </c>
      <c r="M15" s="7" t="s">
        <v>199</v>
      </c>
      <c r="N15" s="7" t="s">
        <v>200</v>
      </c>
      <c r="O15" s="7" t="str">
        <f ca="1">IF(H15&lt;&gt;"",IF(H15&lt;=TODAY(),"SI","NO"),"LIMBO")</f>
        <v>SI</v>
      </c>
      <c r="P15" s="7" t="str">
        <f>IF($P$1=H15,"DIASOL", "DIANOSOL")</f>
        <v>DIANOSOL</v>
      </c>
      <c r="Q15" s="7" t="s">
        <v>903</v>
      </c>
      <c r="R15" s="7" t="str">
        <f>VLOOKUP($Q15,Resultados!$A$1:$B$49,2,FALSE)</f>
        <v>Juicio Abreviado</v>
      </c>
      <c r="S15" s="7"/>
      <c r="T15" s="68" t="str">
        <f>IF(G15=$J$1,"SI","NO")</f>
        <v>NO</v>
      </c>
      <c r="U15" s="68">
        <f>IF(H15="",0,MONTH(H15))</f>
        <v>3</v>
      </c>
      <c r="V15" s="7" t="str">
        <f ca="1">IF(color_Celda(E15)=12106214,"ROSA",IF(color_Celda(E15)=65535,"AMARILLO",IF(color_Celda(E15)=5296274,"VERDE",IF(color_Celda(E15)=16777215,"BLANCO","NO SE"))))</f>
        <v>ROSA</v>
      </c>
      <c r="W15" s="7"/>
      <c r="X15" s="7"/>
      <c r="Y15" s="7"/>
      <c r="Z15" s="68"/>
      <c r="AA15" s="68"/>
      <c r="AB15" s="68"/>
      <c r="AC15" s="698"/>
    </row>
    <row r="16" spans="1:29" ht="60" customHeight="1" outlineLevel="1">
      <c r="A16" s="7">
        <v>14</v>
      </c>
      <c r="B16" s="19">
        <v>44985</v>
      </c>
      <c r="C16" s="7" t="s">
        <v>45</v>
      </c>
      <c r="D16" s="7" t="s">
        <v>55</v>
      </c>
      <c r="E16" s="40" t="s">
        <v>50</v>
      </c>
      <c r="F16" s="7">
        <v>3</v>
      </c>
      <c r="G16" s="7" t="s">
        <v>34</v>
      </c>
      <c r="H16" s="297">
        <v>44993</v>
      </c>
      <c r="I16" s="7" t="s">
        <v>73</v>
      </c>
      <c r="J16" s="19" t="s">
        <v>31</v>
      </c>
      <c r="K16" s="7">
        <f>IFERROR(VLOOKUP(J16,Jueces!$A$1:$B$11,2,FALSE),"")</f>
        <v>2</v>
      </c>
      <c r="L16" s="7" t="s">
        <v>98</v>
      </c>
      <c r="M16" s="7" t="s">
        <v>99</v>
      </c>
      <c r="N16" s="7" t="s">
        <v>234</v>
      </c>
      <c r="O16" s="7" t="str">
        <f ca="1">IF(H16&lt;&gt;"",IF(H16&lt;=TODAY(),"SI","NO"),"LIMBO")</f>
        <v>SI</v>
      </c>
      <c r="P16" s="7" t="str">
        <f>IF($P$1=H16,"DIASOL", "DIANOSOL")</f>
        <v>DIANOSOL</v>
      </c>
      <c r="Q16" s="7" t="s">
        <v>151</v>
      </c>
      <c r="R16" s="7" t="str">
        <f>VLOOKUP($Q16,Resultados!$A$1:$B$49,2,FALSE)</f>
        <v>Prisión Preventiva</v>
      </c>
      <c r="S16" s="7"/>
      <c r="T16" s="68" t="str">
        <f>IF(G16=$J$1,"SI","NO")</f>
        <v>NO</v>
      </c>
      <c r="U16" s="68">
        <f>IF(H16="",0,MONTH(H16))</f>
        <v>3</v>
      </c>
      <c r="V16" s="7" t="str">
        <f ca="1">IF(color_Celda(E16)=12106214,"ROSA",IF(color_Celda(E16)=65535,"AMARILLO",IF(color_Celda(E16)=5296274,"VERDE",IF(color_Celda(E16)=16777215,"BLANCO","NO SE"))))</f>
        <v>ROSA</v>
      </c>
      <c r="W16" s="7"/>
      <c r="X16" s="7"/>
      <c r="Y16" s="7"/>
      <c r="Z16" s="68"/>
      <c r="AA16" s="68"/>
      <c r="AB16" s="68"/>
      <c r="AC16" s="698"/>
    </row>
    <row r="17" spans="1:29" ht="60" customHeight="1" outlineLevel="1">
      <c r="A17" s="7">
        <v>16</v>
      </c>
      <c r="B17" s="19">
        <v>44985</v>
      </c>
      <c r="C17" s="7" t="s">
        <v>51</v>
      </c>
      <c r="D17" s="7" t="s">
        <v>62</v>
      </c>
      <c r="E17" s="40" t="s">
        <v>66</v>
      </c>
      <c r="F17" s="7">
        <v>3</v>
      </c>
      <c r="G17" s="7" t="s">
        <v>43</v>
      </c>
      <c r="H17" s="297">
        <v>44993</v>
      </c>
      <c r="I17" s="7" t="s">
        <v>73</v>
      </c>
      <c r="J17" s="19" t="s">
        <v>31</v>
      </c>
      <c r="K17" s="7">
        <f>IFERROR(VLOOKUP(J17,Jueces!$A$1:$B$11,2,FALSE),"")</f>
        <v>2</v>
      </c>
      <c r="L17" s="7" t="s">
        <v>105</v>
      </c>
      <c r="M17" s="7" t="s">
        <v>106</v>
      </c>
      <c r="N17" s="7" t="s">
        <v>100</v>
      </c>
      <c r="O17" s="7" t="str">
        <f ca="1">IF(H17&lt;&gt;"",IF(H17&lt;=TODAY(),"SI","NO"),"LIMBO")</f>
        <v>SI</v>
      </c>
      <c r="P17" s="7" t="str">
        <f>IF($P$1=H17,"DIASOL", "DIANOSOL")</f>
        <v>DIANOSOL</v>
      </c>
      <c r="Q17" s="7" t="s">
        <v>902</v>
      </c>
      <c r="R17" s="7" t="str">
        <f>VLOOKUP($Q17,Resultados!$A$1:$B$49,2,FALSE)</f>
        <v>Juicio Abreviado</v>
      </c>
      <c r="S17" s="7"/>
      <c r="T17" s="68" t="str">
        <f>IF(G17=$J$1,"SI","NO")</f>
        <v>NO</v>
      </c>
      <c r="U17" s="68">
        <f>IF(H17="",0,MONTH(H17))</f>
        <v>3</v>
      </c>
      <c r="V17" s="7" t="str">
        <f ca="1">IF(color_Celda(E17)=12106214,"ROSA",IF(color_Celda(E17)=65535,"AMARILLO",IF(color_Celda(E17)=5296274,"VERDE",IF(color_Celda(E17)=16777215,"BLANCO","NO SE"))))</f>
        <v>ROSA</v>
      </c>
      <c r="W17" s="7"/>
      <c r="X17" s="7"/>
      <c r="Y17" s="7"/>
      <c r="Z17" s="68"/>
      <c r="AA17" s="68"/>
      <c r="AB17" s="68"/>
      <c r="AC17" s="698"/>
    </row>
    <row r="18" spans="1:29" ht="60" customHeight="1" outlineLevel="1">
      <c r="A18" s="7">
        <v>15</v>
      </c>
      <c r="B18" s="19">
        <v>44987</v>
      </c>
      <c r="C18" s="15">
        <v>0.33333333333333331</v>
      </c>
      <c r="D18" s="7" t="s">
        <v>109</v>
      </c>
      <c r="E18" s="40" t="s">
        <v>110</v>
      </c>
      <c r="F18" s="7">
        <v>3</v>
      </c>
      <c r="G18" s="7" t="s">
        <v>1433</v>
      </c>
      <c r="H18" s="297">
        <v>44993</v>
      </c>
      <c r="I18" s="7" t="s">
        <v>73</v>
      </c>
      <c r="J18" s="19" t="s">
        <v>31</v>
      </c>
      <c r="K18" s="7">
        <f>IFERROR(VLOOKUP(J18,Jueces!$A$1:$B$11,2,FALSE),"")</f>
        <v>2</v>
      </c>
      <c r="L18" s="7" t="s">
        <v>126</v>
      </c>
      <c r="M18" s="7" t="s">
        <v>127</v>
      </c>
      <c r="N18" s="7" t="s">
        <v>235</v>
      </c>
      <c r="O18" s="7" t="str">
        <f ca="1">IF(H18&lt;&gt;"",IF(H18&lt;=TODAY(),"SI","NO"),"LIMBO")</f>
        <v>SI</v>
      </c>
      <c r="P18" s="7" t="str">
        <f>IF($P$1=H18,"DIASOL", "DIANOSOL")</f>
        <v>DIANOSOL</v>
      </c>
      <c r="Q18" s="7" t="s">
        <v>151</v>
      </c>
      <c r="R18" s="7" t="str">
        <f>VLOOKUP($Q18,Resultados!$A$1:$B$49,2,FALSE)</f>
        <v>Prisión Preventiva</v>
      </c>
      <c r="S18" s="7"/>
      <c r="T18" s="68" t="str">
        <f>IF(G18=$J$1,"SI","NO")</f>
        <v>NO</v>
      </c>
      <c r="U18" s="68">
        <f>IF(H18="",0,MONTH(H18))</f>
        <v>3</v>
      </c>
      <c r="V18" s="7" t="str">
        <f ca="1">IF(color_Celda(E18)=12106214,"ROSA",IF(color_Celda(E18)=65535,"AMARILLO",IF(color_Celda(E18)=5296274,"VERDE",IF(color_Celda(E18)=16777215,"BLANCO","NO SE"))))</f>
        <v>ROSA</v>
      </c>
      <c r="W18" s="7"/>
      <c r="X18" s="7"/>
      <c r="Y18" s="7"/>
      <c r="Z18" s="68"/>
      <c r="AA18" s="68"/>
      <c r="AB18" s="68"/>
      <c r="AC18" s="698"/>
    </row>
    <row r="19" spans="1:29" ht="60" customHeight="1" outlineLevel="1">
      <c r="A19" s="7">
        <v>17</v>
      </c>
      <c r="B19" s="5">
        <v>44985</v>
      </c>
      <c r="C19" s="4" t="s">
        <v>47</v>
      </c>
      <c r="D19" s="4" t="s">
        <v>69</v>
      </c>
      <c r="E19" s="39" t="s">
        <v>72</v>
      </c>
      <c r="F19" s="4">
        <v>3</v>
      </c>
      <c r="G19" s="4" t="s">
        <v>43</v>
      </c>
      <c r="H19" s="496">
        <v>44993</v>
      </c>
      <c r="I19" s="4" t="s">
        <v>76</v>
      </c>
      <c r="J19" s="5" t="s">
        <v>35</v>
      </c>
      <c r="K19" s="7">
        <f>IFERROR(VLOOKUP(J19,Jueces!$A$1:$B$11,2,FALSE),"")</f>
        <v>3</v>
      </c>
      <c r="L19" s="4" t="s">
        <v>142</v>
      </c>
      <c r="M19" s="4" t="s">
        <v>226</v>
      </c>
      <c r="N19" s="4" t="s">
        <v>227</v>
      </c>
      <c r="O19" s="47" t="str">
        <f ca="1">IF(H19&lt;&gt;"",IF(H19&lt;=TODAY(),"SI","NO"),"LIMBO")</f>
        <v>SI</v>
      </c>
      <c r="P19" s="47" t="str">
        <f>IF($P$1=H19,"DIASOL", "DIANOSOL")</f>
        <v>DIANOSOL</v>
      </c>
      <c r="Q19" s="7" t="s">
        <v>897</v>
      </c>
      <c r="R19" s="7" t="str">
        <f>VLOOKUP($Q19,Resultados!$A$1:$B$49,2,FALSE)</f>
        <v>Libertad</v>
      </c>
      <c r="S19" s="7"/>
      <c r="T19" s="68" t="str">
        <f>IF(G19=$J$1,"SI","NO")</f>
        <v>NO</v>
      </c>
      <c r="U19" s="68">
        <f>IF(H19="",0,MONTH(H19))</f>
        <v>3</v>
      </c>
      <c r="V19" s="7" t="str">
        <f ca="1">IF(color_Celda(E19)=12106214,"ROSA",IF(color_Celda(E19)=65535,"AMARILLO",IF(color_Celda(E19)=5296274,"VERDE",IF(color_Celda(E19)=16777215,"BLANCO","NO SE"))))</f>
        <v>ROSA</v>
      </c>
      <c r="W19" s="7"/>
      <c r="X19" s="7"/>
      <c r="Y19" s="7"/>
      <c r="Z19" s="68"/>
      <c r="AA19" s="68"/>
      <c r="AB19" s="68"/>
      <c r="AC19" s="698"/>
    </row>
    <row r="20" spans="1:29" ht="60" customHeight="1" outlineLevel="1">
      <c r="A20" s="7">
        <v>18</v>
      </c>
      <c r="B20" s="5">
        <v>44985</v>
      </c>
      <c r="C20" s="4" t="s">
        <v>49</v>
      </c>
      <c r="D20" s="4" t="s">
        <v>60</v>
      </c>
      <c r="E20" s="39" t="s">
        <v>61</v>
      </c>
      <c r="F20" s="4">
        <v>3</v>
      </c>
      <c r="G20" s="4" t="s">
        <v>283</v>
      </c>
      <c r="H20" s="496">
        <v>44993</v>
      </c>
      <c r="I20" s="4" t="s">
        <v>75</v>
      </c>
      <c r="J20" s="5" t="s">
        <v>78</v>
      </c>
      <c r="K20" s="7">
        <f>IFERROR(VLOOKUP(J20,Jueces!$A$1:$B$11,2,FALSE),"")</f>
        <v>8</v>
      </c>
      <c r="L20" s="4" t="s">
        <v>98</v>
      </c>
      <c r="M20" s="4" t="s">
        <v>99</v>
      </c>
      <c r="N20" s="4" t="s">
        <v>233</v>
      </c>
      <c r="O20" s="47" t="str">
        <f ca="1">IF(H20&lt;&gt;"",IF(H20&lt;=TODAY(),"SI","NO"),"LIMBO")</f>
        <v>SI</v>
      </c>
      <c r="P20" s="47" t="str">
        <f>IF($P$1=H20,"DIASOL", "DIANOSOL")</f>
        <v>DIANOSOL</v>
      </c>
      <c r="Q20" s="7" t="s">
        <v>902</v>
      </c>
      <c r="R20" s="7" t="str">
        <f>VLOOKUP($Q20,Resultados!$A$1:$B$49,2,FALSE)</f>
        <v>Juicio Abreviado</v>
      </c>
      <c r="S20" s="7"/>
      <c r="T20" s="68" t="str">
        <f>IF(G20=$J$1,"SI","NO")</f>
        <v>NO</v>
      </c>
      <c r="U20" s="68">
        <f>IF(H20="",0,MONTH(H20))</f>
        <v>3</v>
      </c>
      <c r="V20" s="7" t="str">
        <f ca="1">IF(color_Celda(E20)=12106214,"ROSA",IF(color_Celda(E20)=65535,"AMARILLO",IF(color_Celda(E20)=5296274,"VERDE",IF(color_Celda(E20)=16777215,"BLANCO","NO SE"))))</f>
        <v>ROSA</v>
      </c>
      <c r="W20" s="7"/>
      <c r="X20" s="7"/>
      <c r="Y20" s="7"/>
      <c r="Z20" s="68"/>
      <c r="AA20" s="68"/>
      <c r="AB20" s="68"/>
      <c r="AC20" s="698"/>
    </row>
    <row r="21" spans="1:29" ht="60" customHeight="1" outlineLevel="1">
      <c r="A21" s="7">
        <v>19</v>
      </c>
      <c r="B21" s="5">
        <v>44986</v>
      </c>
      <c r="C21" s="4" t="s">
        <v>38</v>
      </c>
      <c r="D21" s="4" t="s">
        <v>44</v>
      </c>
      <c r="E21" s="39" t="s">
        <v>37</v>
      </c>
      <c r="F21" s="4">
        <v>3</v>
      </c>
      <c r="G21" s="4" t="s">
        <v>1433</v>
      </c>
      <c r="H21" s="496">
        <v>44994</v>
      </c>
      <c r="I21" s="4" t="s">
        <v>73</v>
      </c>
      <c r="J21" s="5" t="s">
        <v>31</v>
      </c>
      <c r="K21" s="7">
        <f>IFERROR(VLOOKUP(J21,Jueces!$A$1:$B$11,2,FALSE),"")</f>
        <v>2</v>
      </c>
      <c r="L21" s="4" t="s">
        <v>184</v>
      </c>
      <c r="M21" s="4" t="s">
        <v>106</v>
      </c>
      <c r="N21" s="4" t="s">
        <v>261</v>
      </c>
      <c r="O21" s="47" t="str">
        <f ca="1">IF(H21&lt;&gt;"",IF(H21&lt;=TODAY(),"SI","NO"),"LIMBO")</f>
        <v>SI</v>
      </c>
      <c r="P21" s="47" t="str">
        <f>IF($P$1=H21,"DIASOL", "DIANOSOL")</f>
        <v>DIANOSOL</v>
      </c>
      <c r="Q21" s="7" t="s">
        <v>902</v>
      </c>
      <c r="R21" s="7" t="str">
        <f>VLOOKUP($Q21,Resultados!$A$1:$B$49,2,FALSE)</f>
        <v>Juicio Abreviado</v>
      </c>
      <c r="S21" s="7"/>
      <c r="T21" s="68" t="str">
        <f>IF(G21=$J$1,"SI","NO")</f>
        <v>NO</v>
      </c>
      <c r="U21" s="68">
        <f>IF(H21="",0,MONTH(H21))</f>
        <v>3</v>
      </c>
      <c r="V21" s="7" t="str">
        <f ca="1">IF(color_Celda(E21)=12106214,"ROSA",IF(color_Celda(E21)=65535,"AMARILLO",IF(color_Celda(E21)=5296274,"VERDE",IF(color_Celda(E21)=16777215,"BLANCO","NO SE"))))</f>
        <v>ROSA</v>
      </c>
      <c r="W21" s="7"/>
      <c r="X21" s="7"/>
      <c r="Y21" s="7"/>
      <c r="Z21" s="68"/>
      <c r="AA21" s="68"/>
      <c r="AB21" s="68"/>
      <c r="AC21" s="698"/>
    </row>
    <row r="22" spans="1:29" ht="60" customHeight="1" outlineLevel="1">
      <c r="A22" s="7">
        <v>20</v>
      </c>
      <c r="B22" s="5">
        <v>44986</v>
      </c>
      <c r="C22" s="6">
        <v>0.36388888888888887</v>
      </c>
      <c r="D22" s="4" t="s">
        <v>59</v>
      </c>
      <c r="E22" s="39" t="s">
        <v>46</v>
      </c>
      <c r="F22" s="4">
        <v>3</v>
      </c>
      <c r="G22" s="4" t="s">
        <v>43</v>
      </c>
      <c r="H22" s="496">
        <v>44994</v>
      </c>
      <c r="I22" s="4" t="s">
        <v>73</v>
      </c>
      <c r="J22" s="5" t="s">
        <v>35</v>
      </c>
      <c r="K22" s="7">
        <f>IFERROR(VLOOKUP(J22,Jueces!$A$1:$B$11,2,FALSE),"")</f>
        <v>3</v>
      </c>
      <c r="L22" s="4" t="s">
        <v>181</v>
      </c>
      <c r="M22" s="4" t="s">
        <v>127</v>
      </c>
      <c r="N22" s="4" t="s">
        <v>281</v>
      </c>
      <c r="O22" s="47" t="str">
        <f ca="1">IF(H22&lt;&gt;"",IF(H22&lt;=TODAY(),"SI","NO"),"LIMBO")</f>
        <v>SI</v>
      </c>
      <c r="P22" s="47" t="str">
        <f>IF($P$1=H22,"DIASOL", "DIANOSOL")</f>
        <v>DIANOSOL</v>
      </c>
      <c r="Q22" s="7" t="s">
        <v>902</v>
      </c>
      <c r="R22" s="7" t="str">
        <f>VLOOKUP($Q22,Resultados!$A$1:$B$49,2,FALSE)</f>
        <v>Juicio Abreviado</v>
      </c>
      <c r="S22" s="7"/>
      <c r="T22" s="68" t="str">
        <f>IF(G22=$J$1,"SI","NO")</f>
        <v>NO</v>
      </c>
      <c r="U22" s="68">
        <f>IF(H22="",0,MONTH(H22))</f>
        <v>3</v>
      </c>
      <c r="V22" s="7" t="str">
        <f ca="1">IF(color_Celda(E22)=12106214,"ROSA",IF(color_Celda(E22)=65535,"AMARILLO",IF(color_Celda(E22)=5296274,"VERDE",IF(color_Celda(E22)=16777215,"BLANCO","NO SE"))))</f>
        <v>ROSA</v>
      </c>
      <c r="W22" s="7"/>
      <c r="X22" s="7"/>
      <c r="Y22" s="7"/>
      <c r="Z22" s="68"/>
      <c r="AA22" s="68"/>
      <c r="AB22" s="68"/>
      <c r="AC22" s="698"/>
    </row>
    <row r="23" spans="1:29" ht="60" customHeight="1" outlineLevel="1">
      <c r="A23" s="7">
        <v>21</v>
      </c>
      <c r="B23" s="5">
        <v>44986</v>
      </c>
      <c r="C23" s="6">
        <v>0.36388888888888887</v>
      </c>
      <c r="D23" s="4" t="s">
        <v>58</v>
      </c>
      <c r="E23" s="39" t="s">
        <v>41</v>
      </c>
      <c r="F23" s="4">
        <v>3</v>
      </c>
      <c r="G23" s="4" t="s">
        <v>34</v>
      </c>
      <c r="H23" s="496">
        <v>44994</v>
      </c>
      <c r="I23" s="4" t="s">
        <v>76</v>
      </c>
      <c r="J23" s="5" t="s">
        <v>31</v>
      </c>
      <c r="K23" s="7">
        <f>IFERROR(VLOOKUP(J23,Jueces!$A$1:$B$11,2,FALSE),"")</f>
        <v>2</v>
      </c>
      <c r="L23" s="4" t="s">
        <v>262</v>
      </c>
      <c r="M23" s="4" t="s">
        <v>106</v>
      </c>
      <c r="N23" s="4" t="s">
        <v>677</v>
      </c>
      <c r="O23" s="47" t="str">
        <f ca="1">IF(H23&lt;&gt;"",IF(H23&lt;=TODAY(),"SI","NO"),"LIMBO")</f>
        <v>SI</v>
      </c>
      <c r="P23" s="47" t="str">
        <f>IF($P$1=H23,"DIASOL", "DIANOSOL")</f>
        <v>DIANOSOL</v>
      </c>
      <c r="Q23" s="7" t="s">
        <v>903</v>
      </c>
      <c r="R23" s="7" t="str">
        <f>VLOOKUP($Q23,Resultados!$A$1:$B$49,2,FALSE)</f>
        <v>Juicio Abreviado</v>
      </c>
      <c r="S23" s="7"/>
      <c r="T23" s="68" t="str">
        <f>IF(G23=$J$1,"SI","NO")</f>
        <v>NO</v>
      </c>
      <c r="U23" s="68">
        <f>IF(H23="",0,MONTH(H23))</f>
        <v>3</v>
      </c>
      <c r="V23" s="7" t="str">
        <f ca="1">IF(color_Celda(E23)=12106214,"ROSA",IF(color_Celda(E23)=65535,"AMARILLO",IF(color_Celda(E23)=5296274,"VERDE",IF(color_Celda(E23)=16777215,"BLANCO","NO SE"))))</f>
        <v>ROSA</v>
      </c>
      <c r="W23" s="7"/>
      <c r="X23" s="7"/>
      <c r="Y23" s="7"/>
      <c r="Z23" s="68"/>
      <c r="AA23" s="68"/>
      <c r="AB23" s="68"/>
      <c r="AC23" s="698"/>
    </row>
    <row r="24" spans="1:29" ht="60" customHeight="1" outlineLevel="1">
      <c r="A24" s="7">
        <v>22</v>
      </c>
      <c r="B24" s="5">
        <v>44987</v>
      </c>
      <c r="C24" s="6">
        <v>0.375</v>
      </c>
      <c r="D24" s="4" t="s">
        <v>107</v>
      </c>
      <c r="E24" s="39" t="s">
        <v>108</v>
      </c>
      <c r="F24" s="4">
        <v>3</v>
      </c>
      <c r="G24" s="4" t="s">
        <v>283</v>
      </c>
      <c r="H24" s="496">
        <v>44995</v>
      </c>
      <c r="I24" s="4" t="s">
        <v>511</v>
      </c>
      <c r="J24" s="5" t="s">
        <v>35</v>
      </c>
      <c r="K24" s="7">
        <f>IFERROR(VLOOKUP(J24,Jueces!$A$1:$B$11,2,FALSE),"")</f>
        <v>3</v>
      </c>
      <c r="L24" s="4" t="s">
        <v>128</v>
      </c>
      <c r="M24" s="4" t="s">
        <v>127</v>
      </c>
      <c r="N24" s="4" t="s">
        <v>298</v>
      </c>
      <c r="O24" s="47" t="str">
        <f ca="1">IF(H24&lt;&gt;"",IF(H24&lt;=TODAY(),"SI","NO"),"LIMBO")</f>
        <v>SI</v>
      </c>
      <c r="P24" s="47" t="str">
        <f>IF($P$1=H24,"DIASOL", "DIANOSOL")</f>
        <v>DIANOSOL</v>
      </c>
      <c r="Q24" s="7" t="s">
        <v>151</v>
      </c>
      <c r="R24" s="7" t="str">
        <f>VLOOKUP($Q24,Resultados!$A$1:$B$49,2,FALSE)</f>
        <v>Prisión Preventiva</v>
      </c>
      <c r="S24" s="7"/>
      <c r="T24" s="68" t="str">
        <f>IF(G24=$J$1,"SI","NO")</f>
        <v>NO</v>
      </c>
      <c r="U24" s="68">
        <f>IF(H24="",0,MONTH(H24))</f>
        <v>3</v>
      </c>
      <c r="V24" s="7" t="str">
        <f ca="1">IF(color_Celda(E24)=12106214,"ROSA",IF(color_Celda(E24)=65535,"AMARILLO",IF(color_Celda(E24)=5296274,"VERDE",IF(color_Celda(E24)=16777215,"BLANCO","NO SE"))))</f>
        <v>ROSA</v>
      </c>
      <c r="W24" s="7"/>
      <c r="X24" s="7"/>
      <c r="Y24" s="7"/>
      <c r="Z24" s="68"/>
      <c r="AA24" s="68"/>
      <c r="AB24" s="68"/>
      <c r="AC24" s="698"/>
    </row>
    <row r="25" spans="1:29" ht="60" customHeight="1" outlineLevel="1">
      <c r="A25" s="7">
        <v>24</v>
      </c>
      <c r="B25" s="5">
        <v>44986</v>
      </c>
      <c r="C25" s="4"/>
      <c r="D25" s="4" t="s">
        <v>63</v>
      </c>
      <c r="E25" s="39" t="s">
        <v>682</v>
      </c>
      <c r="F25" s="4">
        <v>3</v>
      </c>
      <c r="G25" s="4" t="s">
        <v>34</v>
      </c>
      <c r="H25" s="496">
        <v>44995</v>
      </c>
      <c r="I25" s="4" t="s">
        <v>73</v>
      </c>
      <c r="J25" s="5" t="s">
        <v>78</v>
      </c>
      <c r="K25" s="7">
        <f>IFERROR(VLOOKUP(J25,Jueces!$A$1:$B$11,2,FALSE),"")</f>
        <v>8</v>
      </c>
      <c r="L25" s="4" t="s">
        <v>133</v>
      </c>
      <c r="M25" s="4" t="s">
        <v>132</v>
      </c>
      <c r="N25" s="4" t="s">
        <v>291</v>
      </c>
      <c r="O25" s="47" t="str">
        <f ca="1">IF(H25&lt;&gt;"",IF(H25&lt;=TODAY(),"SI","NO"),"LIMBO")</f>
        <v>SI</v>
      </c>
      <c r="P25" s="47" t="str">
        <f>IF($P$1=H25,"DIASOL", "DIANOSOL")</f>
        <v>DIANOSOL</v>
      </c>
      <c r="Q25" s="7" t="s">
        <v>897</v>
      </c>
      <c r="R25" s="7" t="str">
        <f>VLOOKUP($Q25,Resultados!$A$1:$B$49,2,FALSE)</f>
        <v>Libertad</v>
      </c>
      <c r="S25" s="7"/>
      <c r="T25" s="68" t="str">
        <f>IF(G25=$J$1,"SI","NO")</f>
        <v>NO</v>
      </c>
      <c r="U25" s="68">
        <f>IF(H25="",0,MONTH(H25))</f>
        <v>3</v>
      </c>
      <c r="V25" s="7" t="str">
        <f ca="1">IF(color_Celda(E25)=12106214,"ROSA",IF(color_Celda(E25)=65535,"AMARILLO",IF(color_Celda(E25)=5296274,"VERDE",IF(color_Celda(E25)=16777215,"BLANCO","NO SE"))))</f>
        <v>ROSA</v>
      </c>
      <c r="W25" s="7"/>
      <c r="X25" s="7"/>
      <c r="Y25" s="7"/>
      <c r="Z25" s="68"/>
      <c r="AA25" s="68"/>
      <c r="AB25" s="68"/>
      <c r="AC25" s="698"/>
    </row>
    <row r="26" spans="1:29" ht="60" customHeight="1" outlineLevel="1">
      <c r="A26" s="7">
        <v>25</v>
      </c>
      <c r="B26" s="5">
        <v>44986</v>
      </c>
      <c r="C26" s="6">
        <v>0.36388888888888887</v>
      </c>
      <c r="D26" s="4" t="s">
        <v>54</v>
      </c>
      <c r="E26" s="39" t="s">
        <v>52</v>
      </c>
      <c r="F26" s="4">
        <v>3</v>
      </c>
      <c r="G26" s="4" t="s">
        <v>43</v>
      </c>
      <c r="H26" s="496">
        <v>44995</v>
      </c>
      <c r="I26" s="4" t="s">
        <v>73</v>
      </c>
      <c r="J26" s="5" t="s">
        <v>78</v>
      </c>
      <c r="K26" s="7">
        <f>IFERROR(VLOOKUP(J26,Jueces!$A$1:$B$11,2,FALSE),"")</f>
        <v>8</v>
      </c>
      <c r="L26" s="4" t="s">
        <v>131</v>
      </c>
      <c r="M26" s="4" t="s">
        <v>132</v>
      </c>
      <c r="N26" s="4" t="s">
        <v>235</v>
      </c>
      <c r="O26" s="47" t="str">
        <f ca="1">IF(H26&lt;&gt;"",IF(H26&lt;=TODAY(),"SI","NO"),"LIMBO")</f>
        <v>SI</v>
      </c>
      <c r="P26" s="47" t="str">
        <f>IF($P$1=H26,"DIASOL", "DIANOSOL")</f>
        <v>DIANOSOL</v>
      </c>
      <c r="Q26" s="7" t="s">
        <v>151</v>
      </c>
      <c r="R26" s="7" t="str">
        <f>VLOOKUP($Q26,Resultados!$A$1:$B$49,2,FALSE)</f>
        <v>Prisión Preventiva</v>
      </c>
      <c r="S26" s="7"/>
      <c r="T26" s="68" t="str">
        <f>IF(G26=$J$1,"SI","NO")</f>
        <v>NO</v>
      </c>
      <c r="U26" s="68">
        <f>IF(H26="",0,MONTH(H26))</f>
        <v>3</v>
      </c>
      <c r="V26" s="7" t="str">
        <f ca="1">IF(color_Celda(E26)=12106214,"ROSA",IF(color_Celda(E26)=65535,"AMARILLO",IF(color_Celda(E26)=5296274,"VERDE",IF(color_Celda(E26)=16777215,"BLANCO","NO SE"))))</f>
        <v>ROSA</v>
      </c>
      <c r="W26" s="7"/>
      <c r="X26" s="7"/>
      <c r="Y26" s="7"/>
      <c r="Z26" s="68"/>
      <c r="AA26" s="68"/>
      <c r="AB26" s="68"/>
      <c r="AC26" s="698"/>
    </row>
    <row r="27" spans="1:29" ht="60" customHeight="1" outlineLevel="1">
      <c r="A27" s="7">
        <v>27</v>
      </c>
      <c r="B27" s="5">
        <v>44986</v>
      </c>
      <c r="C27" s="4"/>
      <c r="D27" s="4" t="s">
        <v>64</v>
      </c>
      <c r="E27" s="39" t="s">
        <v>65</v>
      </c>
      <c r="F27" s="4">
        <v>3</v>
      </c>
      <c r="G27" s="4" t="s">
        <v>29</v>
      </c>
      <c r="H27" s="496">
        <v>44995</v>
      </c>
      <c r="I27" s="4" t="s">
        <v>73</v>
      </c>
      <c r="J27" s="5" t="s">
        <v>35</v>
      </c>
      <c r="K27" s="7">
        <f>IFERROR(VLOOKUP(J27,Jueces!$A$1:$B$11,2,FALSE),"")</f>
        <v>3</v>
      </c>
      <c r="L27" s="4" t="s">
        <v>134</v>
      </c>
      <c r="M27" s="4" t="s">
        <v>132</v>
      </c>
      <c r="N27" s="4" t="s">
        <v>299</v>
      </c>
      <c r="O27" s="47" t="str">
        <f ca="1">IF(H27&lt;&gt;"",IF(H27&lt;=TODAY(),"SI","NO"),"LIMBO")</f>
        <v>SI</v>
      </c>
      <c r="P27" s="47" t="str">
        <f>IF($P$1=H27,"DIASOL", "DIANOSOL")</f>
        <v>DIANOSOL</v>
      </c>
      <c r="Q27" s="7" t="s">
        <v>902</v>
      </c>
      <c r="R27" s="7" t="str">
        <f>VLOOKUP($Q27,Resultados!$A$1:$B$49,2,FALSE)</f>
        <v>Juicio Abreviado</v>
      </c>
      <c r="S27" s="7"/>
      <c r="T27" s="68" t="str">
        <f>IF(G27=$J$1,"SI","NO")</f>
        <v>NO</v>
      </c>
      <c r="U27" s="68">
        <f>IF(H27="",0,MONTH(H27))</f>
        <v>3</v>
      </c>
      <c r="V27" s="7" t="str">
        <f ca="1">IF(color_Celda(E27)=12106214,"ROSA",IF(color_Celda(E27)=65535,"AMARILLO",IF(color_Celda(E27)=5296274,"VERDE",IF(color_Celda(E27)=16777215,"BLANCO","NO SE"))))</f>
        <v>ROSA</v>
      </c>
      <c r="W27" s="7"/>
      <c r="X27" s="7"/>
      <c r="Y27" s="7"/>
      <c r="Z27" s="68"/>
      <c r="AA27" s="68"/>
      <c r="AB27" s="68"/>
      <c r="AC27" s="698"/>
    </row>
    <row r="28" spans="1:29" ht="60" customHeight="1" outlineLevel="1">
      <c r="A28" s="7">
        <v>23</v>
      </c>
      <c r="B28" s="5">
        <v>44988</v>
      </c>
      <c r="C28" s="4"/>
      <c r="D28" s="4" t="s">
        <v>137</v>
      </c>
      <c r="E28" s="39" t="s">
        <v>148</v>
      </c>
      <c r="F28" s="4">
        <v>3</v>
      </c>
      <c r="G28" s="4" t="s">
        <v>32</v>
      </c>
      <c r="H28" s="496">
        <v>44995</v>
      </c>
      <c r="I28" s="4" t="s">
        <v>73</v>
      </c>
      <c r="J28" s="5" t="s">
        <v>31</v>
      </c>
      <c r="K28" s="7">
        <f>IFERROR(VLOOKUP(J28,Jueces!$A$1:$B$11,2,FALSE),"")</f>
        <v>2</v>
      </c>
      <c r="L28" s="4" t="s">
        <v>355</v>
      </c>
      <c r="M28" s="4" t="s">
        <v>147</v>
      </c>
      <c r="N28" s="4" t="s">
        <v>235</v>
      </c>
      <c r="O28" s="47" t="str">
        <f ca="1">IF(H28&lt;&gt;"",IF(H28&lt;=TODAY(),"SI","NO"),"LIMBO")</f>
        <v>SI</v>
      </c>
      <c r="P28" s="47" t="str">
        <f>IF($P$1=H28,"DIASOL", "DIANOSOL")</f>
        <v>DIANOSOL</v>
      </c>
      <c r="Q28" s="7" t="s">
        <v>151</v>
      </c>
      <c r="R28" s="7" t="str">
        <f>VLOOKUP($Q28,Resultados!$A$1:$B$49,2,FALSE)</f>
        <v>Prisión Preventiva</v>
      </c>
      <c r="S28" s="7"/>
      <c r="T28" s="68" t="str">
        <f>IF(G28=$J$1,"SI","NO")</f>
        <v>NO</v>
      </c>
      <c r="U28" s="68">
        <f>IF(H28="",0,MONTH(H28))</f>
        <v>3</v>
      </c>
      <c r="V28" s="7" t="str">
        <f ca="1">IF(color_Celda(E28)=12106214,"ROSA",IF(color_Celda(E28)=65535,"AMARILLO",IF(color_Celda(E28)=5296274,"VERDE",IF(color_Celda(E28)=16777215,"BLANCO","NO SE"))))</f>
        <v>ROSA</v>
      </c>
      <c r="W28" s="7"/>
      <c r="X28" s="7"/>
      <c r="Y28" s="7"/>
      <c r="Z28" s="68"/>
      <c r="AA28" s="68"/>
      <c r="AB28" s="68"/>
      <c r="AC28" s="698"/>
    </row>
    <row r="29" spans="1:29" ht="60" customHeight="1" outlineLevel="1">
      <c r="A29" s="7">
        <v>26</v>
      </c>
      <c r="B29" s="5">
        <v>44992</v>
      </c>
      <c r="C29" s="6">
        <v>0.37291666666666662</v>
      </c>
      <c r="D29" s="7" t="s">
        <v>198</v>
      </c>
      <c r="E29" s="40" t="s">
        <v>197</v>
      </c>
      <c r="F29" s="4">
        <v>4</v>
      </c>
      <c r="G29" s="4" t="s">
        <v>32</v>
      </c>
      <c r="H29" s="496">
        <v>44995</v>
      </c>
      <c r="I29" s="4" t="s">
        <v>73</v>
      </c>
      <c r="J29" s="5" t="s">
        <v>31</v>
      </c>
      <c r="K29" s="7">
        <f>IFERROR(VLOOKUP(J29,Jueces!$A$1:$B$11,2,FALSE),"")</f>
        <v>2</v>
      </c>
      <c r="L29" s="4" t="s">
        <v>213</v>
      </c>
      <c r="M29" s="4" t="s">
        <v>214</v>
      </c>
      <c r="N29" s="4" t="s">
        <v>292</v>
      </c>
      <c r="O29" s="47" t="str">
        <f ca="1">IF(H29&lt;&gt;"",IF(H29&lt;=TODAY(),"SI","NO"),"LIMBO")</f>
        <v>SI</v>
      </c>
      <c r="P29" s="47" t="str">
        <f>IF($P$1=H29,"DIASOL", "DIANOSOL")</f>
        <v>DIANOSOL</v>
      </c>
      <c r="Q29" s="7" t="s">
        <v>897</v>
      </c>
      <c r="R29" s="7" t="str">
        <f>VLOOKUP($Q29,Resultados!$A$1:$B$49,2,FALSE)</f>
        <v>Libertad</v>
      </c>
      <c r="S29" s="7"/>
      <c r="T29" s="68" t="str">
        <f>IF(G29=$J$1,"SI","NO")</f>
        <v>NO</v>
      </c>
      <c r="U29" s="68">
        <f>IF(H29="",0,MONTH(H29))</f>
        <v>3</v>
      </c>
      <c r="V29" s="7" t="str">
        <f ca="1">IF(color_Celda(E29)=12106214,"ROSA",IF(color_Celda(E29)=65535,"AMARILLO",IF(color_Celda(E29)=5296274,"VERDE",IF(color_Celda(E29)=16777215,"BLANCO","NO SE"))))</f>
        <v>ROSA</v>
      </c>
      <c r="W29" s="7"/>
      <c r="X29" s="7"/>
      <c r="Y29" s="7"/>
      <c r="Z29" s="68"/>
      <c r="AA29" s="68"/>
      <c r="AB29" s="68"/>
      <c r="AC29" s="698"/>
    </row>
    <row r="30" spans="1:29" ht="60" customHeight="1" outlineLevel="1">
      <c r="A30" s="7">
        <v>29</v>
      </c>
      <c r="B30" s="5">
        <v>44986</v>
      </c>
      <c r="C30" s="4"/>
      <c r="D30" s="4" t="s">
        <v>68</v>
      </c>
      <c r="E30" s="39" t="s">
        <v>71</v>
      </c>
      <c r="F30" s="4">
        <v>3</v>
      </c>
      <c r="G30" s="4" t="s">
        <v>43</v>
      </c>
      <c r="H30" s="496">
        <v>44998</v>
      </c>
      <c r="I30" s="4" t="s">
        <v>73</v>
      </c>
      <c r="J30" s="5" t="s">
        <v>31</v>
      </c>
      <c r="K30" s="7">
        <f>IFERROR(VLOOKUP(J30,Jueces!$A$1:$B$11,2,FALSE),"")</f>
        <v>2</v>
      </c>
      <c r="L30" s="4" t="s">
        <v>129</v>
      </c>
      <c r="M30" s="4" t="s">
        <v>127</v>
      </c>
      <c r="N30" s="4" t="s">
        <v>350</v>
      </c>
      <c r="O30" s="47" t="str">
        <f ca="1">IF(H30&lt;&gt;"",IF(H30&lt;=TODAY(),"SI","NO"),"LIMBO")</f>
        <v>SI</v>
      </c>
      <c r="P30" s="47" t="str">
        <f>IF($P$1=H30,"DIASOL", "DIANOSOL")</f>
        <v>DIANOSOL</v>
      </c>
      <c r="Q30" s="7" t="s">
        <v>903</v>
      </c>
      <c r="R30" s="7" t="str">
        <f>VLOOKUP($Q30,Resultados!$A$1:$B$49,2,FALSE)</f>
        <v>Juicio Abreviado</v>
      </c>
      <c r="S30" s="7"/>
      <c r="T30" s="68" t="str">
        <f>IF(G30=$J$1,"SI","NO")</f>
        <v>NO</v>
      </c>
      <c r="U30" s="68">
        <f>IF(H30="",0,MONTH(H30))</f>
        <v>3</v>
      </c>
      <c r="V30" s="7" t="str">
        <f ca="1">IF(color_Celda(E30)=12106214,"ROSA",IF(color_Celda(E30)=65535,"AMARILLO",IF(color_Celda(E30)=5296274,"VERDE",IF(color_Celda(E30)=16777215,"BLANCO","NO SE"))))</f>
        <v>ROSA</v>
      </c>
      <c r="W30" s="7"/>
      <c r="X30" s="7"/>
      <c r="Y30" s="7"/>
      <c r="Z30" s="68"/>
      <c r="AA30" s="68"/>
      <c r="AB30" s="68"/>
      <c r="AC30" s="698"/>
    </row>
    <row r="31" spans="1:29" ht="60" customHeight="1" outlineLevel="1">
      <c r="A31" s="7">
        <v>28</v>
      </c>
      <c r="B31" s="5">
        <v>44987</v>
      </c>
      <c r="C31" s="6" t="s">
        <v>113</v>
      </c>
      <c r="D31" s="4" t="s">
        <v>111</v>
      </c>
      <c r="E31" s="39" t="s">
        <v>112</v>
      </c>
      <c r="F31" s="4">
        <v>3</v>
      </c>
      <c r="G31" s="4" t="s">
        <v>34</v>
      </c>
      <c r="H31" s="496">
        <v>44998</v>
      </c>
      <c r="I31" s="4" t="s">
        <v>73</v>
      </c>
      <c r="J31" s="5" t="s">
        <v>78</v>
      </c>
      <c r="K31" s="7">
        <f>IFERROR(VLOOKUP(J31,Jueces!$A$1:$B$11,2,FALSE),"")</f>
        <v>8</v>
      </c>
      <c r="L31" s="4" t="s">
        <v>128</v>
      </c>
      <c r="M31" s="4" t="s">
        <v>127</v>
      </c>
      <c r="N31" s="4" t="s">
        <v>235</v>
      </c>
      <c r="O31" s="47" t="str">
        <f ca="1">IF(H31&lt;&gt;"",IF(H31&lt;=TODAY(),"SI","NO"),"LIMBO")</f>
        <v>SI</v>
      </c>
      <c r="P31" s="47" t="str">
        <f>IF($P$1=H31,"DIASOL", "DIANOSOL")</f>
        <v>DIANOSOL</v>
      </c>
      <c r="Q31" s="7" t="s">
        <v>151</v>
      </c>
      <c r="R31" s="7" t="str">
        <f>VLOOKUP($Q31,Resultados!$A$1:$B$49,2,FALSE)</f>
        <v>Prisión Preventiva</v>
      </c>
      <c r="S31" s="7"/>
      <c r="T31" s="68" t="str">
        <f>IF(G31=$J$1,"SI","NO")</f>
        <v>NO</v>
      </c>
      <c r="U31" s="68">
        <f>IF(H31="",0,MONTH(H31))</f>
        <v>3</v>
      </c>
      <c r="V31" s="7" t="str">
        <f ca="1">IF(color_Celda(E31)=12106214,"ROSA",IF(color_Celda(E31)=65535,"AMARILLO",IF(color_Celda(E31)=5296274,"VERDE",IF(color_Celda(E31)=16777215,"BLANCO","NO SE"))))</f>
        <v>ROSA</v>
      </c>
      <c r="W31" s="7"/>
      <c r="X31" s="7"/>
      <c r="Y31" s="7"/>
      <c r="Z31" s="68"/>
      <c r="AA31" s="68"/>
      <c r="AB31" s="68"/>
      <c r="AC31" s="698"/>
    </row>
    <row r="32" spans="1:29" ht="60" customHeight="1" outlineLevel="1">
      <c r="A32" s="7">
        <v>30</v>
      </c>
      <c r="B32" s="5">
        <v>44987</v>
      </c>
      <c r="C32" s="6">
        <v>0.45416666666666666</v>
      </c>
      <c r="D32" s="4" t="s">
        <v>114</v>
      </c>
      <c r="E32" s="39" t="s">
        <v>115</v>
      </c>
      <c r="F32" s="4">
        <v>3</v>
      </c>
      <c r="G32" s="4" t="s">
        <v>29</v>
      </c>
      <c r="H32" s="496">
        <v>44998</v>
      </c>
      <c r="I32" s="4" t="s">
        <v>76</v>
      </c>
      <c r="J32" s="5" t="s">
        <v>31</v>
      </c>
      <c r="K32" s="7">
        <f>IFERROR(VLOOKUP(J32,Jueces!$A$1:$B$11,2,FALSE),"")</f>
        <v>2</v>
      </c>
      <c r="L32" s="4" t="s">
        <v>129</v>
      </c>
      <c r="M32" s="4" t="s">
        <v>130</v>
      </c>
      <c r="N32" s="4" t="s">
        <v>410</v>
      </c>
      <c r="O32" s="47" t="str">
        <f ca="1">IF(H32&lt;&gt;"",IF(H32&lt;=TODAY(),"SI","NO"),"LIMBO")</f>
        <v>SI</v>
      </c>
      <c r="P32" s="47" t="str">
        <f>IF($P$1=H32,"DIASOL", "DIANOSOL")</f>
        <v>DIANOSOL</v>
      </c>
      <c r="Q32" s="7" t="s">
        <v>151</v>
      </c>
      <c r="R32" s="7" t="str">
        <f>VLOOKUP($Q32,Resultados!$A$1:$B$49,2,FALSE)</f>
        <v>Prisión Preventiva</v>
      </c>
      <c r="S32" s="7"/>
      <c r="T32" s="68" t="str">
        <f>IF(G32=$J$1,"SI","NO")</f>
        <v>NO</v>
      </c>
      <c r="U32" s="68">
        <f>IF(H32="",0,MONTH(H32))</f>
        <v>3</v>
      </c>
      <c r="V32" s="7" t="str">
        <f ca="1">IF(color_Celda(E32)=12106214,"ROSA",IF(color_Celda(E32)=65535,"AMARILLO",IF(color_Celda(E32)=5296274,"VERDE",IF(color_Celda(E32)=16777215,"BLANCO","NO SE"))))</f>
        <v>ROSA</v>
      </c>
      <c r="W32" s="7"/>
      <c r="X32" s="7"/>
      <c r="Y32" s="7"/>
      <c r="Z32" s="68"/>
      <c r="AA32" s="68"/>
      <c r="AB32" s="68"/>
      <c r="AC32" s="698"/>
    </row>
    <row r="33" spans="1:29" ht="60" customHeight="1" outlineLevel="1">
      <c r="A33" s="7">
        <v>31</v>
      </c>
      <c r="B33" s="19">
        <v>44987</v>
      </c>
      <c r="C33" s="15">
        <v>0.50972222222222219</v>
      </c>
      <c r="D33" s="7" t="s">
        <v>122</v>
      </c>
      <c r="E33" s="40" t="s">
        <v>124</v>
      </c>
      <c r="F33" s="7">
        <v>3</v>
      </c>
      <c r="G33" s="7" t="s">
        <v>283</v>
      </c>
      <c r="H33" s="297">
        <v>44999</v>
      </c>
      <c r="I33" s="7" t="s">
        <v>73</v>
      </c>
      <c r="J33" s="19" t="s">
        <v>78</v>
      </c>
      <c r="K33" s="7">
        <f>IFERROR(VLOOKUP(J33,Jueces!$A$1:$B$11,2,FALSE),"")</f>
        <v>8</v>
      </c>
      <c r="L33" s="7" t="s">
        <v>139</v>
      </c>
      <c r="M33" s="7" t="s">
        <v>127</v>
      </c>
      <c r="N33" s="7" t="s">
        <v>384</v>
      </c>
      <c r="O33" s="47" t="str">
        <f ca="1">IF(H33&lt;&gt;"",IF(H33&lt;=TODAY(),"SI","NO"),"LIMBO")</f>
        <v>SI</v>
      </c>
      <c r="P33" s="47" t="str">
        <f>IF($P$1=H33,"DIASOL", "DIANOSOL")</f>
        <v>DIANOSOL</v>
      </c>
      <c r="Q33" s="7" t="s">
        <v>897</v>
      </c>
      <c r="R33" s="7" t="str">
        <f>VLOOKUP($Q33,Resultados!$A$1:$B$49,2,FALSE)</f>
        <v>Libertad</v>
      </c>
      <c r="S33" s="7"/>
      <c r="T33" s="68" t="str">
        <f>IF(G33=$J$1,"SI","NO")</f>
        <v>NO</v>
      </c>
      <c r="U33" s="68">
        <f>IF(H33="",0,MONTH(H33))</f>
        <v>3</v>
      </c>
      <c r="V33" s="7" t="str">
        <f ca="1">IF(color_Celda(E33)=12106214,"ROSA",IF(color_Celda(E33)=65535,"AMARILLO",IF(color_Celda(E33)=5296274,"VERDE",IF(color_Celda(E33)=16777215,"BLANCO","NO SE"))))</f>
        <v>ROSA</v>
      </c>
      <c r="W33" s="7"/>
      <c r="X33" s="7"/>
      <c r="Y33" s="7"/>
      <c r="Z33" s="68"/>
      <c r="AA33" s="68"/>
      <c r="AB33" s="68"/>
      <c r="AC33" s="698"/>
    </row>
    <row r="34" spans="1:29" ht="60" customHeight="1" outlineLevel="1">
      <c r="A34" s="7">
        <v>32</v>
      </c>
      <c r="B34" s="19">
        <v>44987</v>
      </c>
      <c r="C34" s="15">
        <v>0.5180555555555556</v>
      </c>
      <c r="D34" s="7" t="s">
        <v>123</v>
      </c>
      <c r="E34" s="40" t="s">
        <v>125</v>
      </c>
      <c r="F34" s="7">
        <v>3</v>
      </c>
      <c r="G34" s="7" t="s">
        <v>29</v>
      </c>
      <c r="H34" s="297">
        <v>44999</v>
      </c>
      <c r="I34" s="7" t="s">
        <v>73</v>
      </c>
      <c r="J34" s="19" t="s">
        <v>31</v>
      </c>
      <c r="K34" s="7">
        <f>IFERROR(VLOOKUP(J34,Jueces!$A$1:$B$11,2,FALSE),"")</f>
        <v>2</v>
      </c>
      <c r="L34" s="7" t="s">
        <v>140</v>
      </c>
      <c r="M34" s="7" t="s">
        <v>141</v>
      </c>
      <c r="N34" s="7" t="s">
        <v>593</v>
      </c>
      <c r="O34" s="47" t="str">
        <f ca="1">IF(H34&lt;&gt;"",IF(H34&lt;=TODAY(),"SI","NO"),"LIMBO")</f>
        <v>SI</v>
      </c>
      <c r="P34" s="47" t="str">
        <f>IF($P$1=H34,"DIASOL", "DIANOSOL")</f>
        <v>DIANOSOL</v>
      </c>
      <c r="Q34" s="7" t="s">
        <v>902</v>
      </c>
      <c r="R34" s="7" t="str">
        <f>VLOOKUP($Q34,Resultados!$A$1:$B$49,2,FALSE)</f>
        <v>Juicio Abreviado</v>
      </c>
      <c r="S34" s="7"/>
      <c r="T34" s="68" t="str">
        <f>IF(G34=$J$1,"SI","NO")</f>
        <v>NO</v>
      </c>
      <c r="U34" s="68">
        <f>IF(H34="",0,MONTH(H34))</f>
        <v>3</v>
      </c>
      <c r="V34" s="7" t="str">
        <f ca="1">IF(color_Celda(E34)=12106214,"ROSA",IF(color_Celda(E34)=65535,"AMARILLO",IF(color_Celda(E34)=5296274,"VERDE",IF(color_Celda(E34)=16777215,"BLANCO","NO SE"))))</f>
        <v>ROSA</v>
      </c>
      <c r="W34" s="7"/>
      <c r="X34" s="7"/>
      <c r="Y34" s="7"/>
      <c r="Z34" s="68"/>
      <c r="AA34" s="68"/>
      <c r="AB34" s="68"/>
      <c r="AC34" s="698"/>
    </row>
    <row r="35" spans="1:29" ht="60" customHeight="1" outlineLevel="1">
      <c r="A35" s="7">
        <v>33</v>
      </c>
      <c r="B35" s="19">
        <v>44988</v>
      </c>
      <c r="C35" s="15">
        <v>0.52708333333333335</v>
      </c>
      <c r="D35" s="7" t="s">
        <v>154</v>
      </c>
      <c r="E35" s="40" t="s">
        <v>153</v>
      </c>
      <c r="F35" s="7">
        <v>3</v>
      </c>
      <c r="G35" s="7" t="s">
        <v>34</v>
      </c>
      <c r="H35" s="297">
        <v>44999</v>
      </c>
      <c r="I35" s="7" t="s">
        <v>73</v>
      </c>
      <c r="J35" s="19" t="s">
        <v>35</v>
      </c>
      <c r="K35" s="7">
        <f>IFERROR(VLOOKUP(J35,Jueces!$A$1:$B$11,2,FALSE),"")</f>
        <v>3</v>
      </c>
      <c r="L35" s="7" t="s">
        <v>170</v>
      </c>
      <c r="M35" s="7" t="s">
        <v>171</v>
      </c>
      <c r="N35" s="7" t="s">
        <v>594</v>
      </c>
      <c r="O35" s="47" t="str">
        <f ca="1">IF(H35&lt;&gt;"",IF(H35&lt;=TODAY(),"SI","NO"),"LIMBO")</f>
        <v>SI</v>
      </c>
      <c r="P35" s="47" t="str">
        <f>IF($P$1=H35,"DIASOL", "DIANOSOL")</f>
        <v>DIANOSOL</v>
      </c>
      <c r="Q35" s="7" t="s">
        <v>903</v>
      </c>
      <c r="R35" s="7" t="str">
        <f>VLOOKUP($Q35,Resultados!$A$1:$B$49,2,FALSE)</f>
        <v>Juicio Abreviado</v>
      </c>
      <c r="S35" s="7"/>
      <c r="T35" s="68" t="str">
        <f>IF(G35=$J$1,"SI","NO")</f>
        <v>NO</v>
      </c>
      <c r="U35" s="68">
        <f>IF(H35="",0,MONTH(H35))</f>
        <v>3</v>
      </c>
      <c r="V35" s="7" t="str">
        <f ca="1">IF(color_Celda(E35)=12106214,"ROSA",IF(color_Celda(E35)=65535,"AMARILLO",IF(color_Celda(E35)=5296274,"VERDE",IF(color_Celda(E35)=16777215,"BLANCO","NO SE"))))</f>
        <v>ROSA</v>
      </c>
      <c r="W35" s="7"/>
      <c r="X35" s="7"/>
      <c r="Y35" s="7"/>
      <c r="Z35" s="68"/>
      <c r="AA35" s="68"/>
      <c r="AB35" s="68"/>
      <c r="AC35" s="698"/>
    </row>
    <row r="36" spans="1:29" ht="60" customHeight="1" outlineLevel="1">
      <c r="A36" s="7">
        <v>34</v>
      </c>
      <c r="B36" s="5">
        <v>44991</v>
      </c>
      <c r="C36" s="15">
        <v>0.50208333333333333</v>
      </c>
      <c r="D36" s="7" t="s">
        <v>120</v>
      </c>
      <c r="E36" s="40" t="s">
        <v>121</v>
      </c>
      <c r="F36" s="7">
        <v>3</v>
      </c>
      <c r="G36" s="7" t="s">
        <v>32</v>
      </c>
      <c r="H36" s="297">
        <v>44999</v>
      </c>
      <c r="I36" s="7" t="s">
        <v>73</v>
      </c>
      <c r="J36" s="19" t="s">
        <v>35</v>
      </c>
      <c r="K36" s="7">
        <f>IFERROR(VLOOKUP(J36,Jueces!$A$1:$B$11,2,FALSE),"")</f>
        <v>3</v>
      </c>
      <c r="L36" s="7" t="s">
        <v>138</v>
      </c>
      <c r="M36" s="7" t="s">
        <v>391</v>
      </c>
      <c r="N36" s="7" t="s">
        <v>595</v>
      </c>
      <c r="O36" s="47" t="str">
        <f ca="1">IF(H36&lt;&gt;"",IF(H36&lt;=TODAY(),"SI","NO"),"LIMBO")</f>
        <v>SI</v>
      </c>
      <c r="P36" s="47" t="str">
        <f>IF($P$1=H36,"DIASOL", "DIANOSOL")</f>
        <v>DIANOSOL</v>
      </c>
      <c r="Q36" s="7" t="s">
        <v>903</v>
      </c>
      <c r="R36" s="7" t="str">
        <f>VLOOKUP($Q36,Resultados!$A$1:$B$49,2,FALSE)</f>
        <v>Juicio Abreviado</v>
      </c>
      <c r="S36" s="7"/>
      <c r="T36" s="68" t="str">
        <f>IF(G36=$J$1,"SI","NO")</f>
        <v>NO</v>
      </c>
      <c r="U36" s="68">
        <f>IF(H36="",0,MONTH(H36))</f>
        <v>3</v>
      </c>
      <c r="V36" s="7" t="str">
        <f ca="1">IF(color_Celda(E36)=12106214,"ROSA",IF(color_Celda(E36)=65535,"AMARILLO",IF(color_Celda(E36)=5296274,"VERDE",IF(color_Celda(E36)=16777215,"BLANCO","NO SE"))))</f>
        <v>ROSA</v>
      </c>
      <c r="W36" s="7"/>
      <c r="X36" s="7"/>
      <c r="Y36" s="7"/>
      <c r="Z36" s="68"/>
      <c r="AA36" s="68"/>
      <c r="AB36" s="68"/>
      <c r="AC36" s="698"/>
    </row>
    <row r="37" spans="1:29" ht="60" customHeight="1" outlineLevel="1">
      <c r="A37" s="7">
        <v>35</v>
      </c>
      <c r="B37" s="19">
        <v>44988</v>
      </c>
      <c r="C37" s="15">
        <v>0.36041666666666666</v>
      </c>
      <c r="D37" s="7" t="s">
        <v>136</v>
      </c>
      <c r="E37" s="40" t="s">
        <v>135</v>
      </c>
      <c r="F37" s="7">
        <v>4</v>
      </c>
      <c r="G37" s="7" t="s">
        <v>43</v>
      </c>
      <c r="H37" s="297">
        <v>44999</v>
      </c>
      <c r="I37" s="7" t="s">
        <v>228</v>
      </c>
      <c r="J37" s="19" t="s">
        <v>78</v>
      </c>
      <c r="K37" s="7">
        <f>IFERROR(VLOOKUP(J37,Jueces!$A$1:$B$11,2,FALSE),"")</f>
        <v>8</v>
      </c>
      <c r="L37" s="7" t="s">
        <v>166</v>
      </c>
      <c r="M37" s="7" t="s">
        <v>147</v>
      </c>
      <c r="N37" s="7" t="s">
        <v>596</v>
      </c>
      <c r="O37" s="47" t="str">
        <f ca="1">IF(H37&lt;&gt;"",IF(H37&lt;=TODAY(),"SI","NO"),"LIMBO")</f>
        <v>SI</v>
      </c>
      <c r="P37" s="47" t="str">
        <f>IF($P$1=H37,"DIASOL", "DIANOSOL")</f>
        <v>DIANOSOL</v>
      </c>
      <c r="Q37" s="7" t="s">
        <v>903</v>
      </c>
      <c r="R37" s="7" t="str">
        <f>VLOOKUP($Q37,Resultados!$A$1:$B$49,2,FALSE)</f>
        <v>Juicio Abreviado</v>
      </c>
      <c r="S37" s="7"/>
      <c r="T37" s="68" t="str">
        <f>IF(G37=$J$1,"SI","NO")</f>
        <v>NO</v>
      </c>
      <c r="U37" s="68">
        <f>IF(H37="",0,MONTH(H37))</f>
        <v>3</v>
      </c>
      <c r="V37" s="7" t="str">
        <f ca="1">IF(color_Celda(E37)=12106214,"ROSA",IF(color_Celda(E37)=65535,"AMARILLO",IF(color_Celda(E37)=5296274,"VERDE",IF(color_Celda(E37)=16777215,"BLANCO","NO SE"))))</f>
        <v>ROSA</v>
      </c>
      <c r="W37" s="7"/>
      <c r="X37" s="7"/>
      <c r="Y37" s="7"/>
      <c r="Z37" s="68"/>
      <c r="AA37" s="68"/>
      <c r="AB37" s="68"/>
      <c r="AC37" s="698"/>
    </row>
    <row r="38" spans="1:29" ht="60" customHeight="1" outlineLevel="1">
      <c r="A38" s="7">
        <v>36</v>
      </c>
      <c r="B38" s="19">
        <v>44988</v>
      </c>
      <c r="C38" s="15">
        <v>0.44513888888888892</v>
      </c>
      <c r="D38" s="7" t="s">
        <v>144</v>
      </c>
      <c r="E38" s="40" t="s">
        <v>143</v>
      </c>
      <c r="F38" s="7">
        <v>3</v>
      </c>
      <c r="G38" s="7" t="s">
        <v>1433</v>
      </c>
      <c r="H38" s="297">
        <v>45000</v>
      </c>
      <c r="I38" s="7" t="s">
        <v>73</v>
      </c>
      <c r="J38" s="19" t="s">
        <v>78</v>
      </c>
      <c r="K38" s="7">
        <f>IFERROR(VLOOKUP(J38,Jueces!$A$1:$B$11,2,FALSE),"")</f>
        <v>8</v>
      </c>
      <c r="L38" s="7" t="s">
        <v>150</v>
      </c>
      <c r="M38" s="7" t="s">
        <v>149</v>
      </c>
      <c r="N38" s="7" t="s">
        <v>383</v>
      </c>
      <c r="O38" s="47" t="str">
        <f ca="1">IF(H38&lt;&gt;"",IF(H38&lt;=TODAY(),"SI","NO"),"LIMBO")</f>
        <v>SI</v>
      </c>
      <c r="P38" s="47" t="str">
        <f>IF($P$1=H38,"DIASOL", "DIANOSOL")</f>
        <v>DIANOSOL</v>
      </c>
      <c r="Q38" s="7" t="s">
        <v>151</v>
      </c>
      <c r="R38" s="7" t="str">
        <f>VLOOKUP($Q38,Resultados!$A$1:$B$49,2,FALSE)</f>
        <v>Prisión Preventiva</v>
      </c>
      <c r="S38" s="7"/>
      <c r="T38" s="68" t="str">
        <f>IF(G38=$J$1,"SI","NO")</f>
        <v>NO</v>
      </c>
      <c r="U38" s="68">
        <f>IF(H38="",0,MONTH(H38))</f>
        <v>3</v>
      </c>
      <c r="V38" s="7" t="str">
        <f ca="1">IF(color_Celda(E38)=12106214,"ROSA",IF(color_Celda(E38)=65535,"AMARILLO",IF(color_Celda(E38)=5296274,"VERDE",IF(color_Celda(E38)=16777215,"BLANCO","NO SE"))))</f>
        <v>ROSA</v>
      </c>
      <c r="W38" s="7"/>
      <c r="X38" s="7"/>
      <c r="Y38" s="7"/>
      <c r="Z38" s="68"/>
      <c r="AA38" s="68"/>
      <c r="AB38" s="68"/>
      <c r="AC38" s="698"/>
    </row>
    <row r="39" spans="1:29" ht="60" customHeight="1" outlineLevel="1">
      <c r="A39" s="7">
        <v>37</v>
      </c>
      <c r="B39" s="19">
        <v>44991</v>
      </c>
      <c r="C39" s="15">
        <v>0.39166666666666666</v>
      </c>
      <c r="D39" s="7" t="s">
        <v>175</v>
      </c>
      <c r="E39" s="40" t="s">
        <v>174</v>
      </c>
      <c r="F39" s="7">
        <v>4</v>
      </c>
      <c r="G39" s="7" t="s">
        <v>34</v>
      </c>
      <c r="H39" s="297">
        <v>45000</v>
      </c>
      <c r="I39" s="7" t="s">
        <v>73</v>
      </c>
      <c r="J39" s="19" t="s">
        <v>35</v>
      </c>
      <c r="K39" s="7">
        <f>IFERROR(VLOOKUP(J39,Jueces!$A$1:$B$11,2,FALSE),"")</f>
        <v>3</v>
      </c>
      <c r="L39" s="7" t="s">
        <v>194</v>
      </c>
      <c r="M39" s="7" t="s">
        <v>147</v>
      </c>
      <c r="N39" s="7" t="s">
        <v>235</v>
      </c>
      <c r="O39" s="47" t="str">
        <f ca="1">IF(H39&lt;&gt;"",IF(H39&lt;=TODAY(),"SI","NO"),"LIMBO")</f>
        <v>SI</v>
      </c>
      <c r="P39" s="47" t="str">
        <f>IF($P$1=H39,"DIASOL", "DIANOSOL")</f>
        <v>DIANOSOL</v>
      </c>
      <c r="Q39" s="7" t="s">
        <v>151</v>
      </c>
      <c r="R39" s="7" t="str">
        <f>VLOOKUP($Q39,Resultados!$A$1:$B$49,2,FALSE)</f>
        <v>Prisión Preventiva</v>
      </c>
      <c r="S39" s="7"/>
      <c r="T39" s="68" t="str">
        <f>IF(G39=$J$1,"SI","NO")</f>
        <v>NO</v>
      </c>
      <c r="U39" s="68">
        <f>IF(H39="",0,MONTH(H39))</f>
        <v>3</v>
      </c>
      <c r="V39" s="7" t="str">
        <f ca="1">IF(color_Celda(E39)=12106214,"ROSA",IF(color_Celda(E39)=65535,"AMARILLO",IF(color_Celda(E39)=5296274,"VERDE",IF(color_Celda(E39)=16777215,"BLANCO","NO SE"))))</f>
        <v>ROSA</v>
      </c>
      <c r="W39" s="7"/>
      <c r="X39" s="7"/>
      <c r="Y39" s="7"/>
      <c r="Z39" s="68"/>
      <c r="AA39" s="68"/>
      <c r="AB39" s="68"/>
      <c r="AC39" s="698"/>
    </row>
    <row r="40" spans="1:29" ht="60" customHeight="1" outlineLevel="1">
      <c r="A40" s="7">
        <v>38</v>
      </c>
      <c r="B40" s="19">
        <v>44991</v>
      </c>
      <c r="C40" s="15">
        <v>0.53611111111111109</v>
      </c>
      <c r="D40" s="7" t="s">
        <v>182</v>
      </c>
      <c r="E40" s="40" t="s">
        <v>183</v>
      </c>
      <c r="F40" s="7">
        <v>3</v>
      </c>
      <c r="G40" s="7" t="s">
        <v>29</v>
      </c>
      <c r="H40" s="297">
        <v>45000</v>
      </c>
      <c r="I40" s="7" t="s">
        <v>73</v>
      </c>
      <c r="J40" s="19" t="s">
        <v>31</v>
      </c>
      <c r="K40" s="7">
        <f>IFERROR(VLOOKUP(J40,Jueces!$A$1:$B$11,2,FALSE),"")</f>
        <v>2</v>
      </c>
      <c r="L40" s="7" t="s">
        <v>209</v>
      </c>
      <c r="M40" s="7" t="s">
        <v>391</v>
      </c>
      <c r="N40" s="7" t="s">
        <v>235</v>
      </c>
      <c r="O40" s="47" t="str">
        <f ca="1">IF(H40&lt;&gt;"",IF(H40&lt;=TODAY(),"SI","NO"),"LIMBO")</f>
        <v>SI</v>
      </c>
      <c r="P40" s="47" t="str">
        <f>IF($P$1=H40,"DIASOL", "DIANOSOL")</f>
        <v>DIANOSOL</v>
      </c>
      <c r="Q40" s="7" t="s">
        <v>151</v>
      </c>
      <c r="R40" s="7" t="str">
        <f>VLOOKUP($Q40,Resultados!$A$1:$B$49,2,FALSE)</f>
        <v>Prisión Preventiva</v>
      </c>
      <c r="S40" s="7"/>
      <c r="T40" s="68" t="str">
        <f>IF(G40=$J$1,"SI","NO")</f>
        <v>NO</v>
      </c>
      <c r="U40" s="68">
        <f>IF(H40="",0,MONTH(H40))</f>
        <v>3</v>
      </c>
      <c r="V40" s="7" t="str">
        <f ca="1">IF(color_Celda(E40)=12106214,"ROSA",IF(color_Celda(E40)=65535,"AMARILLO",IF(color_Celda(E40)=5296274,"VERDE",IF(color_Celda(E40)=16777215,"BLANCO","NO SE"))))</f>
        <v>ROSA</v>
      </c>
      <c r="W40" s="7"/>
      <c r="X40" s="7"/>
      <c r="Y40" s="7"/>
      <c r="Z40" s="68"/>
      <c r="AA40" s="68"/>
      <c r="AB40" s="68"/>
      <c r="AC40" s="698"/>
    </row>
    <row r="41" spans="1:29" ht="60" customHeight="1" outlineLevel="1">
      <c r="A41" s="7">
        <v>39</v>
      </c>
      <c r="B41" s="19">
        <v>44988</v>
      </c>
      <c r="C41" s="15">
        <v>0.52777777777777779</v>
      </c>
      <c r="D41" s="7" t="s">
        <v>146</v>
      </c>
      <c r="E41" s="40" t="s">
        <v>145</v>
      </c>
      <c r="F41" s="7">
        <v>3</v>
      </c>
      <c r="G41" s="7" t="s">
        <v>1433</v>
      </c>
      <c r="H41" s="297">
        <v>45001</v>
      </c>
      <c r="I41" s="7" t="s">
        <v>73</v>
      </c>
      <c r="J41" s="19" t="s">
        <v>31</v>
      </c>
      <c r="K41" s="7">
        <f>IFERROR(VLOOKUP(J41,Jueces!$A$1:$B$11,2,FALSE),"")</f>
        <v>2</v>
      </c>
      <c r="L41" s="7" t="s">
        <v>168</v>
      </c>
      <c r="M41" s="7" t="s">
        <v>169</v>
      </c>
      <c r="N41" s="7" t="s">
        <v>394</v>
      </c>
      <c r="O41" s="47" t="str">
        <f ca="1">IF(H41&lt;&gt;"",IF(H41&lt;=TODAY(),"SI","NO"),"LIMBO")</f>
        <v>SI</v>
      </c>
      <c r="P41" s="47" t="str">
        <f>IF($P$1=H41,"DIASOL", "DIANOSOL")</f>
        <v>DIANOSOL</v>
      </c>
      <c r="Q41" s="7" t="s">
        <v>151</v>
      </c>
      <c r="R41" s="7" t="str">
        <f>VLOOKUP($Q41,Resultados!$A$1:$B$49,2,FALSE)</f>
        <v>Prisión Preventiva</v>
      </c>
      <c r="S41" s="7"/>
      <c r="T41" s="68" t="str">
        <f>IF(G41=$J$1,"SI","NO")</f>
        <v>NO</v>
      </c>
      <c r="U41" s="68">
        <f>IF(H41="",0,MONTH(H41))</f>
        <v>3</v>
      </c>
      <c r="V41" s="7" t="str">
        <f ca="1">IF(color_Celda(E41)=12106214,"ROSA",IF(color_Celda(E41)=65535,"AMARILLO",IF(color_Celda(E41)=5296274,"VERDE",IF(color_Celda(E41)=16777215,"BLANCO","NO SE"))))</f>
        <v>ROSA</v>
      </c>
      <c r="W41" s="7"/>
      <c r="X41" s="7"/>
      <c r="Y41" s="7"/>
      <c r="Z41" s="68"/>
      <c r="AA41" s="68"/>
      <c r="AB41" s="68"/>
      <c r="AC41" s="698"/>
    </row>
    <row r="42" spans="1:29" ht="60" customHeight="1" outlineLevel="1">
      <c r="A42" s="7">
        <v>40</v>
      </c>
      <c r="B42" s="19">
        <v>44991</v>
      </c>
      <c r="C42" s="15">
        <v>0.33333333333333331</v>
      </c>
      <c r="D42" s="7" t="s">
        <v>162</v>
      </c>
      <c r="E42" s="40" t="s">
        <v>163</v>
      </c>
      <c r="F42" s="7">
        <v>3</v>
      </c>
      <c r="G42" s="7" t="s">
        <v>29</v>
      </c>
      <c r="H42" s="297">
        <v>45001</v>
      </c>
      <c r="I42" s="7" t="s">
        <v>73</v>
      </c>
      <c r="J42" s="19" t="s">
        <v>35</v>
      </c>
      <c r="K42" s="7">
        <f>IFERROR(VLOOKUP(J42,Jueces!$A$1:$B$11,2,FALSE),"")</f>
        <v>3</v>
      </c>
      <c r="L42" s="7" t="s">
        <v>191</v>
      </c>
      <c r="M42" s="7" t="s">
        <v>147</v>
      </c>
      <c r="N42" s="7" t="s">
        <v>235</v>
      </c>
      <c r="O42" s="47" t="str">
        <f ca="1">IF(H42&lt;&gt;"",IF(H42&lt;=TODAY(),"SI","NO"),"LIMBO")</f>
        <v>SI</v>
      </c>
      <c r="P42" s="47" t="str">
        <f>IF($P$1=H42,"DIASOL", "DIANOSOL")</f>
        <v>DIANOSOL</v>
      </c>
      <c r="Q42" s="7" t="s">
        <v>151</v>
      </c>
      <c r="R42" s="7" t="str">
        <f>VLOOKUP($Q42,Resultados!$A$1:$B$49,2,FALSE)</f>
        <v>Prisión Preventiva</v>
      </c>
      <c r="S42" s="7"/>
      <c r="T42" s="68" t="str">
        <f>IF(G42=$J$1,"SI","NO")</f>
        <v>NO</v>
      </c>
      <c r="U42" s="68">
        <f>IF(H42="",0,MONTH(H42))</f>
        <v>3</v>
      </c>
      <c r="V42" s="7" t="str">
        <f ca="1">IF(color_Celda(E42)=12106214,"ROSA",IF(color_Celda(E42)=65535,"AMARILLO",IF(color_Celda(E42)=5296274,"VERDE",IF(color_Celda(E42)=16777215,"BLANCO","NO SE"))))</f>
        <v>ROSA</v>
      </c>
      <c r="W42" s="7"/>
      <c r="X42" s="7"/>
      <c r="Y42" s="7"/>
      <c r="Z42" s="68"/>
      <c r="AA42" s="68"/>
      <c r="AB42" s="68"/>
      <c r="AC42" s="324"/>
    </row>
    <row r="43" spans="1:29" ht="60" customHeight="1" outlineLevel="1">
      <c r="A43" s="7">
        <v>41</v>
      </c>
      <c r="B43" s="19">
        <v>44991</v>
      </c>
      <c r="C43" s="15">
        <v>0.39027777777777778</v>
      </c>
      <c r="D43" s="7" t="s">
        <v>173</v>
      </c>
      <c r="E43" s="40" t="s">
        <v>172</v>
      </c>
      <c r="F43" s="7">
        <v>4</v>
      </c>
      <c r="G43" s="7" t="s">
        <v>43</v>
      </c>
      <c r="H43" s="297">
        <v>45001</v>
      </c>
      <c r="I43" s="7" t="s">
        <v>73</v>
      </c>
      <c r="J43" s="19" t="s">
        <v>31</v>
      </c>
      <c r="K43" s="7">
        <f>IFERROR(VLOOKUP(J43,Jueces!$A$1:$B$11,2,FALSE),"")</f>
        <v>2</v>
      </c>
      <c r="L43" s="7" t="s">
        <v>166</v>
      </c>
      <c r="M43" s="7" t="s">
        <v>147</v>
      </c>
      <c r="N43" s="7" t="s">
        <v>399</v>
      </c>
      <c r="O43" s="47" t="str">
        <f ca="1">IF(H43&lt;&gt;"",IF(H43&lt;=TODAY(),"SI","NO"),"LIMBO")</f>
        <v>SI</v>
      </c>
      <c r="P43" s="47" t="str">
        <f>IF($P$1=H43,"DIASOL", "DIANOSOL")</f>
        <v>DIANOSOL</v>
      </c>
      <c r="Q43" s="7" t="s">
        <v>902</v>
      </c>
      <c r="R43" s="7" t="str">
        <f>VLOOKUP($Q43,Resultados!$A$1:$B$49,2,FALSE)</f>
        <v>Juicio Abreviado</v>
      </c>
      <c r="S43" s="7"/>
      <c r="T43" s="68" t="str">
        <f>IF(G43=$J$1,"SI","NO")</f>
        <v>NO</v>
      </c>
      <c r="U43" s="68">
        <f>IF(H43="",0,MONTH(H43))</f>
        <v>3</v>
      </c>
      <c r="V43" s="7" t="str">
        <f ca="1">IF(color_Celda(E43)=12106214,"ROSA",IF(color_Celda(E43)=65535,"AMARILLO",IF(color_Celda(E43)=5296274,"VERDE",IF(color_Celda(E43)=16777215,"BLANCO","NO SE"))))</f>
        <v>ROSA</v>
      </c>
      <c r="W43" s="7"/>
      <c r="X43" s="7"/>
      <c r="Y43" s="7"/>
      <c r="Z43" s="68"/>
      <c r="AA43" s="68"/>
      <c r="AB43" s="68"/>
      <c r="AC43" s="324"/>
    </row>
    <row r="44" spans="1:29" ht="60" customHeight="1" outlineLevel="1">
      <c r="A44" s="7">
        <v>42</v>
      </c>
      <c r="B44" s="19">
        <v>44991</v>
      </c>
      <c r="C44" s="15">
        <v>0.35833333333333334</v>
      </c>
      <c r="D44" s="7" t="s">
        <v>159</v>
      </c>
      <c r="E44" s="40" t="s">
        <v>158</v>
      </c>
      <c r="F44" s="7">
        <v>3</v>
      </c>
      <c r="G44" s="7" t="s">
        <v>283</v>
      </c>
      <c r="H44" s="297">
        <v>45001</v>
      </c>
      <c r="I44" s="7" t="s">
        <v>76</v>
      </c>
      <c r="J44" s="19" t="s">
        <v>35</v>
      </c>
      <c r="K44" s="7">
        <f>IFERROR(VLOOKUP(J44,Jueces!$A$1:$B$11,2,FALSE),"")</f>
        <v>3</v>
      </c>
      <c r="L44" s="7" t="s">
        <v>185</v>
      </c>
      <c r="M44" s="7" t="s">
        <v>186</v>
      </c>
      <c r="N44" s="7" t="s">
        <v>400</v>
      </c>
      <c r="O44" s="47" t="str">
        <f ca="1">IF(H44&lt;&gt;"",IF(H44&lt;=TODAY(),"SI","NO"),"LIMBO")</f>
        <v>SI</v>
      </c>
      <c r="P44" s="47" t="str">
        <f>IF($P$1=H44,"DIASOL", "DIANOSOL")</f>
        <v>DIANOSOL</v>
      </c>
      <c r="Q44" s="7" t="s">
        <v>910</v>
      </c>
      <c r="R44" s="7" t="str">
        <f>VLOOKUP($Q44,Resultados!$A$1:$B$49,2,FALSE)</f>
        <v>Suspendida</v>
      </c>
      <c r="S44" s="7"/>
      <c r="T44" s="68" t="str">
        <f>IF(G44=$J$1,"SI","NO")</f>
        <v>NO</v>
      </c>
      <c r="U44" s="68">
        <f>IF(H44="",0,MONTH(H44))</f>
        <v>3</v>
      </c>
      <c r="V44" s="7" t="str">
        <f ca="1">IF(color_Celda(E44)=12106214,"ROSA",IF(color_Celda(E44)=65535,"AMARILLO",IF(color_Celda(E44)=5296274,"VERDE",IF(color_Celda(E44)=16777215,"BLANCO","NO SE"))))</f>
        <v>ROSA</v>
      </c>
      <c r="W44" s="7"/>
      <c r="X44" s="7"/>
      <c r="Y44" s="7"/>
      <c r="Z44" s="68"/>
      <c r="AA44" s="68"/>
      <c r="AB44" s="68"/>
      <c r="AC44" s="324"/>
    </row>
    <row r="45" spans="1:29" ht="60" customHeight="1" outlineLevel="1">
      <c r="A45" s="7">
        <v>43</v>
      </c>
      <c r="B45" s="19">
        <v>44991</v>
      </c>
      <c r="C45" s="15">
        <v>0.33333333333333331</v>
      </c>
      <c r="D45" s="7" t="s">
        <v>161</v>
      </c>
      <c r="E45" s="40" t="s">
        <v>353</v>
      </c>
      <c r="F45" s="7">
        <v>4</v>
      </c>
      <c r="G45" s="7" t="s">
        <v>43</v>
      </c>
      <c r="H45" s="297">
        <v>45002</v>
      </c>
      <c r="I45" s="7" t="s">
        <v>73</v>
      </c>
      <c r="J45" s="19" t="s">
        <v>78</v>
      </c>
      <c r="K45" s="7">
        <f>IFERROR(VLOOKUP(J45,Jueces!$A$1:$B$11,2,FALSE),"")</f>
        <v>8</v>
      </c>
      <c r="L45" s="7" t="s">
        <v>185</v>
      </c>
      <c r="M45" s="7" t="s">
        <v>147</v>
      </c>
      <c r="N45" s="7" t="s">
        <v>434</v>
      </c>
      <c r="O45" s="47" t="str">
        <f ca="1">IF(H45&lt;&gt;"",IF(H45&lt;=TODAY(),"SI","NO"),"LIMBO")</f>
        <v>SI</v>
      </c>
      <c r="P45" s="47" t="str">
        <f>IF($P$1=H45,"DIASOL", "DIANOSOL")</f>
        <v>DIANOSOL</v>
      </c>
      <c r="Q45" s="7" t="s">
        <v>902</v>
      </c>
      <c r="R45" s="7" t="str">
        <f>VLOOKUP($Q45,Resultados!$A$1:$B$49,2,FALSE)</f>
        <v>Juicio Abreviado</v>
      </c>
      <c r="S45" s="7"/>
      <c r="T45" s="68" t="str">
        <f>IF(G45=$J$1,"SI","NO")</f>
        <v>NO</v>
      </c>
      <c r="U45" s="68">
        <f>IF(H45="",0,MONTH(H45))</f>
        <v>3</v>
      </c>
      <c r="V45" s="7" t="str">
        <f ca="1">IF(color_Celda(E45)=12106214,"ROSA",IF(color_Celda(E45)=65535,"AMARILLO",IF(color_Celda(E45)=5296274,"VERDE",IF(color_Celda(E45)=16777215,"BLANCO","NO SE"))))</f>
        <v>ROSA</v>
      </c>
      <c r="W45" s="7"/>
      <c r="X45" s="7"/>
      <c r="Y45" s="7"/>
      <c r="Z45" s="68"/>
      <c r="AA45" s="68"/>
      <c r="AB45" s="68"/>
      <c r="AC45" s="324"/>
    </row>
    <row r="46" spans="1:29" ht="60" customHeight="1" outlineLevel="1">
      <c r="A46" s="7">
        <v>44</v>
      </c>
      <c r="B46" s="19">
        <v>44991</v>
      </c>
      <c r="C46" s="15">
        <v>0.37361111111111112</v>
      </c>
      <c r="D46" s="7" t="s">
        <v>164</v>
      </c>
      <c r="E46" s="40" t="s">
        <v>165</v>
      </c>
      <c r="F46" s="7">
        <v>3</v>
      </c>
      <c r="G46" s="7" t="s">
        <v>1433</v>
      </c>
      <c r="H46" s="297">
        <v>45002</v>
      </c>
      <c r="I46" s="7" t="s">
        <v>73</v>
      </c>
      <c r="J46" s="19" t="s">
        <v>31</v>
      </c>
      <c r="K46" s="7">
        <f>IFERROR(VLOOKUP(J46,Jueces!$A$1:$B$11,2,FALSE),"")</f>
        <v>2</v>
      </c>
      <c r="L46" s="7" t="s">
        <v>166</v>
      </c>
      <c r="M46" s="7" t="s">
        <v>189</v>
      </c>
      <c r="N46" s="7" t="s">
        <v>420</v>
      </c>
      <c r="O46" s="47" t="str">
        <f ca="1">IF(H46&lt;&gt;"",IF(H46&lt;=TODAY(),"SI","NO"),"LIMBO")</f>
        <v>SI</v>
      </c>
      <c r="P46" s="47" t="str">
        <f>IF($P$1=H46,"DIASOL", "DIANOSOL")</f>
        <v>DIANOSOL</v>
      </c>
      <c r="Q46" s="7" t="s">
        <v>902</v>
      </c>
      <c r="R46" s="7" t="str">
        <f>VLOOKUP($Q46,Resultados!$A$1:$B$49,2,FALSE)</f>
        <v>Juicio Abreviado</v>
      </c>
      <c r="S46" s="7"/>
      <c r="T46" s="68" t="str">
        <f>IF(G46=$J$1,"SI","NO")</f>
        <v>NO</v>
      </c>
      <c r="U46" s="68">
        <f>IF(H46="",0,MONTH(H46))</f>
        <v>3</v>
      </c>
      <c r="V46" s="7" t="str">
        <f ca="1">IF(color_Celda(E46)=12106214,"ROSA",IF(color_Celda(E46)=65535,"AMARILLO",IF(color_Celda(E46)=5296274,"VERDE",IF(color_Celda(E46)=16777215,"BLANCO","NO SE"))))</f>
        <v>ROSA</v>
      </c>
      <c r="W46" s="7"/>
      <c r="X46" s="7"/>
      <c r="Y46" s="7"/>
      <c r="Z46" s="68"/>
      <c r="AA46" s="68"/>
      <c r="AB46" s="68"/>
      <c r="AC46" s="324"/>
    </row>
    <row r="47" spans="1:29" ht="60" customHeight="1" outlineLevel="1">
      <c r="A47" s="7">
        <v>45</v>
      </c>
      <c r="B47" s="19">
        <v>44993</v>
      </c>
      <c r="C47" s="15">
        <v>0.34652777777777777</v>
      </c>
      <c r="D47" s="7" t="s">
        <v>221</v>
      </c>
      <c r="E47" s="40" t="s">
        <v>220</v>
      </c>
      <c r="F47" s="7">
        <v>3</v>
      </c>
      <c r="G47" s="7" t="s">
        <v>1433</v>
      </c>
      <c r="H47" s="297">
        <v>45002</v>
      </c>
      <c r="I47" s="7" t="s">
        <v>73</v>
      </c>
      <c r="J47" s="19" t="s">
        <v>33</v>
      </c>
      <c r="K47" s="7">
        <f>IFERROR(VLOOKUP(J47,Jueces!$A$1:$B$11,2,FALSE),"")</f>
        <v>4</v>
      </c>
      <c r="L47" s="7" t="s">
        <v>248</v>
      </c>
      <c r="M47" s="7" t="s">
        <v>188</v>
      </c>
      <c r="N47" s="7" t="s">
        <v>445</v>
      </c>
      <c r="O47" s="47" t="str">
        <f ca="1">IF(H47&lt;&gt;"",IF(H47&lt;=TODAY(),"SI","NO"),"LIMBO")</f>
        <v>SI</v>
      </c>
      <c r="P47" s="47" t="str">
        <f>IF($P$1=H47,"DIASOL", "DIANOSOL")</f>
        <v>DIANOSOL</v>
      </c>
      <c r="Q47" s="7" t="s">
        <v>902</v>
      </c>
      <c r="R47" s="7" t="str">
        <f>VLOOKUP($Q47,Resultados!$A$1:$B$49,2,FALSE)</f>
        <v>Juicio Abreviado</v>
      </c>
      <c r="S47" s="7"/>
      <c r="T47" s="68" t="str">
        <f>IF(G47=$J$1,"SI","NO")</f>
        <v>NO</v>
      </c>
      <c r="U47" s="68">
        <f>IF(H47="",0,MONTH(H47))</f>
        <v>3</v>
      </c>
      <c r="V47" s="7" t="str">
        <f ca="1">IF(color_Celda(E47)=12106214,"ROSA",IF(color_Celda(E47)=65535,"AMARILLO",IF(color_Celda(E47)=5296274,"VERDE",IF(color_Celda(E47)=16777215,"BLANCO","NO SE"))))</f>
        <v>ROSA</v>
      </c>
      <c r="W47" s="7"/>
      <c r="X47" s="7"/>
      <c r="Y47" s="7"/>
      <c r="Z47" s="68"/>
      <c r="AA47" s="68"/>
      <c r="AB47" s="68"/>
      <c r="AC47" s="324"/>
    </row>
    <row r="48" spans="1:29" ht="60" customHeight="1" outlineLevel="1">
      <c r="A48" s="7">
        <v>46</v>
      </c>
      <c r="B48" s="19">
        <v>44991</v>
      </c>
      <c r="C48" s="15">
        <v>0.3923611111111111</v>
      </c>
      <c r="D48" s="7" t="s">
        <v>260</v>
      </c>
      <c r="E48" s="40" t="s">
        <v>176</v>
      </c>
      <c r="F48" s="7">
        <v>4</v>
      </c>
      <c r="G48" s="7" t="s">
        <v>283</v>
      </c>
      <c r="H48" s="297">
        <v>45002</v>
      </c>
      <c r="I48" s="7" t="s">
        <v>76</v>
      </c>
      <c r="J48" s="19" t="s">
        <v>35</v>
      </c>
      <c r="K48" s="7">
        <f>IFERROR(VLOOKUP(J48,Jueces!$A$1:$B$11,2,FALSE),"")</f>
        <v>3</v>
      </c>
      <c r="L48" s="7" t="s">
        <v>166</v>
      </c>
      <c r="M48" s="7" t="s">
        <v>147</v>
      </c>
      <c r="N48" s="7" t="s">
        <v>423</v>
      </c>
      <c r="O48" s="47" t="str">
        <f ca="1">IF(H48&lt;&gt;"",IF(H48&lt;=TODAY(),"SI","NO"),"LIMBO")</f>
        <v>SI</v>
      </c>
      <c r="P48" s="47" t="str">
        <f>IF($P$1=H48,"DIASOL", "DIANOSOL")</f>
        <v>DIANOSOL</v>
      </c>
      <c r="Q48" s="7" t="s">
        <v>902</v>
      </c>
      <c r="R48" s="7" t="str">
        <f>VLOOKUP($Q48,Resultados!$A$1:$B$49,2,FALSE)</f>
        <v>Juicio Abreviado</v>
      </c>
      <c r="S48" s="7"/>
      <c r="T48" s="68" t="str">
        <f>IF(G48=$J$1,"SI","NO")</f>
        <v>NO</v>
      </c>
      <c r="U48" s="68">
        <f>IF(H48="",0,MONTH(H48))</f>
        <v>3</v>
      </c>
      <c r="V48" s="7" t="str">
        <f ca="1">IF(color_Celda(E48)=12106214,"ROSA",IF(color_Celda(E48)=65535,"AMARILLO",IF(color_Celda(E48)=5296274,"VERDE",IF(color_Celda(E48)=16777215,"BLANCO","NO SE"))))</f>
        <v>ROSA</v>
      </c>
      <c r="W48" s="7"/>
      <c r="X48" s="7"/>
      <c r="Y48" s="7"/>
      <c r="Z48" s="68"/>
      <c r="AA48" s="68"/>
      <c r="AB48" s="68"/>
      <c r="AC48" s="324"/>
    </row>
    <row r="49" spans="1:29" ht="60" customHeight="1" outlineLevel="1">
      <c r="A49" s="7">
        <v>47</v>
      </c>
      <c r="B49" s="19">
        <v>44998</v>
      </c>
      <c r="C49" s="15">
        <v>0.4069444444444445</v>
      </c>
      <c r="D49" s="7" t="s">
        <v>321</v>
      </c>
      <c r="E49" s="40" t="s">
        <v>322</v>
      </c>
      <c r="F49" s="7">
        <v>3</v>
      </c>
      <c r="G49" s="7" t="s">
        <v>32</v>
      </c>
      <c r="H49" s="297">
        <v>45002</v>
      </c>
      <c r="I49" s="7" t="s">
        <v>228</v>
      </c>
      <c r="J49" s="19" t="s">
        <v>33</v>
      </c>
      <c r="K49" s="7">
        <f>IFERROR(VLOOKUP(J49,Jueces!$A$1:$B$11,2,FALSE),"")</f>
        <v>4</v>
      </c>
      <c r="L49" s="7" t="s">
        <v>338</v>
      </c>
      <c r="M49" s="7" t="s">
        <v>337</v>
      </c>
      <c r="N49" s="7" t="s">
        <v>419</v>
      </c>
      <c r="O49" s="47" t="str">
        <f ca="1">IF(H49&lt;&gt;"",IF(H49&lt;=TODAY(),"SI","NO"),"LIMBO")</f>
        <v>SI</v>
      </c>
      <c r="P49" s="47" t="str">
        <f>IF($P$1=H49,"DIASOL", "DIANOSOL")</f>
        <v>DIANOSOL</v>
      </c>
      <c r="Q49" s="7" t="s">
        <v>903</v>
      </c>
      <c r="R49" s="7" t="str">
        <f>VLOOKUP($Q49,Resultados!$A$1:$B$49,2,FALSE)</f>
        <v>Juicio Abreviado</v>
      </c>
      <c r="S49" s="7"/>
      <c r="T49" s="68" t="str">
        <f>IF(G49=$J$1,"SI","NO")</f>
        <v>NO</v>
      </c>
      <c r="U49" s="68">
        <f>IF(H49="",0,MONTH(H49))</f>
        <v>3</v>
      </c>
      <c r="V49" s="7" t="str">
        <f ca="1">IF(color_Celda(E49)=12106214,"ROSA",IF(color_Celda(E49)=65535,"AMARILLO",IF(color_Celda(E49)=5296274,"VERDE",IF(color_Celda(E49)=16777215,"BLANCO","NO SE"))))</f>
        <v>ROSA</v>
      </c>
      <c r="W49" s="7"/>
      <c r="X49" s="7"/>
      <c r="Y49" s="7"/>
      <c r="Z49" s="68"/>
      <c r="AA49" s="68"/>
      <c r="AB49" s="68"/>
      <c r="AC49" s="324"/>
    </row>
    <row r="50" spans="1:29" ht="60" customHeight="1" outlineLevel="1">
      <c r="A50" s="7">
        <v>49</v>
      </c>
      <c r="B50" s="19">
        <v>44991</v>
      </c>
      <c r="C50" s="15">
        <v>0.35833333333333334</v>
      </c>
      <c r="D50" s="7" t="s">
        <v>160</v>
      </c>
      <c r="E50" s="40" t="s">
        <v>157</v>
      </c>
      <c r="F50" s="7">
        <v>3</v>
      </c>
      <c r="G50" s="7" t="s">
        <v>1433</v>
      </c>
      <c r="H50" s="297">
        <v>45005</v>
      </c>
      <c r="I50" s="7" t="s">
        <v>73</v>
      </c>
      <c r="J50" s="19" t="s">
        <v>78</v>
      </c>
      <c r="K50" s="7">
        <f>IFERROR(VLOOKUP(J50,Jueces!$A$1:$B$11,2,FALSE),"")</f>
        <v>8</v>
      </c>
      <c r="L50" s="7" t="s">
        <v>187</v>
      </c>
      <c r="M50" s="7" t="s">
        <v>188</v>
      </c>
      <c r="N50" s="7" t="s">
        <v>466</v>
      </c>
      <c r="O50" s="47" t="str">
        <f ca="1">IF(H50&lt;&gt;"",IF(H50&lt;=TODAY(),"SI","NO"),"LIMBO")</f>
        <v>SI</v>
      </c>
      <c r="P50" s="47" t="str">
        <f>IF($P$1=H50,"DIASOL", "DIANOSOL")</f>
        <v>DIANOSOL</v>
      </c>
      <c r="Q50" s="7" t="s">
        <v>900</v>
      </c>
      <c r="R50" s="7" t="str">
        <f>VLOOKUP($Q50,Resultados!$A$1:$B$49,2,FALSE)</f>
        <v>Libertad</v>
      </c>
      <c r="S50" s="7"/>
      <c r="T50" s="68" t="str">
        <f>IF(G50=$J$1,"SI","NO")</f>
        <v>NO</v>
      </c>
      <c r="U50" s="68">
        <f>IF(H50="",0,MONTH(H50))</f>
        <v>3</v>
      </c>
      <c r="V50" s="7" t="str">
        <f ca="1">IF(color_Celda(E50)=12106214,"ROSA",IF(color_Celda(E50)=65535,"AMARILLO",IF(color_Celda(E50)=5296274,"VERDE",IF(color_Celda(E50)=16777215,"BLANCO","NO SE"))))</f>
        <v>ROSA</v>
      </c>
      <c r="W50" s="7"/>
      <c r="X50" s="7"/>
      <c r="Y50" s="7"/>
      <c r="Z50" s="68"/>
      <c r="AA50" s="68"/>
      <c r="AB50" s="68"/>
      <c r="AC50" s="324"/>
    </row>
    <row r="51" spans="1:29" ht="60" customHeight="1" outlineLevel="1">
      <c r="A51" s="7">
        <v>48</v>
      </c>
      <c r="B51" s="19">
        <v>44994</v>
      </c>
      <c r="C51" s="15">
        <v>0.43541666666666662</v>
      </c>
      <c r="D51" s="7" t="s">
        <v>280</v>
      </c>
      <c r="E51" s="40" t="s">
        <v>282</v>
      </c>
      <c r="F51" s="7">
        <v>3</v>
      </c>
      <c r="G51" s="7" t="s">
        <v>43</v>
      </c>
      <c r="H51" s="297">
        <v>45005</v>
      </c>
      <c r="I51" s="7" t="s">
        <v>73</v>
      </c>
      <c r="J51" s="19" t="s">
        <v>78</v>
      </c>
      <c r="K51" s="7">
        <f>IFERROR(VLOOKUP(J51,Jueces!$A$1:$B$11,2,FALSE),"")</f>
        <v>8</v>
      </c>
      <c r="L51" s="7" t="s">
        <v>142</v>
      </c>
      <c r="M51" s="7" t="s">
        <v>307</v>
      </c>
      <c r="N51" s="7" t="s">
        <v>456</v>
      </c>
      <c r="O51" s="47" t="str">
        <f ca="1">IF(H51&lt;&gt;"",IF(H51&lt;=TODAY(),"SI","NO"),"LIMBO")</f>
        <v>SI</v>
      </c>
      <c r="P51" s="47" t="str">
        <f>IF($P$1=H51,"DIASOL", "DIANOSOL")</f>
        <v>DIANOSOL</v>
      </c>
      <c r="Q51" s="7" t="s">
        <v>903</v>
      </c>
      <c r="R51" s="7" t="str">
        <f>VLOOKUP($Q51,Resultados!$A$1:$B$49,2,FALSE)</f>
        <v>Juicio Abreviado</v>
      </c>
      <c r="S51" s="7"/>
      <c r="T51" s="68" t="str">
        <f>IF(G51=$J$1,"SI","NO")</f>
        <v>NO</v>
      </c>
      <c r="U51" s="68">
        <f>IF(H51="",0,MONTH(H51))</f>
        <v>3</v>
      </c>
      <c r="V51" s="7" t="str">
        <f ca="1">IF(color_Celda(E51)=12106214,"ROSA",IF(color_Celda(E51)=65535,"AMARILLO",IF(color_Celda(E51)=5296274,"VERDE",IF(color_Celda(E51)=16777215,"BLANCO","NO SE"))))</f>
        <v>ROSA</v>
      </c>
      <c r="W51" s="7"/>
      <c r="X51" s="7"/>
      <c r="Y51" s="7"/>
      <c r="Z51" s="68"/>
      <c r="AA51" s="68"/>
      <c r="AB51" s="68"/>
      <c r="AC51" s="324"/>
    </row>
    <row r="52" spans="1:29" ht="60" customHeight="1" outlineLevel="1">
      <c r="A52" s="7">
        <v>50</v>
      </c>
      <c r="B52" s="5">
        <v>45001</v>
      </c>
      <c r="C52" s="15">
        <v>0.36805555555555558</v>
      </c>
      <c r="D52" s="7" t="s">
        <v>270</v>
      </c>
      <c r="E52" s="40" t="s">
        <v>442</v>
      </c>
      <c r="F52" s="7">
        <v>4</v>
      </c>
      <c r="G52" s="7" t="s">
        <v>283</v>
      </c>
      <c r="H52" s="297">
        <v>45005</v>
      </c>
      <c r="I52" s="7" t="s">
        <v>76</v>
      </c>
      <c r="J52" s="19" t="s">
        <v>31</v>
      </c>
      <c r="K52" s="7">
        <f>IFERROR(VLOOKUP(J52,Jueces!$A$1:$B$11,2,FALSE),"")</f>
        <v>2</v>
      </c>
      <c r="L52" s="7" t="s">
        <v>284</v>
      </c>
      <c r="M52" s="7" t="s">
        <v>285</v>
      </c>
      <c r="N52" s="7" t="s">
        <v>461</v>
      </c>
      <c r="O52" s="47" t="str">
        <f ca="1">IF(H52&lt;&gt;"",IF(H52&lt;=TODAY(),"SI","NO"),"LIMBO")</f>
        <v>SI</v>
      </c>
      <c r="P52" s="47" t="str">
        <f>IF($P$1=H52,"DIASOL", "DIANOSOL")</f>
        <v>DIANOSOL</v>
      </c>
      <c r="Q52" s="7" t="s">
        <v>897</v>
      </c>
      <c r="R52" s="7" t="str">
        <f>VLOOKUP($Q52,Resultados!$A$1:$B$49,2,FALSE)</f>
        <v>Libertad</v>
      </c>
      <c r="S52" s="7"/>
      <c r="T52" s="68" t="str">
        <f>IF(G52=$J$1,"SI","NO")</f>
        <v>NO</v>
      </c>
      <c r="U52" s="68">
        <f>IF(H52="",0,MONTH(H52))</f>
        <v>3</v>
      </c>
      <c r="V52" s="7" t="str">
        <f ca="1">IF(color_Celda(E52)=12106214,"ROSA",IF(color_Celda(E52)=65535,"AMARILLO",IF(color_Celda(E52)=5296274,"VERDE",IF(color_Celda(E52)=16777215,"BLANCO","NO SE"))))</f>
        <v>ROSA</v>
      </c>
      <c r="W52" s="7"/>
      <c r="X52" s="7"/>
      <c r="Y52" s="7"/>
      <c r="Z52" s="68"/>
      <c r="AA52" s="68"/>
      <c r="AB52" s="68"/>
      <c r="AC52" s="324"/>
    </row>
    <row r="53" spans="1:29" ht="60" customHeight="1" outlineLevel="1">
      <c r="A53" s="7">
        <v>51</v>
      </c>
      <c r="B53" s="19">
        <v>44995</v>
      </c>
      <c r="C53" s="15">
        <v>0.53402777777777777</v>
      </c>
      <c r="D53" s="7" t="s">
        <v>309</v>
      </c>
      <c r="E53" s="40" t="s">
        <v>310</v>
      </c>
      <c r="F53" s="7">
        <v>4</v>
      </c>
      <c r="G53" s="7" t="s">
        <v>29</v>
      </c>
      <c r="H53" s="297">
        <v>45005</v>
      </c>
      <c r="I53" s="7" t="s">
        <v>74</v>
      </c>
      <c r="J53" s="19" t="s">
        <v>33</v>
      </c>
      <c r="K53" s="7">
        <f>IFERROR(VLOOKUP(J53,Jueces!$A$1:$B$11,2,FALSE),"")</f>
        <v>4</v>
      </c>
      <c r="L53" s="7" t="s">
        <v>327</v>
      </c>
      <c r="M53" s="7" t="s">
        <v>287</v>
      </c>
      <c r="N53" s="7" t="s">
        <v>673</v>
      </c>
      <c r="O53" s="47" t="str">
        <f ca="1">IF(H53&lt;&gt;"",IF(H53&lt;=TODAY(),"SI","NO"),"LIMBO")</f>
        <v>SI</v>
      </c>
      <c r="P53" s="47" t="str">
        <f>IF($P$1=H53,"DIASOL", "DIANOSOL")</f>
        <v>DIANOSOL</v>
      </c>
      <c r="Q53" s="7" t="s">
        <v>151</v>
      </c>
      <c r="R53" s="7" t="str">
        <f>VLOOKUP($Q53,Resultados!$A$1:$B$49,2,FALSE)</f>
        <v>Prisión Preventiva</v>
      </c>
      <c r="S53" s="7"/>
      <c r="T53" s="68" t="str">
        <f>IF(G53=$J$1,"SI","NO")</f>
        <v>NO</v>
      </c>
      <c r="U53" s="68">
        <f>IF(H53="",0,MONTH(H53))</f>
        <v>3</v>
      </c>
      <c r="V53" s="7" t="str">
        <f ca="1">IF(color_Celda(E53)=12106214,"ROSA",IF(color_Celda(E53)=65535,"AMARILLO",IF(color_Celda(E53)=5296274,"VERDE",IF(color_Celda(E53)=16777215,"BLANCO","NO SE"))))</f>
        <v>ROSA</v>
      </c>
      <c r="W53" s="7"/>
      <c r="X53" s="7"/>
      <c r="Y53" s="7"/>
      <c r="Z53" s="68"/>
      <c r="AA53" s="68"/>
      <c r="AB53" s="68"/>
      <c r="AC53" s="324"/>
    </row>
    <row r="54" spans="1:29" ht="60" customHeight="1" outlineLevel="1">
      <c r="A54" s="7">
        <v>52</v>
      </c>
      <c r="B54" s="19">
        <v>44992</v>
      </c>
      <c r="C54" s="15">
        <v>0.33333333333333331</v>
      </c>
      <c r="D54" s="7" t="s">
        <v>195</v>
      </c>
      <c r="E54" s="40" t="s">
        <v>196</v>
      </c>
      <c r="F54" s="7">
        <v>4</v>
      </c>
      <c r="G54" s="7" t="s">
        <v>34</v>
      </c>
      <c r="H54" s="297">
        <v>45006</v>
      </c>
      <c r="I54" s="7" t="s">
        <v>73</v>
      </c>
      <c r="J54" s="19" t="s">
        <v>78</v>
      </c>
      <c r="K54" s="7">
        <f>IFERROR(VLOOKUP(J54,Jueces!$A$1:$B$11,2,FALSE),"")</f>
        <v>8</v>
      </c>
      <c r="L54" s="7" t="s">
        <v>210</v>
      </c>
      <c r="M54" s="7" t="s">
        <v>211</v>
      </c>
      <c r="N54" s="7" t="s">
        <v>674</v>
      </c>
      <c r="O54" s="47" t="str">
        <f ca="1">IF(H54&lt;&gt;"",IF(H54&lt;=TODAY(),"SI","NO"),"LIMBO")</f>
        <v>SI</v>
      </c>
      <c r="P54" s="47" t="str">
        <f>IF($P$1=H54,"DIASOL", "DIANOSOL")</f>
        <v>DIANOSOL</v>
      </c>
      <c r="Q54" s="7" t="s">
        <v>151</v>
      </c>
      <c r="R54" s="7" t="str">
        <f>VLOOKUP($Q54,Resultados!$A$1:$B$49,2,FALSE)</f>
        <v>Prisión Preventiva</v>
      </c>
      <c r="S54" s="7"/>
      <c r="T54" s="68" t="str">
        <f>IF(G54=$J$1,"SI","NO")</f>
        <v>NO</v>
      </c>
      <c r="U54" s="68">
        <f>IF(H54="",0,MONTH(H54))</f>
        <v>3</v>
      </c>
      <c r="V54" s="7" t="str">
        <f ca="1">IF(color_Celda(E54)=12106214,"ROSA",IF(color_Celda(E54)=65535,"AMARILLO",IF(color_Celda(E54)=5296274,"VERDE",IF(color_Celda(E54)=16777215,"BLANCO","NO SE"))))</f>
        <v>ROSA</v>
      </c>
      <c r="W54" s="7"/>
      <c r="X54" s="7"/>
      <c r="Y54" s="7"/>
      <c r="Z54" s="68"/>
      <c r="AA54" s="68"/>
      <c r="AB54" s="68"/>
      <c r="AC54" s="324"/>
    </row>
    <row r="55" spans="1:29" ht="60" customHeight="1" outlineLevel="1">
      <c r="A55" s="7">
        <v>53</v>
      </c>
      <c r="B55" s="19">
        <v>44994</v>
      </c>
      <c r="C55" s="15">
        <v>0.34791666666666665</v>
      </c>
      <c r="D55" s="7" t="s">
        <v>253</v>
      </c>
      <c r="E55" s="40" t="s">
        <v>255</v>
      </c>
      <c r="F55" s="7">
        <v>3</v>
      </c>
      <c r="G55" s="7" t="s">
        <v>43</v>
      </c>
      <c r="H55" s="297">
        <v>45006</v>
      </c>
      <c r="I55" s="7" t="s">
        <v>73</v>
      </c>
      <c r="J55" s="19" t="s">
        <v>33</v>
      </c>
      <c r="K55" s="7">
        <f>IFERROR(VLOOKUP(J55,Jueces!$A$1:$B$11,2,FALSE),"")</f>
        <v>4</v>
      </c>
      <c r="L55" s="7" t="s">
        <v>688</v>
      </c>
      <c r="M55" s="7" t="s">
        <v>267</v>
      </c>
      <c r="N55" s="7" t="s">
        <v>235</v>
      </c>
      <c r="O55" s="47" t="str">
        <f ca="1">IF(H55&lt;&gt;"",IF(H55&lt;=TODAY(),"SI","NO"),"LIMBO")</f>
        <v>SI</v>
      </c>
      <c r="P55" s="47" t="str">
        <f>IF($P$1=H55,"DIASOL", "DIANOSOL")</f>
        <v>DIANOSOL</v>
      </c>
      <c r="Q55" s="7" t="s">
        <v>151</v>
      </c>
      <c r="R55" s="7" t="str">
        <f>VLOOKUP($Q55,Resultados!$A$1:$B$49,2,FALSE)</f>
        <v>Prisión Preventiva</v>
      </c>
      <c r="S55" s="7"/>
      <c r="T55" s="68" t="str">
        <f>IF(G55=$J$1,"SI","NO")</f>
        <v>NO</v>
      </c>
      <c r="U55" s="68">
        <f>IF(H55="",0,MONTH(H55))</f>
        <v>3</v>
      </c>
      <c r="V55" s="7" t="str">
        <f ca="1">IF(color_Celda(E55)=12106214,"ROSA",IF(color_Celda(E55)=65535,"AMARILLO",IF(color_Celda(E55)=5296274,"VERDE",IF(color_Celda(E55)=16777215,"BLANCO","NO SE"))))</f>
        <v>ROSA</v>
      </c>
      <c r="W55" s="7"/>
      <c r="X55" s="7"/>
      <c r="Y55" s="7"/>
      <c r="Z55" s="68"/>
      <c r="AA55" s="68"/>
      <c r="AB55" s="68"/>
      <c r="AC55" s="324"/>
    </row>
    <row r="56" spans="1:29" ht="60" customHeight="1" outlineLevel="1">
      <c r="A56" s="7">
        <v>54</v>
      </c>
      <c r="B56" s="19">
        <v>44992</v>
      </c>
      <c r="C56" s="15">
        <v>0.53819444444444442</v>
      </c>
      <c r="D56" s="7" t="s">
        <v>215</v>
      </c>
      <c r="E56" s="40" t="s">
        <v>217</v>
      </c>
      <c r="F56" s="7">
        <v>4</v>
      </c>
      <c r="G56" s="7" t="s">
        <v>32</v>
      </c>
      <c r="H56" s="297">
        <v>45006</v>
      </c>
      <c r="I56" s="7" t="s">
        <v>76</v>
      </c>
      <c r="J56" s="19" t="s">
        <v>78</v>
      </c>
      <c r="K56" s="7">
        <f>IFERROR(VLOOKUP(J56,Jueces!$A$1:$B$11,2,FALSE),"")</f>
        <v>8</v>
      </c>
      <c r="L56" s="7" t="s">
        <v>246</v>
      </c>
      <c r="M56" s="7" t="s">
        <v>241</v>
      </c>
      <c r="N56" s="7" t="s">
        <v>469</v>
      </c>
      <c r="O56" s="47" t="str">
        <f ca="1">IF(H56&lt;&gt;"",IF(H56&lt;=TODAY(),"SI","NO"),"LIMBO")</f>
        <v>SI</v>
      </c>
      <c r="P56" s="47" t="str">
        <f>IF($P$1=H56,"DIASOL", "DIANOSOL")</f>
        <v>DIANOSOL</v>
      </c>
      <c r="Q56" s="7" t="s">
        <v>902</v>
      </c>
      <c r="R56" s="7" t="str">
        <f>VLOOKUP($Q56,Resultados!$A$1:$B$49,2,FALSE)</f>
        <v>Juicio Abreviado</v>
      </c>
      <c r="S56" s="7"/>
      <c r="T56" s="68" t="str">
        <f>IF(G56=$J$1,"SI","NO")</f>
        <v>NO</v>
      </c>
      <c r="U56" s="68">
        <f>IF(H56="",0,MONTH(H56))</f>
        <v>3</v>
      </c>
      <c r="V56" s="7" t="str">
        <f ca="1">IF(color_Celda(E56)=12106214,"ROSA",IF(color_Celda(E56)=65535,"AMARILLO",IF(color_Celda(E56)=5296274,"VERDE",IF(color_Celda(E56)=16777215,"BLANCO","NO SE"))))</f>
        <v>ROSA</v>
      </c>
      <c r="W56" s="7"/>
      <c r="X56" s="7"/>
      <c r="Y56" s="7"/>
      <c r="Z56" s="68"/>
      <c r="AA56" s="68"/>
      <c r="AB56" s="68"/>
      <c r="AC56" s="324"/>
    </row>
    <row r="57" spans="1:29" ht="60" customHeight="1" outlineLevel="1">
      <c r="A57" s="7">
        <v>55</v>
      </c>
      <c r="B57" s="19">
        <v>44995</v>
      </c>
      <c r="C57" s="15">
        <v>0.33333333333333331</v>
      </c>
      <c r="D57" s="7" t="s">
        <v>446</v>
      </c>
      <c r="E57" s="40" t="s">
        <v>354</v>
      </c>
      <c r="F57" s="7">
        <v>4</v>
      </c>
      <c r="G57" s="7" t="s">
        <v>34</v>
      </c>
      <c r="H57" s="297">
        <v>45006</v>
      </c>
      <c r="I57" s="7" t="s">
        <v>76</v>
      </c>
      <c r="J57" s="19" t="s">
        <v>35</v>
      </c>
      <c r="K57" s="7">
        <f>IFERROR(VLOOKUP(J57,Jueces!$A$1:$B$11,2,FALSE),"")</f>
        <v>3</v>
      </c>
      <c r="L57" s="7" t="s">
        <v>326</v>
      </c>
      <c r="M57" s="7" t="s">
        <v>307</v>
      </c>
      <c r="N57" s="7" t="s">
        <v>481</v>
      </c>
      <c r="O57" s="47" t="str">
        <f ca="1">IF(H57&lt;&gt;"",IF(H57&lt;=TODAY(),"SI","NO"),"LIMBO")</f>
        <v>SI</v>
      </c>
      <c r="P57" s="47" t="str">
        <f>IF($P$1=H57,"DIASOL", "DIANOSOL")</f>
        <v>DIANOSOL</v>
      </c>
      <c r="Q57" s="7" t="s">
        <v>910</v>
      </c>
      <c r="R57" s="7" t="str">
        <f>VLOOKUP($Q57,Resultados!$A$1:$B$49,2,FALSE)</f>
        <v>Suspendida</v>
      </c>
      <c r="S57" s="7"/>
      <c r="T57" s="68" t="str">
        <f>IF(G57=$J$1,"SI","NO")</f>
        <v>NO</v>
      </c>
      <c r="U57" s="68">
        <f>IF(H57="",0,MONTH(H57))</f>
        <v>3</v>
      </c>
      <c r="V57" s="7" t="str">
        <f ca="1">IF(color_Celda(E57)=12106214,"ROSA",IF(color_Celda(E57)=65535,"AMARILLO",IF(color_Celda(E57)=5296274,"VERDE",IF(color_Celda(E57)=16777215,"BLANCO","NO SE"))))</f>
        <v>ROSA</v>
      </c>
      <c r="W57" s="7"/>
      <c r="X57" s="7"/>
      <c r="Y57" s="7"/>
      <c r="Z57" s="68"/>
      <c r="AA57" s="68"/>
      <c r="AB57" s="68"/>
      <c r="AC57" s="324"/>
    </row>
    <row r="58" spans="1:29" ht="60" customHeight="1" outlineLevel="1">
      <c r="A58" s="7">
        <v>56</v>
      </c>
      <c r="B58" s="19">
        <v>44992</v>
      </c>
      <c r="C58" s="15">
        <v>0.50902777777777775</v>
      </c>
      <c r="D58" s="7" t="s">
        <v>207</v>
      </c>
      <c r="E58" s="40" t="s">
        <v>206</v>
      </c>
      <c r="F58" s="7">
        <v>3</v>
      </c>
      <c r="G58" s="7" t="s">
        <v>1433</v>
      </c>
      <c r="H58" s="297">
        <v>45006</v>
      </c>
      <c r="I58" s="7" t="s">
        <v>228</v>
      </c>
      <c r="J58" s="19" t="s">
        <v>33</v>
      </c>
      <c r="K58" s="7">
        <f>IFERROR(VLOOKUP(J58,Jueces!$A$1:$B$11,2,FALSE),"")</f>
        <v>4</v>
      </c>
      <c r="L58" s="7" t="s">
        <v>244</v>
      </c>
      <c r="M58" s="7" t="s">
        <v>188</v>
      </c>
      <c r="N58" s="7" t="s">
        <v>484</v>
      </c>
      <c r="O58" s="47" t="str">
        <f ca="1">IF(H58&lt;&gt;"",IF(H58&lt;=TODAY(),"SI","NO"),"LIMBO")</f>
        <v>SI</v>
      </c>
      <c r="P58" s="47" t="str">
        <f>IF($P$1=H58,"DIASOL", "DIANOSOL")</f>
        <v>DIANOSOL</v>
      </c>
      <c r="Q58" s="7" t="s">
        <v>903</v>
      </c>
      <c r="R58" s="7" t="str">
        <f>VLOOKUP($Q58,Resultados!$A$1:$B$49,2,FALSE)</f>
        <v>Juicio Abreviado</v>
      </c>
      <c r="S58" s="7"/>
      <c r="T58" s="68" t="str">
        <f>IF(G58=$J$1,"SI","NO")</f>
        <v>NO</v>
      </c>
      <c r="U58" s="68">
        <f>IF(H58="",0,MONTH(H58))</f>
        <v>3</v>
      </c>
      <c r="V58" s="7" t="str">
        <f ca="1">IF(color_Celda(E58)=12106214,"ROSA",IF(color_Celda(E58)=65535,"AMARILLO",IF(color_Celda(E58)=5296274,"VERDE",IF(color_Celda(E58)=16777215,"BLANCO","NO SE"))))</f>
        <v>ROSA</v>
      </c>
      <c r="W58" s="7"/>
      <c r="X58" s="7"/>
      <c r="Y58" s="7"/>
      <c r="Z58" s="68"/>
      <c r="AA58" s="68"/>
      <c r="AB58" s="68"/>
      <c r="AC58" s="324"/>
    </row>
    <row r="59" spans="1:29" ht="60" customHeight="1" outlineLevel="1">
      <c r="A59" s="7">
        <v>58</v>
      </c>
      <c r="B59" s="19">
        <v>44994</v>
      </c>
      <c r="C59" s="15">
        <v>0.44444444444444442</v>
      </c>
      <c r="D59" s="7" t="s">
        <v>276</v>
      </c>
      <c r="E59" s="40" t="s">
        <v>286</v>
      </c>
      <c r="F59" s="7">
        <v>4</v>
      </c>
      <c r="G59" s="7" t="s">
        <v>283</v>
      </c>
      <c r="H59" s="297">
        <v>45007</v>
      </c>
      <c r="I59" s="7" t="s">
        <v>73</v>
      </c>
      <c r="J59" s="19" t="s">
        <v>33</v>
      </c>
      <c r="K59" s="7">
        <f>IFERROR(VLOOKUP(J59,Jueces!$A$1:$B$11,2,FALSE),"")</f>
        <v>4</v>
      </c>
      <c r="L59" s="7" t="s">
        <v>300</v>
      </c>
      <c r="M59" s="7" t="s">
        <v>285</v>
      </c>
      <c r="N59" s="7" t="s">
        <v>482</v>
      </c>
      <c r="O59" s="47" t="str">
        <f ca="1">IF(H59&lt;&gt;"",IF(H59&lt;=TODAY(),"SI","NO"),"LIMBO")</f>
        <v>SI</v>
      </c>
      <c r="P59" s="47" t="str">
        <f>IF($P$1=H59,"DIASOL", "DIANOSOL")</f>
        <v>DIANOSOL</v>
      </c>
      <c r="Q59" s="7" t="s">
        <v>151</v>
      </c>
      <c r="R59" s="7" t="str">
        <f>VLOOKUP($Q59,Resultados!$A$1:$B$49,2,FALSE)</f>
        <v>Prisión Preventiva</v>
      </c>
      <c r="S59" s="7"/>
      <c r="T59" s="68" t="str">
        <f>IF(G59=$J$1,"SI","NO")</f>
        <v>NO</v>
      </c>
      <c r="U59" s="68">
        <f>IF(H59="",0,MONTH(H59))</f>
        <v>3</v>
      </c>
      <c r="V59" s="7" t="str">
        <f ca="1">IF(color_Celda(E59)=12106214,"ROSA",IF(color_Celda(E59)=65535,"AMARILLO",IF(color_Celda(E59)=5296274,"VERDE",IF(color_Celda(E59)=16777215,"BLANCO","NO SE"))))</f>
        <v>ROSA</v>
      </c>
      <c r="W59" s="7"/>
      <c r="X59" s="7"/>
      <c r="Y59" s="7"/>
      <c r="Z59" s="68"/>
      <c r="AA59" s="68"/>
      <c r="AB59" s="68"/>
      <c r="AC59" s="324"/>
    </row>
    <row r="60" spans="1:29" ht="60" customHeight="1" outlineLevel="1">
      <c r="A60" s="7">
        <v>57</v>
      </c>
      <c r="B60" s="19">
        <v>45001</v>
      </c>
      <c r="C60" s="15">
        <v>0.36319444444444443</v>
      </c>
      <c r="D60" s="7" t="s">
        <v>257</v>
      </c>
      <c r="E60" s="40" t="s">
        <v>258</v>
      </c>
      <c r="F60" s="7">
        <v>4</v>
      </c>
      <c r="G60" s="7" t="s">
        <v>29</v>
      </c>
      <c r="H60" s="297">
        <v>45007</v>
      </c>
      <c r="I60" s="7" t="s">
        <v>73</v>
      </c>
      <c r="J60" s="19" t="s">
        <v>78</v>
      </c>
      <c r="K60" s="7">
        <f>IFERROR(VLOOKUP(J60,Jueces!$A$1:$B$11,2,FALSE),"")</f>
        <v>8</v>
      </c>
      <c r="L60" s="7" t="s">
        <v>288</v>
      </c>
      <c r="M60" s="7" t="s">
        <v>287</v>
      </c>
      <c r="N60" s="7" t="s">
        <v>235</v>
      </c>
      <c r="O60" s="47" t="str">
        <f ca="1">IF(H60&lt;&gt;"",IF(H60&lt;=TODAY(),"SI","NO"),"LIMBO")</f>
        <v>SI</v>
      </c>
      <c r="P60" s="47" t="str">
        <f>IF($P$1=H60,"DIASOL", "DIANOSOL")</f>
        <v>DIANOSOL</v>
      </c>
      <c r="Q60" s="7" t="s">
        <v>151</v>
      </c>
      <c r="R60" s="7" t="str">
        <f>VLOOKUP($Q60,Resultados!$A$1:$B$49,2,FALSE)</f>
        <v>Prisión Preventiva</v>
      </c>
      <c r="S60" s="7"/>
      <c r="T60" s="68" t="str">
        <f>IF(G60=$J$1,"SI","NO")</f>
        <v>NO</v>
      </c>
      <c r="U60" s="68">
        <f>IF(H60="",0,MONTH(H60))</f>
        <v>3</v>
      </c>
      <c r="V60" s="7" t="str">
        <f ca="1">IF(color_Celda(E60)=12106214,"ROSA",IF(color_Celda(E60)=65535,"AMARILLO",IF(color_Celda(E60)=5296274,"VERDE",IF(color_Celda(E60)=16777215,"BLANCO","NO SE"))))</f>
        <v>ROSA</v>
      </c>
      <c r="W60" s="7"/>
      <c r="X60" s="7"/>
      <c r="Y60" s="7"/>
      <c r="Z60" s="68"/>
      <c r="AA60" s="68"/>
      <c r="AB60" s="68"/>
      <c r="AC60" s="324"/>
    </row>
    <row r="61" spans="1:29" ht="60" customHeight="1" outlineLevel="1">
      <c r="A61" s="7">
        <v>59</v>
      </c>
      <c r="B61" s="19">
        <v>44991</v>
      </c>
      <c r="C61" s="15">
        <v>0.49444444444444446</v>
      </c>
      <c r="D61" s="7" t="s">
        <v>180</v>
      </c>
      <c r="E61" s="40" t="s">
        <v>179</v>
      </c>
      <c r="F61" s="7">
        <v>3</v>
      </c>
      <c r="G61" s="7" t="s">
        <v>29</v>
      </c>
      <c r="H61" s="297">
        <v>45007</v>
      </c>
      <c r="I61" s="7" t="s">
        <v>76</v>
      </c>
      <c r="J61" s="19" t="s">
        <v>35</v>
      </c>
      <c r="K61" s="7">
        <f>IFERROR(VLOOKUP(J61,Jueces!$A$1:$B$11,2,FALSE),"")</f>
        <v>3</v>
      </c>
      <c r="L61" s="7" t="s">
        <v>190</v>
      </c>
      <c r="M61" s="7" t="s">
        <v>188</v>
      </c>
      <c r="N61" s="7" t="s">
        <v>235</v>
      </c>
      <c r="O61" s="47" t="str">
        <f ca="1">IF(H61&lt;&gt;"",IF(H61&lt;=TODAY(),"SI","NO"),"LIMBO")</f>
        <v>SI</v>
      </c>
      <c r="P61" s="47" t="str">
        <f>IF($P$1=H61,"DIASOL", "DIANOSOL")</f>
        <v>DIANOSOL</v>
      </c>
      <c r="Q61" s="7" t="s">
        <v>151</v>
      </c>
      <c r="R61" s="7" t="str">
        <f>VLOOKUP($Q61,Resultados!$A$1:$B$49,2,FALSE)</f>
        <v>Prisión Preventiva</v>
      </c>
      <c r="S61" s="7"/>
      <c r="T61" s="68" t="str">
        <f>IF(G61=$J$1,"SI","NO")</f>
        <v>NO</v>
      </c>
      <c r="U61" s="68">
        <f>IF(H61="",0,MONTH(H61))</f>
        <v>3</v>
      </c>
      <c r="V61" s="7" t="str">
        <f ca="1">IF(color_Celda(E61)=12106214,"ROSA",IF(color_Celda(E61)=65535,"AMARILLO",IF(color_Celda(E61)=5296274,"VERDE",IF(color_Celda(E61)=16777215,"BLANCO","NO SE"))))</f>
        <v>ROSA</v>
      </c>
      <c r="W61" s="7"/>
      <c r="X61" s="7"/>
      <c r="Y61" s="7"/>
      <c r="Z61" s="68"/>
      <c r="AA61" s="68"/>
      <c r="AB61" s="68"/>
      <c r="AC61" s="324"/>
    </row>
    <row r="62" spans="1:29" ht="60" customHeight="1" outlineLevel="1">
      <c r="A62" s="7">
        <v>60</v>
      </c>
      <c r="B62" s="19">
        <v>44993</v>
      </c>
      <c r="C62" s="15">
        <v>0.3527777777777778</v>
      </c>
      <c r="D62" s="7" t="s">
        <v>222</v>
      </c>
      <c r="E62" s="40" t="s">
        <v>223</v>
      </c>
      <c r="F62" s="7">
        <v>4</v>
      </c>
      <c r="G62" s="7" t="s">
        <v>283</v>
      </c>
      <c r="H62" s="297">
        <v>45007</v>
      </c>
      <c r="I62" s="7" t="s">
        <v>76</v>
      </c>
      <c r="J62" s="19" t="s">
        <v>78</v>
      </c>
      <c r="K62" s="7">
        <f>IFERROR(VLOOKUP(J62,Jueces!$A$1:$B$11,2,FALSE),"")</f>
        <v>8</v>
      </c>
      <c r="L62" s="7" t="s">
        <v>249</v>
      </c>
      <c r="M62" s="7" t="s">
        <v>241</v>
      </c>
      <c r="N62" s="7" t="s">
        <v>483</v>
      </c>
      <c r="O62" s="47" t="str">
        <f ca="1">IF(H62&lt;&gt;"",IF(H62&lt;=TODAY(),"SI","NO"),"LIMBO")</f>
        <v>SI</v>
      </c>
      <c r="P62" s="47" t="str">
        <f>IF($P$1=H62,"DIASOL", "DIANOSOL")</f>
        <v>DIANOSOL</v>
      </c>
      <c r="Q62" s="7" t="s">
        <v>910</v>
      </c>
      <c r="R62" s="7" t="str">
        <f>VLOOKUP($Q62,Resultados!$A$1:$B$49,2,FALSE)</f>
        <v>Suspendida</v>
      </c>
      <c r="S62" s="7"/>
      <c r="T62" s="68" t="str">
        <f>IF(G62=$J$1,"SI","NO")</f>
        <v>NO</v>
      </c>
      <c r="U62" s="68">
        <f>IF(H62="",0,MONTH(H62))</f>
        <v>3</v>
      </c>
      <c r="V62" s="7" t="str">
        <f ca="1">IF(color_Celda(E62)=12106214,"ROSA",IF(color_Celda(E62)=65535,"AMARILLO",IF(color_Celda(E62)=5296274,"VERDE",IF(color_Celda(E62)=16777215,"BLANCO","NO SE"))))</f>
        <v>ROSA</v>
      </c>
      <c r="W62" s="7"/>
      <c r="X62" s="7"/>
      <c r="Y62" s="7"/>
      <c r="Z62" s="68"/>
      <c r="AA62" s="68"/>
      <c r="AB62" s="68"/>
      <c r="AC62" s="324"/>
    </row>
    <row r="63" spans="1:29" ht="60" customHeight="1" outlineLevel="1">
      <c r="A63" s="7">
        <v>61</v>
      </c>
      <c r="B63" s="19">
        <v>44993</v>
      </c>
      <c r="C63" s="15">
        <v>0.33333333333333331</v>
      </c>
      <c r="D63" s="7" t="s">
        <v>219</v>
      </c>
      <c r="E63" s="40" t="s">
        <v>218</v>
      </c>
      <c r="F63" s="7">
        <v>3</v>
      </c>
      <c r="G63" s="7" t="s">
        <v>34</v>
      </c>
      <c r="H63" s="297">
        <v>45007</v>
      </c>
      <c r="I63" s="7" t="s">
        <v>75</v>
      </c>
      <c r="J63" s="19" t="s">
        <v>31</v>
      </c>
      <c r="K63" s="7">
        <f>IFERROR(VLOOKUP(J63,Jueces!$A$1:$B$11,2,FALSE),"")</f>
        <v>2</v>
      </c>
      <c r="L63" s="7" t="s">
        <v>247</v>
      </c>
      <c r="M63" s="7" t="s">
        <v>188</v>
      </c>
      <c r="N63" s="7" t="s">
        <v>485</v>
      </c>
      <c r="O63" s="47" t="str">
        <f ca="1">IF(H63&lt;&gt;"",IF(H63&lt;=TODAY(),"SI","NO"),"LIMBO")</f>
        <v>SI</v>
      </c>
      <c r="P63" s="47" t="str">
        <f>IF($P$1=H63,"DIASOL", "DIANOSOL")</f>
        <v>DIANOSOL</v>
      </c>
      <c r="Q63" s="7" t="s">
        <v>902</v>
      </c>
      <c r="R63" s="7" t="str">
        <f>VLOOKUP($Q63,Resultados!$A$1:$B$49,2,FALSE)</f>
        <v>Juicio Abreviado</v>
      </c>
      <c r="S63" s="7"/>
      <c r="T63" s="68" t="str">
        <f>IF(G63=$J$1,"SI","NO")</f>
        <v>NO</v>
      </c>
      <c r="U63" s="68">
        <f>IF(H63="",0,MONTH(H63))</f>
        <v>3</v>
      </c>
      <c r="V63" s="7" t="str">
        <f ca="1">IF(color_Celda(E63)=12106214,"ROSA",IF(color_Celda(E63)=65535,"AMARILLO",IF(color_Celda(E63)=5296274,"VERDE",IF(color_Celda(E63)=16777215,"BLANCO","NO SE"))))</f>
        <v>ROSA</v>
      </c>
      <c r="W63" s="7"/>
      <c r="X63" s="7"/>
      <c r="Y63" s="7"/>
      <c r="Z63" s="68"/>
      <c r="AA63" s="68"/>
      <c r="AB63" s="68"/>
      <c r="AC63" s="324"/>
    </row>
    <row r="64" spans="1:29" ht="60" customHeight="1" outlineLevel="1">
      <c r="A64" s="7">
        <v>62</v>
      </c>
      <c r="B64" s="19">
        <v>44994</v>
      </c>
      <c r="C64" s="15">
        <v>0.3520833333333333</v>
      </c>
      <c r="D64" s="7" t="s">
        <v>254</v>
      </c>
      <c r="E64" s="40" t="s">
        <v>256</v>
      </c>
      <c r="F64" s="7">
        <v>3</v>
      </c>
      <c r="G64" s="7" t="s">
        <v>32</v>
      </c>
      <c r="H64" s="297">
        <v>45007</v>
      </c>
      <c r="I64" s="7" t="s">
        <v>77</v>
      </c>
      <c r="J64" s="19" t="s">
        <v>33</v>
      </c>
      <c r="K64" s="7">
        <f>IFERROR(VLOOKUP(J64,Jueces!$A$1:$B$11,2,FALSE),"")</f>
        <v>4</v>
      </c>
      <c r="L64" s="7" t="s">
        <v>338</v>
      </c>
      <c r="M64" s="7" t="s">
        <v>266</v>
      </c>
      <c r="N64" s="7" t="s">
        <v>494</v>
      </c>
      <c r="O64" s="47" t="str">
        <f ca="1">IF(H64&lt;&gt;"",IF(H64&lt;=TODAY(),"SI","NO"),"LIMBO")</f>
        <v>SI</v>
      </c>
      <c r="P64" s="47" t="str">
        <f>IF($P$1=H64,"DIASOL", "DIANOSOL")</f>
        <v>DIANOSOL</v>
      </c>
      <c r="Q64" s="7" t="s">
        <v>903</v>
      </c>
      <c r="R64" s="7" t="str">
        <f>VLOOKUP($Q64,Resultados!$A$1:$B$49,2,FALSE)</f>
        <v>Juicio Abreviado</v>
      </c>
      <c r="S64" s="7"/>
      <c r="T64" s="68" t="str">
        <f>IF(G64=$J$1,"SI","NO")</f>
        <v>NO</v>
      </c>
      <c r="U64" s="68">
        <f>IF(H64="",0,MONTH(H64))</f>
        <v>3</v>
      </c>
      <c r="V64" s="7" t="str">
        <f ca="1">IF(color_Celda(E64)=12106214,"ROSA",IF(color_Celda(E64)=65535,"AMARILLO",IF(color_Celda(E64)=5296274,"VERDE",IF(color_Celda(E64)=16777215,"BLANCO","NO SE"))))</f>
        <v>ROSA</v>
      </c>
      <c r="W64" s="7"/>
      <c r="X64" s="7"/>
      <c r="Y64" s="7"/>
      <c r="Z64" s="68"/>
      <c r="AA64" s="68"/>
      <c r="AB64" s="68"/>
      <c r="AC64" s="324"/>
    </row>
    <row r="65" spans="1:29" ht="60" customHeight="1" outlineLevel="1">
      <c r="A65" s="7">
        <v>64</v>
      </c>
      <c r="B65" s="19">
        <v>44992</v>
      </c>
      <c r="C65" s="15">
        <v>0.48749999999999999</v>
      </c>
      <c r="D65" s="7" t="s">
        <v>259</v>
      </c>
      <c r="E65" s="40" t="s">
        <v>205</v>
      </c>
      <c r="F65" s="7">
        <v>4</v>
      </c>
      <c r="G65" s="7" t="s">
        <v>1433</v>
      </c>
      <c r="H65" s="297">
        <v>45008</v>
      </c>
      <c r="I65" s="7" t="s">
        <v>73</v>
      </c>
      <c r="J65" s="19" t="s">
        <v>33</v>
      </c>
      <c r="K65" s="7">
        <f>IFERROR(VLOOKUP(J65,Jueces!$A$1:$B$11,2,FALSE),"")</f>
        <v>4</v>
      </c>
      <c r="L65" s="7" t="s">
        <v>242</v>
      </c>
      <c r="M65" s="7" t="s">
        <v>243</v>
      </c>
      <c r="N65" s="7" t="s">
        <v>509</v>
      </c>
      <c r="O65" s="47" t="str">
        <f ca="1">IF(H65&lt;&gt;"",IF(H65&lt;=TODAY(),"SI","NO"),"LIMBO")</f>
        <v>SI</v>
      </c>
      <c r="P65" s="47" t="str">
        <f>IF($P$1=H65,"DIASOL", "DIANOSOL")</f>
        <v>DIANOSOL</v>
      </c>
      <c r="Q65" s="7" t="s">
        <v>903</v>
      </c>
      <c r="R65" s="7" t="str">
        <f>VLOOKUP($Q65,Resultados!$A$1:$B$49,2,FALSE)</f>
        <v>Juicio Abreviado</v>
      </c>
      <c r="S65" s="7"/>
      <c r="T65" s="68" t="str">
        <f>IF(G65=$J$1,"SI","NO")</f>
        <v>NO</v>
      </c>
      <c r="U65" s="68">
        <f>IF(H65="",0,MONTH(H65))</f>
        <v>3</v>
      </c>
      <c r="V65" s="7" t="str">
        <f ca="1">IF(color_Celda(E65)=12106214,"ROSA",IF(color_Celda(E65)=65535,"AMARILLO",IF(color_Celda(E65)=5296274,"VERDE",IF(color_Celda(E65)=16777215,"BLANCO","NO SE"))))</f>
        <v>ROSA</v>
      </c>
      <c r="W65" s="7"/>
      <c r="X65" s="7"/>
      <c r="Y65" s="7"/>
      <c r="Z65" s="68"/>
      <c r="AA65" s="68"/>
      <c r="AB65" s="68"/>
      <c r="AC65" s="324"/>
    </row>
    <row r="66" spans="1:29" ht="60" customHeight="1" outlineLevel="1">
      <c r="A66" s="7">
        <v>63</v>
      </c>
      <c r="B66" s="19">
        <v>44993</v>
      </c>
      <c r="C66" s="15">
        <v>0.3576388888888889</v>
      </c>
      <c r="D66" s="7" t="s">
        <v>224</v>
      </c>
      <c r="E66" s="40" t="s">
        <v>225</v>
      </c>
      <c r="F66" s="7">
        <v>4</v>
      </c>
      <c r="G66" s="7" t="s">
        <v>32</v>
      </c>
      <c r="H66" s="297">
        <v>45008</v>
      </c>
      <c r="I66" s="7" t="s">
        <v>73</v>
      </c>
      <c r="J66" s="19" t="s">
        <v>35</v>
      </c>
      <c r="K66" s="7">
        <f>IFERROR(VLOOKUP(J66,Jueces!$A$1:$B$11,2,FALSE),"")</f>
        <v>3</v>
      </c>
      <c r="L66" s="7" t="s">
        <v>240</v>
      </c>
      <c r="M66" s="7" t="s">
        <v>241</v>
      </c>
      <c r="N66" s="7" t="s">
        <v>573</v>
      </c>
      <c r="O66" s="47" t="str">
        <f ca="1">IF(H66&lt;&gt;"",IF(H66&lt;=TODAY(),"SI","NO"),"LIMBO")</f>
        <v>SI</v>
      </c>
      <c r="P66" s="47" t="str">
        <f>IF($P$1=H66,"DIASOL", "DIANOSOL")</f>
        <v>DIANOSOL</v>
      </c>
      <c r="Q66" s="7" t="s">
        <v>151</v>
      </c>
      <c r="R66" s="7" t="str">
        <f>VLOOKUP($Q66,Resultados!$A$1:$B$49,2,FALSE)</f>
        <v>Prisión Preventiva</v>
      </c>
      <c r="S66" s="7"/>
      <c r="T66" s="68" t="str">
        <f>IF(G66=$J$1,"SI","NO")</f>
        <v>NO</v>
      </c>
      <c r="U66" s="68">
        <f>IF(H66="",0,MONTH(H66))</f>
        <v>3</v>
      </c>
      <c r="V66" s="7" t="str">
        <f ca="1">IF(color_Celda(E66)=12106214,"ROSA",IF(color_Celda(E66)=65535,"AMARILLO",IF(color_Celda(E66)=5296274,"VERDE",IF(color_Celda(E66)=16777215,"BLANCO","NO SE"))))</f>
        <v>ROSA</v>
      </c>
      <c r="W66" s="7"/>
      <c r="X66" s="7"/>
      <c r="Y66" s="7"/>
      <c r="Z66" s="68"/>
      <c r="AA66" s="68"/>
      <c r="AB66" s="68"/>
      <c r="AC66" s="324"/>
    </row>
    <row r="67" spans="1:29" ht="60" customHeight="1" outlineLevel="1">
      <c r="A67" s="7">
        <v>65</v>
      </c>
      <c r="B67" s="19">
        <v>44998</v>
      </c>
      <c r="C67" s="15">
        <v>0.33333333333333331</v>
      </c>
      <c r="D67" s="7" t="s">
        <v>7</v>
      </c>
      <c r="E67" s="40" t="s">
        <v>316</v>
      </c>
      <c r="F67" s="7">
        <v>3</v>
      </c>
      <c r="G67" s="7" t="s">
        <v>283</v>
      </c>
      <c r="H67" s="297">
        <v>45008</v>
      </c>
      <c r="I67" s="7" t="s">
        <v>73</v>
      </c>
      <c r="J67" s="19" t="s">
        <v>78</v>
      </c>
      <c r="K67" s="7">
        <f>IFERROR(VLOOKUP(J67,Jueces!$A$1:$B$11,2,FALSE),"")</f>
        <v>8</v>
      </c>
      <c r="L67" s="7" t="s">
        <v>93</v>
      </c>
      <c r="M67" s="7" t="s">
        <v>317</v>
      </c>
      <c r="N67" s="7" t="s">
        <v>235</v>
      </c>
      <c r="O67" s="47" t="str">
        <f ca="1">IF(H67&lt;&gt;"",IF(H67&lt;=TODAY(),"SI","NO"),"LIMBO")</f>
        <v>SI</v>
      </c>
      <c r="P67" s="47" t="str">
        <f>IF($P$1=H67,"DIASOL", "DIANOSOL")</f>
        <v>DIANOSOL</v>
      </c>
      <c r="Q67" s="7" t="s">
        <v>151</v>
      </c>
      <c r="R67" s="7" t="str">
        <f>VLOOKUP($Q67,Resultados!$A$1:$B$49,2,FALSE)</f>
        <v>Prisión Preventiva</v>
      </c>
      <c r="S67" s="7"/>
      <c r="T67" s="68" t="str">
        <f>IF(G67=$J$1,"SI","NO")</f>
        <v>NO</v>
      </c>
      <c r="U67" s="68">
        <f>IF(H67="",0,MONTH(H67))</f>
        <v>3</v>
      </c>
      <c r="V67" s="7" t="str">
        <f ca="1">IF(color_Celda(E67)=12106214,"ROSA",IF(color_Celda(E67)=65535,"AMARILLO",IF(color_Celda(E67)=5296274,"VERDE",IF(color_Celda(E67)=16777215,"BLANCO","NO SE"))))</f>
        <v>ROSA</v>
      </c>
      <c r="W67" s="7"/>
      <c r="X67" s="7"/>
      <c r="Y67" s="7"/>
      <c r="Z67" s="68"/>
      <c r="AA67" s="68"/>
      <c r="AB67" s="68"/>
      <c r="AC67" s="324"/>
    </row>
    <row r="68" spans="1:29" ht="60" customHeight="1" outlineLevel="1">
      <c r="A68" s="7">
        <v>66</v>
      </c>
      <c r="B68" s="19">
        <v>44992</v>
      </c>
      <c r="C68" s="15">
        <v>0.45833333333333331</v>
      </c>
      <c r="D68" s="7" t="s">
        <v>202</v>
      </c>
      <c r="E68" s="40" t="s">
        <v>201</v>
      </c>
      <c r="F68" s="7">
        <v>4</v>
      </c>
      <c r="G68" s="7" t="s">
        <v>29</v>
      </c>
      <c r="H68" s="297">
        <v>45008</v>
      </c>
      <c r="I68" s="7" t="s">
        <v>76</v>
      </c>
      <c r="J68" s="19" t="s">
        <v>35</v>
      </c>
      <c r="K68" s="7">
        <f>IFERROR(VLOOKUP(J68,Jueces!$A$1:$B$11,2,FALSE),"")</f>
        <v>3</v>
      </c>
      <c r="L68" s="7" t="s">
        <v>245</v>
      </c>
      <c r="M68" s="7" t="s">
        <v>169</v>
      </c>
      <c r="N68" s="7" t="s">
        <v>510</v>
      </c>
      <c r="O68" s="47" t="str">
        <f ca="1">IF(H68&lt;&gt;"",IF(H68&lt;=TODAY(),"SI","NO"),"LIMBO")</f>
        <v>SI</v>
      </c>
      <c r="P68" s="47" t="str">
        <f>IF($P$1=H68,"DIASOL", "DIANOSOL")</f>
        <v>DIANOSOL</v>
      </c>
      <c r="Q68" s="7" t="s">
        <v>897</v>
      </c>
      <c r="R68" s="7" t="str">
        <f>VLOOKUP($Q68,Resultados!$A$1:$B$49,2,FALSE)</f>
        <v>Libertad</v>
      </c>
      <c r="S68" s="7"/>
      <c r="T68" s="68" t="str">
        <f>IF(G68=$J$1,"SI","NO")</f>
        <v>NO</v>
      </c>
      <c r="U68" s="68">
        <f>IF(H68="",0,MONTH(H68))</f>
        <v>3</v>
      </c>
      <c r="V68" s="7" t="str">
        <f ca="1">IF(color_Celda(E68)=12106214,"ROSA",IF(color_Celda(E68)=65535,"AMARILLO",IF(color_Celda(E68)=5296274,"VERDE",IF(color_Celda(E68)=16777215,"BLANCO","NO SE"))))</f>
        <v>ROSA</v>
      </c>
      <c r="W68" s="7"/>
      <c r="X68" s="7"/>
      <c r="Y68" s="7"/>
      <c r="Z68" s="68"/>
      <c r="AA68" s="68"/>
      <c r="AB68" s="68"/>
      <c r="AC68" s="324"/>
    </row>
    <row r="69" spans="1:29" ht="60" customHeight="1" outlineLevel="1">
      <c r="A69" s="7">
        <v>67</v>
      </c>
      <c r="B69" s="19">
        <v>44993</v>
      </c>
      <c r="C69" s="15">
        <v>0.52500000000000002</v>
      </c>
      <c r="D69" s="7" t="s">
        <v>236</v>
      </c>
      <c r="E69" s="40" t="s">
        <v>237</v>
      </c>
      <c r="F69" s="7">
        <v>3</v>
      </c>
      <c r="G69" s="7" t="s">
        <v>34</v>
      </c>
      <c r="H69" s="297">
        <v>45008</v>
      </c>
      <c r="I69" s="7" t="s">
        <v>228</v>
      </c>
      <c r="J69" s="19" t="s">
        <v>31</v>
      </c>
      <c r="K69" s="7">
        <f>IFERROR(VLOOKUP(J69,Jueces!$A$1:$B$11,2,FALSE),"")</f>
        <v>2</v>
      </c>
      <c r="L69" s="7" t="s">
        <v>271</v>
      </c>
      <c r="M69" s="7" t="s">
        <v>272</v>
      </c>
      <c r="N69" s="7" t="s">
        <v>513</v>
      </c>
      <c r="O69" s="47" t="str">
        <f ca="1">IF(H69&lt;&gt;"",IF(H69&lt;=TODAY(),"SI","NO"),"LIMBO")</f>
        <v>SI</v>
      </c>
      <c r="P69" s="47" t="str">
        <f>IF($P$1=H69,"DIASOL", "DIANOSOL")</f>
        <v>DIANOSOL</v>
      </c>
      <c r="Q69" s="7" t="s">
        <v>902</v>
      </c>
      <c r="R69" s="7" t="str">
        <f>VLOOKUP($Q69,Resultados!$A$1:$B$49,2,FALSE)</f>
        <v>Juicio Abreviado</v>
      </c>
      <c r="S69" s="7"/>
      <c r="T69" s="68" t="str">
        <f>IF(G69=$J$1,"SI","NO")</f>
        <v>NO</v>
      </c>
      <c r="U69" s="68">
        <f>IF(H69="",0,MONTH(H69))</f>
        <v>3</v>
      </c>
      <c r="V69" s="7" t="str">
        <f ca="1">IF(color_Celda(E69)=12106214,"ROSA",IF(color_Celda(E69)=65535,"AMARILLO",IF(color_Celda(E69)=5296274,"VERDE",IF(color_Celda(E69)=16777215,"BLANCO","NO SE"))))</f>
        <v>ROSA</v>
      </c>
      <c r="W69" s="7"/>
      <c r="X69" s="7"/>
      <c r="Y69" s="7"/>
      <c r="Z69" s="68"/>
      <c r="AA69" s="68"/>
      <c r="AB69" s="68"/>
      <c r="AC69" s="324"/>
    </row>
    <row r="70" spans="1:29" ht="60" customHeight="1" outlineLevel="1">
      <c r="A70" s="7">
        <v>69</v>
      </c>
      <c r="B70" s="19">
        <v>44992</v>
      </c>
      <c r="C70" s="15">
        <v>0.53402777777777777</v>
      </c>
      <c r="D70" s="7" t="s">
        <v>212</v>
      </c>
      <c r="E70" s="40" t="s">
        <v>216</v>
      </c>
      <c r="F70" s="7">
        <v>4</v>
      </c>
      <c r="G70" s="7" t="s">
        <v>1433</v>
      </c>
      <c r="H70" s="297">
        <v>45012</v>
      </c>
      <c r="I70" s="7" t="s">
        <v>73</v>
      </c>
      <c r="J70" s="19" t="s">
        <v>33</v>
      </c>
      <c r="K70" s="7">
        <f>IFERROR(VLOOKUP(J70,Jueces!$A$1:$B$11,2,FALSE),"")</f>
        <v>4</v>
      </c>
      <c r="L70" s="7" t="s">
        <v>245</v>
      </c>
      <c r="M70" s="7" t="s">
        <v>241</v>
      </c>
      <c r="N70" s="7" t="s">
        <v>597</v>
      </c>
      <c r="O70" s="47" t="str">
        <f ca="1">IF(H70&lt;&gt;"",IF(H70&lt;=TODAY(),"SI","NO"),"LIMBO")</f>
        <v>SI</v>
      </c>
      <c r="P70" s="47" t="str">
        <f>IF($P$1=H70,"DIASOL", "DIANOSOL")</f>
        <v>DIANOSOL</v>
      </c>
      <c r="Q70" s="7" t="s">
        <v>151</v>
      </c>
      <c r="R70" s="7" t="str">
        <f>VLOOKUP($Q70,Resultados!$A$1:$B$49,2,FALSE)</f>
        <v>Prisión Preventiva</v>
      </c>
      <c r="S70" s="7"/>
      <c r="T70" s="68" t="str">
        <f>IF(G70=$J$1,"SI","NO")</f>
        <v>NO</v>
      </c>
      <c r="U70" s="68">
        <f>IF(H70="",0,MONTH(H70))</f>
        <v>3</v>
      </c>
      <c r="V70" s="7" t="str">
        <f ca="1">IF(color_Celda(E70)=12106214,"ROSA",IF(color_Celda(E70)=65535,"AMARILLO",IF(color_Celda(E70)=5296274,"VERDE",IF(color_Celda(E70)=16777215,"BLANCO","NO SE"))))</f>
        <v>ROSA</v>
      </c>
      <c r="W70" s="7"/>
      <c r="X70" s="7"/>
      <c r="Y70" s="7"/>
      <c r="Z70" s="68"/>
      <c r="AA70" s="68"/>
      <c r="AB70" s="68"/>
      <c r="AC70" s="324"/>
    </row>
    <row r="71" spans="1:29" ht="60" customHeight="1" outlineLevel="1">
      <c r="A71" s="7">
        <v>68</v>
      </c>
      <c r="B71" s="19">
        <v>44993</v>
      </c>
      <c r="C71" s="15">
        <v>0.4604166666666667</v>
      </c>
      <c r="D71" s="7" t="s">
        <v>232</v>
      </c>
      <c r="E71" s="40" t="s">
        <v>231</v>
      </c>
      <c r="F71" s="7">
        <v>3</v>
      </c>
      <c r="G71" s="7" t="s">
        <v>43</v>
      </c>
      <c r="H71" s="297">
        <v>45012</v>
      </c>
      <c r="I71" s="7" t="s">
        <v>73</v>
      </c>
      <c r="J71" s="19" t="s">
        <v>31</v>
      </c>
      <c r="K71" s="7">
        <f>IFERROR(VLOOKUP(J71,Jueces!$A$1:$B$11,2,FALSE),"")</f>
        <v>2</v>
      </c>
      <c r="L71" s="7" t="s">
        <v>263</v>
      </c>
      <c r="M71" s="7" t="s">
        <v>188</v>
      </c>
      <c r="N71" s="7" t="s">
        <v>530</v>
      </c>
      <c r="O71" s="47" t="str">
        <f ca="1">IF(H71&lt;&gt;"",IF(H71&lt;=TODAY(),"SI","NO"),"LIMBO")</f>
        <v>SI</v>
      </c>
      <c r="P71" s="47" t="str">
        <f>IF($P$1=H71,"DIASOL", "DIANOSOL")</f>
        <v>DIANOSOL</v>
      </c>
      <c r="Q71" s="7" t="s">
        <v>1021</v>
      </c>
      <c r="R71" s="7" t="str">
        <f>VLOOKUP($Q71,Resultados!$A$1:$B$49,2,FALSE)</f>
        <v>Difiere Resolución</v>
      </c>
      <c r="S71" s="7"/>
      <c r="T71" s="68" t="str">
        <f>IF(G71=$J$1,"SI","NO")</f>
        <v>NO</v>
      </c>
      <c r="U71" s="68">
        <f>IF(H71="",0,MONTH(H71))</f>
        <v>3</v>
      </c>
      <c r="V71" s="7" t="str">
        <f ca="1">IF(color_Celda(E71)=12106214,"ROSA",IF(color_Celda(E71)=65535,"AMARILLO",IF(color_Celda(E71)=5296274,"VERDE",IF(color_Celda(E71)=16777215,"BLANCO","NO SE"))))</f>
        <v>ROSA</v>
      </c>
      <c r="W71" s="7"/>
      <c r="X71" s="7"/>
      <c r="Y71" s="7"/>
      <c r="Z71" s="68"/>
      <c r="AA71" s="68"/>
      <c r="AB71" s="68"/>
      <c r="AC71" s="324"/>
    </row>
    <row r="72" spans="1:29" ht="60" customHeight="1" outlineLevel="1">
      <c r="A72" s="7">
        <v>70</v>
      </c>
      <c r="B72" s="19">
        <v>44998</v>
      </c>
      <c r="C72" s="15">
        <v>0.41875000000000001</v>
      </c>
      <c r="D72" s="7" t="s">
        <v>324</v>
      </c>
      <c r="E72" s="40" t="s">
        <v>356</v>
      </c>
      <c r="F72" s="7">
        <v>4</v>
      </c>
      <c r="G72" s="7" t="s">
        <v>283</v>
      </c>
      <c r="H72" s="297">
        <v>45012</v>
      </c>
      <c r="I72" s="7" t="s">
        <v>73</v>
      </c>
      <c r="J72" s="19" t="s">
        <v>78</v>
      </c>
      <c r="K72" s="7">
        <f>IFERROR(VLOOKUP(J72,Jueces!$A$1:$B$11,2,FALSE),"")</f>
        <v>8</v>
      </c>
      <c r="L72" s="7" t="s">
        <v>330</v>
      </c>
      <c r="M72" s="7" t="s">
        <v>307</v>
      </c>
      <c r="N72" s="7" t="s">
        <v>529</v>
      </c>
      <c r="O72" s="47" t="str">
        <f ca="1">IF(H72&lt;&gt;"",IF(H72&lt;=TODAY(),"SI","NO"),"LIMBO")</f>
        <v>SI</v>
      </c>
      <c r="P72" s="47" t="str">
        <f>IF($P$1=H72,"DIASOL", "DIANOSOL")</f>
        <v>DIANOSOL</v>
      </c>
      <c r="Q72" s="7" t="s">
        <v>910</v>
      </c>
      <c r="R72" s="7" t="str">
        <f>VLOOKUP($Q72,Resultados!$A$1:$B$49,2,FALSE)</f>
        <v>Suspendida</v>
      </c>
      <c r="S72" s="7"/>
      <c r="T72" s="68" t="str">
        <f>IF(G72=$J$1,"SI","NO")</f>
        <v>NO</v>
      </c>
      <c r="U72" s="68">
        <f>IF(H72="",0,MONTH(H72))</f>
        <v>3</v>
      </c>
      <c r="V72" s="7" t="str">
        <f ca="1">IF(color_Celda(E72)=12106214,"ROSA",IF(color_Celda(E72)=65535,"AMARILLO",IF(color_Celda(E72)=5296274,"VERDE",IF(color_Celda(E72)=16777215,"BLANCO","NO SE"))))</f>
        <v>ROSA</v>
      </c>
      <c r="W72" s="7"/>
      <c r="X72" s="7"/>
      <c r="Y72" s="7"/>
      <c r="Z72" s="68"/>
      <c r="AA72" s="68"/>
      <c r="AB72" s="68"/>
      <c r="AC72" s="324"/>
    </row>
    <row r="73" spans="1:29" ht="60" customHeight="1" outlineLevel="1">
      <c r="A73" s="7">
        <v>71</v>
      </c>
      <c r="B73" s="19">
        <v>44994</v>
      </c>
      <c r="C73" s="15">
        <v>0.3666666666666667</v>
      </c>
      <c r="D73" s="7" t="s">
        <v>268</v>
      </c>
      <c r="E73" s="40" t="s">
        <v>269</v>
      </c>
      <c r="F73" s="7">
        <v>4</v>
      </c>
      <c r="G73" s="7" t="s">
        <v>1433</v>
      </c>
      <c r="H73" s="297">
        <v>45012</v>
      </c>
      <c r="I73" s="7" t="s">
        <v>76</v>
      </c>
      <c r="J73" s="19" t="s">
        <v>35</v>
      </c>
      <c r="K73" s="7">
        <f>IFERROR(VLOOKUP(J73,Jueces!$A$1:$B$11,2,FALSE),"")</f>
        <v>3</v>
      </c>
      <c r="L73" s="7" t="s">
        <v>290</v>
      </c>
      <c r="M73" s="7" t="s">
        <v>287</v>
      </c>
      <c r="N73" s="7" t="s">
        <v>519</v>
      </c>
      <c r="O73" s="47" t="str">
        <f ca="1">IF(H73&lt;&gt;"",IF(H73&lt;=TODAY(),"SI","NO"),"LIMBO")</f>
        <v>SI</v>
      </c>
      <c r="P73" s="47" t="str">
        <f>IF($P$1=H73,"DIASOL", "DIANOSOL")</f>
        <v>DIANOSOL</v>
      </c>
      <c r="Q73" s="7" t="s">
        <v>902</v>
      </c>
      <c r="R73" s="7" t="str">
        <f>VLOOKUP($Q73,Resultados!$A$1:$B$49,2,FALSE)</f>
        <v>Juicio Abreviado</v>
      </c>
      <c r="S73" s="7"/>
      <c r="T73" s="68" t="str">
        <f>IF(G73=$J$1,"SI","NO")</f>
        <v>NO</v>
      </c>
      <c r="U73" s="68">
        <f>IF(H73="",0,MONTH(H73))</f>
        <v>3</v>
      </c>
      <c r="V73" s="7" t="str">
        <f ca="1">IF(color_Celda(E73)=12106214,"ROSA",IF(color_Celda(E73)=65535,"AMARILLO",IF(color_Celda(E73)=5296274,"VERDE",IF(color_Celda(E73)=16777215,"BLANCO","NO SE"))))</f>
        <v>ROSA</v>
      </c>
      <c r="W73" s="7"/>
      <c r="X73" s="7"/>
      <c r="Y73" s="7"/>
      <c r="Z73" s="68"/>
      <c r="AA73" s="68"/>
      <c r="AB73" s="68"/>
      <c r="AC73" s="324"/>
    </row>
    <row r="74" spans="1:29" ht="60" customHeight="1" outlineLevel="1">
      <c r="A74" s="7">
        <v>72</v>
      </c>
      <c r="B74" s="19">
        <v>44999</v>
      </c>
      <c r="C74" s="15">
        <v>0.44861111111111113</v>
      </c>
      <c r="D74" s="7" t="s">
        <v>357</v>
      </c>
      <c r="E74" s="40" t="s">
        <v>358</v>
      </c>
      <c r="F74" s="7">
        <v>4</v>
      </c>
      <c r="G74" s="7" t="s">
        <v>32</v>
      </c>
      <c r="H74" s="297">
        <v>45012</v>
      </c>
      <c r="I74" s="7" t="s">
        <v>77</v>
      </c>
      <c r="J74" s="19" t="s">
        <v>33</v>
      </c>
      <c r="K74" s="7">
        <f>IFERROR(VLOOKUP(J74,Jueces!$A$1:$B$11,2,FALSE),"")</f>
        <v>4</v>
      </c>
      <c r="L74" s="7" t="s">
        <v>369</v>
      </c>
      <c r="M74" s="7" t="s">
        <v>377</v>
      </c>
      <c r="N74" s="7" t="s">
        <v>520</v>
      </c>
      <c r="O74" s="47" t="str">
        <f ca="1">IF(H74&lt;&gt;"",IF(H74&lt;=TODAY(),"SI","NO"),"LIMBO")</f>
        <v>SI</v>
      </c>
      <c r="P74" s="47" t="str">
        <f>IF($P$1=H74,"DIASOL", "DIANOSOL")</f>
        <v>DIANOSOL</v>
      </c>
      <c r="Q74" s="7" t="s">
        <v>903</v>
      </c>
      <c r="R74" s="7" t="str">
        <f>VLOOKUP($Q74,Resultados!$A$1:$B$49,2,FALSE)</f>
        <v>Juicio Abreviado</v>
      </c>
      <c r="S74" s="7"/>
      <c r="T74" s="68" t="str">
        <f>IF(G74=$J$1,"SI","NO")</f>
        <v>NO</v>
      </c>
      <c r="U74" s="68">
        <f>IF(H74="",0,MONTH(H74))</f>
        <v>3</v>
      </c>
      <c r="V74" s="7" t="str">
        <f ca="1">IF(color_Celda(E74)=12106214,"ROSA",IF(color_Celda(E74)=65535,"AMARILLO",IF(color_Celda(E74)=5296274,"VERDE",IF(color_Celda(E74)=16777215,"BLANCO","NO SE"))))</f>
        <v>ROSA</v>
      </c>
      <c r="W74" s="7"/>
      <c r="X74" s="7"/>
      <c r="Y74" s="7"/>
      <c r="Z74" s="68"/>
      <c r="AA74" s="68"/>
      <c r="AB74" s="68"/>
      <c r="AC74" s="324"/>
    </row>
    <row r="75" spans="1:29" ht="60" customHeight="1" outlineLevel="1">
      <c r="A75" s="7">
        <v>73</v>
      </c>
      <c r="B75" s="19">
        <v>44994</v>
      </c>
      <c r="C75" s="15">
        <v>0.45416666666666666</v>
      </c>
      <c r="D75" s="7" t="s">
        <v>114</v>
      </c>
      <c r="E75" s="40" t="s">
        <v>115</v>
      </c>
      <c r="F75" s="7">
        <v>3</v>
      </c>
      <c r="G75" s="7" t="s">
        <v>29</v>
      </c>
      <c r="H75" s="297">
        <v>45012</v>
      </c>
      <c r="I75" s="7" t="s">
        <v>228</v>
      </c>
      <c r="J75" s="19" t="s">
        <v>31</v>
      </c>
      <c r="K75" s="7">
        <f>IFERROR(VLOOKUP(J75,Jueces!$A$1:$B$11,2,FALSE),"")</f>
        <v>2</v>
      </c>
      <c r="L75" s="7" t="s">
        <v>313</v>
      </c>
      <c r="M75" s="7" t="s">
        <v>377</v>
      </c>
      <c r="N75" s="7" t="s">
        <v>532</v>
      </c>
      <c r="O75" s="47" t="str">
        <f ca="1">IF(H75&lt;&gt;"",IF(H75&lt;=TODAY(),"SI","NO"),"LIMBO")</f>
        <v>SI</v>
      </c>
      <c r="P75" s="47" t="str">
        <f>IF($P$1=H75,"DIASOL", "DIANOSOL")</f>
        <v>DIANOSOL</v>
      </c>
      <c r="Q75" s="7" t="s">
        <v>902</v>
      </c>
      <c r="R75" s="7" t="str">
        <f>VLOOKUP($Q75,Resultados!$A$1:$B$49,2,FALSE)</f>
        <v>Juicio Abreviado</v>
      </c>
      <c r="S75" s="7"/>
      <c r="T75" s="68" t="str">
        <f>IF(G75=$J$1,"SI","NO")</f>
        <v>NO</v>
      </c>
      <c r="U75" s="68">
        <f>IF(H75="",0,MONTH(H75))</f>
        <v>3</v>
      </c>
      <c r="V75" s="7" t="str">
        <f ca="1">IF(color_Celda(E75)=12106214,"ROSA",IF(color_Celda(E75)=65535,"AMARILLO",IF(color_Celda(E75)=5296274,"VERDE",IF(color_Celda(E75)=16777215,"BLANCO","NO SE"))))</f>
        <v>ROSA</v>
      </c>
      <c r="W75" s="7"/>
      <c r="X75" s="7"/>
      <c r="Y75" s="7"/>
      <c r="Z75" s="68"/>
      <c r="AA75" s="68"/>
      <c r="AB75" s="68"/>
      <c r="AC75" s="324"/>
    </row>
    <row r="76" spans="1:29" ht="60" customHeight="1" outlineLevel="1">
      <c r="A76" s="7">
        <v>74</v>
      </c>
      <c r="B76" s="19">
        <v>44993</v>
      </c>
      <c r="C76" s="15">
        <v>0.46111111111111108</v>
      </c>
      <c r="D76" s="7" t="s">
        <v>229</v>
      </c>
      <c r="E76" s="40" t="s">
        <v>230</v>
      </c>
      <c r="F76" s="7">
        <v>3</v>
      </c>
      <c r="G76" s="7" t="s">
        <v>32</v>
      </c>
      <c r="H76" s="297">
        <v>45013</v>
      </c>
      <c r="I76" s="7" t="s">
        <v>73</v>
      </c>
      <c r="J76" s="19" t="s">
        <v>35</v>
      </c>
      <c r="K76" s="7">
        <f>IFERROR(VLOOKUP(J76,Jueces!$A$1:$B$11,2,FALSE),"")</f>
        <v>3</v>
      </c>
      <c r="L76" s="7" t="s">
        <v>264</v>
      </c>
      <c r="M76" s="7" t="s">
        <v>265</v>
      </c>
      <c r="N76" s="7" t="s">
        <v>535</v>
      </c>
      <c r="O76" s="47" t="str">
        <f ca="1">IF(H76&lt;&gt;"",IF(H76&lt;=TODAY(),"SI","NO"),"LIMBO")</f>
        <v>SI</v>
      </c>
      <c r="P76" s="47" t="str">
        <f>IF($P$1=H76,"DIASOL", "DIANOSOL")</f>
        <v>DIANOSOL</v>
      </c>
      <c r="Q76" s="7" t="s">
        <v>909</v>
      </c>
      <c r="R76" s="7" t="str">
        <f>VLOOKUP($Q76,Resultados!$A$1:$B$49,2,FALSE)</f>
        <v>Suspendida</v>
      </c>
      <c r="S76" s="7"/>
      <c r="T76" s="68" t="str">
        <f>IF(G76=$J$1,"SI","NO")</f>
        <v>NO</v>
      </c>
      <c r="U76" s="68">
        <f>IF(H76="",0,MONTH(H76))</f>
        <v>3</v>
      </c>
      <c r="V76" s="7" t="str">
        <f ca="1">IF(color_Celda(E76)=12106214,"ROSA",IF(color_Celda(E76)=65535,"AMARILLO",IF(color_Celda(E76)=5296274,"VERDE",IF(color_Celda(E76)=16777215,"BLANCO","NO SE"))))</f>
        <v>ROSA</v>
      </c>
      <c r="W76" s="7"/>
      <c r="X76" s="7"/>
      <c r="Y76" s="7"/>
      <c r="Z76" s="68"/>
      <c r="AA76" s="68"/>
      <c r="AB76" s="68"/>
      <c r="AC76" s="324"/>
    </row>
    <row r="77" spans="1:29" ht="60" customHeight="1" outlineLevel="1">
      <c r="A77" s="7">
        <v>75</v>
      </c>
      <c r="B77" s="19">
        <v>44995</v>
      </c>
      <c r="C77" s="15">
        <v>0.42986111111111108</v>
      </c>
      <c r="D77" s="7" t="s">
        <v>311</v>
      </c>
      <c r="E77" s="40" t="s">
        <v>312</v>
      </c>
      <c r="F77" s="7">
        <v>3</v>
      </c>
      <c r="G77" s="7" t="s">
        <v>43</v>
      </c>
      <c r="H77" s="297">
        <v>45013</v>
      </c>
      <c r="I77" s="7" t="s">
        <v>73</v>
      </c>
      <c r="J77" s="19" t="s">
        <v>31</v>
      </c>
      <c r="K77" s="7">
        <f>IFERROR(VLOOKUP(J77,Jueces!$A$1:$B$11,2,FALSE),"")</f>
        <v>2</v>
      </c>
      <c r="L77" s="7" t="s">
        <v>313</v>
      </c>
      <c r="M77" s="7" t="s">
        <v>314</v>
      </c>
      <c r="N77" s="7" t="s">
        <v>533</v>
      </c>
      <c r="O77" s="47" t="str">
        <f ca="1">IF(H77&lt;&gt;"",IF(H77&lt;=TODAY(),"SI","NO"),"LIMBO")</f>
        <v>SI</v>
      </c>
      <c r="P77" s="47" t="str">
        <f>IF($P$1=H77,"DIASOL", "DIANOSOL")</f>
        <v>DIANOSOL</v>
      </c>
      <c r="Q77" s="7" t="s">
        <v>903</v>
      </c>
      <c r="R77" s="7" t="str">
        <f>VLOOKUP($Q77,Resultados!$A$1:$B$49,2,FALSE)</f>
        <v>Juicio Abreviado</v>
      </c>
      <c r="S77" s="7"/>
      <c r="T77" s="68" t="str">
        <f>IF(G77=$J$1,"SI","NO")</f>
        <v>NO</v>
      </c>
      <c r="U77" s="68">
        <f>IF(H77="",0,MONTH(H77))</f>
        <v>3</v>
      </c>
      <c r="V77" s="7" t="str">
        <f ca="1">IF(color_Celda(E77)=12106214,"ROSA",IF(color_Celda(E77)=65535,"AMARILLO",IF(color_Celda(E77)=5296274,"VERDE",IF(color_Celda(E77)=16777215,"BLANCO","NO SE"))))</f>
        <v>ROSA</v>
      </c>
      <c r="W77" s="7"/>
      <c r="X77" s="7"/>
      <c r="Y77" s="7"/>
      <c r="Z77" s="68"/>
      <c r="AA77" s="68"/>
      <c r="AB77" s="68"/>
      <c r="AC77" s="324"/>
    </row>
    <row r="78" spans="1:29" ht="60" customHeight="1" outlineLevel="1">
      <c r="A78" s="7">
        <v>76</v>
      </c>
      <c r="B78" s="19">
        <v>44994</v>
      </c>
      <c r="C78" s="15">
        <v>0.44097222222222227</v>
      </c>
      <c r="D78" s="7" t="s">
        <v>293</v>
      </c>
      <c r="E78" s="40" t="s">
        <v>279</v>
      </c>
      <c r="F78" s="7">
        <v>3</v>
      </c>
      <c r="G78" s="7" t="s">
        <v>29</v>
      </c>
      <c r="H78" s="297">
        <v>45013</v>
      </c>
      <c r="I78" s="7" t="s">
        <v>76</v>
      </c>
      <c r="J78" s="19" t="s">
        <v>35</v>
      </c>
      <c r="K78" s="7">
        <f>IFERROR(VLOOKUP(J78,Jueces!$A$1:$B$11,2,FALSE),"")</f>
        <v>3</v>
      </c>
      <c r="L78" s="7" t="s">
        <v>301</v>
      </c>
      <c r="M78" s="7" t="s">
        <v>302</v>
      </c>
      <c r="N78" s="7" t="s">
        <v>536</v>
      </c>
      <c r="O78" s="47" t="str">
        <f ca="1">IF(H78&lt;&gt;"",IF(H78&lt;=TODAY(),"SI","NO"),"LIMBO")</f>
        <v>SI</v>
      </c>
      <c r="P78" s="47" t="str">
        <f>IF($P$1=H78,"DIASOL", "DIANOSOL")</f>
        <v>DIANOSOL</v>
      </c>
      <c r="Q78" s="7" t="s">
        <v>151</v>
      </c>
      <c r="R78" s="7" t="str">
        <f>VLOOKUP($Q78,Resultados!$A$1:$B$49,2,FALSE)</f>
        <v>Prisión Preventiva</v>
      </c>
      <c r="S78" s="7"/>
      <c r="T78" s="68" t="str">
        <f>IF(G78=$J$1,"SI","NO")</f>
        <v>NO</v>
      </c>
      <c r="U78" s="68">
        <f>IF(H78="",0,MONTH(H78))</f>
        <v>3</v>
      </c>
      <c r="V78" s="7" t="str">
        <f ca="1">IF(color_Celda(E78)=12106214,"ROSA",IF(color_Celda(E78)=65535,"AMARILLO",IF(color_Celda(E78)=5296274,"VERDE",IF(color_Celda(E78)=16777215,"BLANCO","NO SE"))))</f>
        <v>ROSA</v>
      </c>
      <c r="W78" s="7"/>
      <c r="X78" s="7"/>
      <c r="Y78" s="7"/>
      <c r="Z78" s="68"/>
      <c r="AA78" s="68"/>
      <c r="AB78" s="68"/>
      <c r="AC78" s="324"/>
    </row>
    <row r="79" spans="1:29" ht="60" customHeight="1" outlineLevel="1">
      <c r="A79" s="7">
        <v>77</v>
      </c>
      <c r="B79" s="19">
        <v>44993</v>
      </c>
      <c r="C79" s="15">
        <v>0.52569444444444446</v>
      </c>
      <c r="D79" s="7" t="s">
        <v>238</v>
      </c>
      <c r="E79" s="40" t="s">
        <v>239</v>
      </c>
      <c r="F79" s="7">
        <v>3</v>
      </c>
      <c r="G79" s="7" t="s">
        <v>34</v>
      </c>
      <c r="H79" s="297">
        <v>45013</v>
      </c>
      <c r="I79" s="7" t="s">
        <v>228</v>
      </c>
      <c r="J79" s="19" t="s">
        <v>78</v>
      </c>
      <c r="K79" s="7">
        <f>IFERROR(VLOOKUP(J79,Jueces!$A$1:$B$11,2,FALSE),"")</f>
        <v>8</v>
      </c>
      <c r="L79" s="7" t="s">
        <v>277</v>
      </c>
      <c r="M79" s="7" t="s">
        <v>278</v>
      </c>
      <c r="N79" s="7" t="s">
        <v>734</v>
      </c>
      <c r="O79" s="47" t="str">
        <f ca="1">IF(H79&lt;&gt;"",IF(H79&lt;=TODAY(),"SI","NO"),"LIMBO")</f>
        <v>SI</v>
      </c>
      <c r="P79" s="47" t="str">
        <f>IF($P$1=H79,"DIASOL", "DIANOSOL")</f>
        <v>DIANOSOL</v>
      </c>
      <c r="Q79" s="7" t="s">
        <v>902</v>
      </c>
      <c r="R79" s="7" t="str">
        <f>VLOOKUP($Q79,Resultados!$A$1:$B$49,2,FALSE)</f>
        <v>Juicio Abreviado</v>
      </c>
      <c r="S79" s="7"/>
      <c r="T79" s="68" t="str">
        <f>IF(G79=$J$1,"SI","NO")</f>
        <v>NO</v>
      </c>
      <c r="U79" s="68">
        <f>IF(H79="",0,MONTH(H79))</f>
        <v>3</v>
      </c>
      <c r="V79" s="7" t="str">
        <f ca="1">IF(color_Celda(E79)=12106214,"ROSA",IF(color_Celda(E79)=65535,"AMARILLO",IF(color_Celda(E79)=5296274,"VERDE",IF(color_Celda(E79)=16777215,"BLANCO","NO SE"))))</f>
        <v>ROSA</v>
      </c>
      <c r="W79" s="7"/>
      <c r="X79" s="7"/>
      <c r="Y79" s="7"/>
      <c r="Z79" s="68"/>
      <c r="AA79" s="68"/>
      <c r="AB79" s="68"/>
      <c r="AC79" s="324"/>
    </row>
    <row r="80" spans="1:29" ht="60" customHeight="1" outlineLevel="1">
      <c r="A80" s="7">
        <v>78</v>
      </c>
      <c r="B80" s="19">
        <v>44995</v>
      </c>
      <c r="C80" s="15">
        <v>0.33333333333333331</v>
      </c>
      <c r="D80" s="7" t="s">
        <v>295</v>
      </c>
      <c r="E80" s="40" t="s">
        <v>297</v>
      </c>
      <c r="F80" s="7">
        <v>4</v>
      </c>
      <c r="G80" s="7" t="s">
        <v>32</v>
      </c>
      <c r="H80" s="297">
        <v>45014</v>
      </c>
      <c r="I80" s="7" t="s">
        <v>73</v>
      </c>
      <c r="J80" s="19" t="s">
        <v>33</v>
      </c>
      <c r="K80" s="7">
        <f>IFERROR(VLOOKUP(J80,Jueces!$A$1:$B$11,2,FALSE),"")</f>
        <v>4</v>
      </c>
      <c r="L80" s="7" t="s">
        <v>142</v>
      </c>
      <c r="M80" s="7" t="s">
        <v>287</v>
      </c>
      <c r="N80" s="7" t="s">
        <v>735</v>
      </c>
      <c r="O80" s="47" t="str">
        <f ca="1">IF(H80&lt;&gt;"",IF(H80&lt;=TODAY(),"SI","NO"),"LIMBO")</f>
        <v>SI</v>
      </c>
      <c r="P80" s="47" t="str">
        <f>IF($P$1=H80,"DIASOL", "DIANOSOL")</f>
        <v>DIANOSOL</v>
      </c>
      <c r="Q80" s="7" t="s">
        <v>902</v>
      </c>
      <c r="R80" s="7" t="str">
        <f>VLOOKUP($Q80,Resultados!$A$1:$B$49,2,FALSE)</f>
        <v>Juicio Abreviado</v>
      </c>
      <c r="S80" s="7"/>
      <c r="T80" s="68" t="str">
        <f>IF(G80=$J$1,"SI","NO")</f>
        <v>NO</v>
      </c>
      <c r="U80" s="68">
        <f>IF(H80="",0,MONTH(H80))</f>
        <v>3</v>
      </c>
      <c r="V80" s="7" t="str">
        <f ca="1">IF(color_Celda(E80)=12106214,"ROSA",IF(color_Celda(E80)=65535,"AMARILLO",IF(color_Celda(E80)=5296274,"VERDE",IF(color_Celda(E80)=16777215,"BLANCO","NO SE"))))</f>
        <v>ROSA</v>
      </c>
      <c r="W80" s="7"/>
      <c r="X80" s="7"/>
      <c r="Y80" s="7"/>
      <c r="Z80" s="68"/>
      <c r="AA80" s="68"/>
      <c r="AB80" s="68"/>
      <c r="AC80" s="324"/>
    </row>
    <row r="81" spans="1:29" ht="60" customHeight="1" outlineLevel="1">
      <c r="A81" s="7">
        <v>79</v>
      </c>
      <c r="B81" s="19">
        <v>44995</v>
      </c>
      <c r="C81" s="7"/>
      <c r="D81" s="7" t="s">
        <v>294</v>
      </c>
      <c r="E81" s="40" t="s">
        <v>296</v>
      </c>
      <c r="F81" s="7">
        <v>4</v>
      </c>
      <c r="G81" s="7" t="s">
        <v>43</v>
      </c>
      <c r="H81" s="297">
        <v>45014</v>
      </c>
      <c r="I81" s="7" t="s">
        <v>76</v>
      </c>
      <c r="J81" s="19" t="s">
        <v>31</v>
      </c>
      <c r="K81" s="7">
        <f>IFERROR(VLOOKUP(J81,Jueces!$A$1:$B$11,2,FALSE),"")</f>
        <v>2</v>
      </c>
      <c r="L81" s="7" t="s">
        <v>303</v>
      </c>
      <c r="M81" s="7" t="s">
        <v>287</v>
      </c>
      <c r="N81" s="7" t="s">
        <v>571</v>
      </c>
      <c r="O81" s="47" t="str">
        <f ca="1">IF(H81&lt;&gt;"",IF(H81&lt;=TODAY(),"SI","NO"),"LIMBO")</f>
        <v>SI</v>
      </c>
      <c r="P81" s="47" t="str">
        <f>IF($P$1=H81,"DIASOL", "DIANOSOL")</f>
        <v>DIANOSOL</v>
      </c>
      <c r="Q81" s="7" t="s">
        <v>902</v>
      </c>
      <c r="R81" s="7" t="str">
        <f>VLOOKUP($Q81,Resultados!$A$1:$B$49,2,FALSE)</f>
        <v>Juicio Abreviado</v>
      </c>
      <c r="S81" s="7"/>
      <c r="T81" s="68" t="str">
        <f>IF(G81=$J$1,"SI","NO")</f>
        <v>NO</v>
      </c>
      <c r="U81" s="68">
        <f>IF(H81="",0,MONTH(H81))</f>
        <v>3</v>
      </c>
      <c r="V81" s="7" t="str">
        <f ca="1">IF(color_Celda(E81)=12106214,"ROSA",IF(color_Celda(E81)=65535,"AMARILLO",IF(color_Celda(E81)=5296274,"VERDE",IF(color_Celda(E81)=16777215,"BLANCO","NO SE"))))</f>
        <v>ROSA</v>
      </c>
      <c r="W81" s="7"/>
      <c r="X81" s="7"/>
      <c r="Y81" s="7"/>
      <c r="Z81" s="68"/>
      <c r="AA81" s="68"/>
      <c r="AB81" s="68"/>
      <c r="AC81" s="324"/>
    </row>
    <row r="82" spans="1:29" ht="60" customHeight="1" outlineLevel="1">
      <c r="A82" s="7">
        <v>80</v>
      </c>
      <c r="B82" s="19">
        <v>44999</v>
      </c>
      <c r="C82" s="15">
        <v>0.33333333333333331</v>
      </c>
      <c r="D82" s="7" t="s">
        <v>342</v>
      </c>
      <c r="E82" s="40" t="s">
        <v>348</v>
      </c>
      <c r="F82" s="7">
        <v>4</v>
      </c>
      <c r="G82" s="7" t="s">
        <v>29</v>
      </c>
      <c r="H82" s="297">
        <v>45014</v>
      </c>
      <c r="I82" s="7" t="s">
        <v>75</v>
      </c>
      <c r="J82" s="19" t="s">
        <v>33</v>
      </c>
      <c r="K82" s="7">
        <f>IFERROR(VLOOKUP(J82,Jueces!$A$1:$B$11,2,FALSE),"")</f>
        <v>4</v>
      </c>
      <c r="L82" s="7" t="s">
        <v>365</v>
      </c>
      <c r="M82" s="7" t="s">
        <v>584</v>
      </c>
      <c r="N82" s="7" t="s">
        <v>598</v>
      </c>
      <c r="O82" s="47" t="str">
        <f ca="1">IF(H82&lt;&gt;"",IF(H82&lt;=TODAY(),"SI","NO"),"LIMBO")</f>
        <v>SI</v>
      </c>
      <c r="P82" s="47" t="str">
        <f>IF($P$1=H82,"DIASOL", "DIANOSOL")</f>
        <v>DIANOSOL</v>
      </c>
      <c r="Q82" s="7" t="s">
        <v>903</v>
      </c>
      <c r="R82" s="7" t="str">
        <f>VLOOKUP($Q82,Resultados!$A$1:$B$49,2,FALSE)</f>
        <v>Juicio Abreviado</v>
      </c>
      <c r="S82" s="7"/>
      <c r="T82" s="68" t="str">
        <f>IF(G82=$J$1,"SI","NO")</f>
        <v>NO</v>
      </c>
      <c r="U82" s="68">
        <f>IF(H82="",0,MONTH(H82))</f>
        <v>3</v>
      </c>
      <c r="V82" s="7" t="str">
        <f ca="1">IF(color_Celda(E82)=12106214,"ROSA",IF(color_Celda(E82)=65535,"AMARILLO",IF(color_Celda(E82)=5296274,"VERDE",IF(color_Celda(E82)=16777215,"BLANCO","NO SE"))))</f>
        <v>ROSA</v>
      </c>
      <c r="W82" s="7"/>
      <c r="X82" s="7"/>
      <c r="Y82" s="7"/>
      <c r="Z82" s="68"/>
      <c r="AA82" s="68"/>
      <c r="AB82" s="68"/>
      <c r="AC82" s="324"/>
    </row>
    <row r="83" spans="1:29" ht="60" customHeight="1" outlineLevel="1">
      <c r="A83" s="7">
        <v>81</v>
      </c>
      <c r="B83" s="19">
        <v>45008</v>
      </c>
      <c r="C83" s="15">
        <v>0.33333333333333331</v>
      </c>
      <c r="D83" s="7" t="s">
        <v>502</v>
      </c>
      <c r="E83" s="40" t="s">
        <v>507</v>
      </c>
      <c r="F83" s="7">
        <v>4</v>
      </c>
      <c r="G83" s="7" t="s">
        <v>283</v>
      </c>
      <c r="H83" s="297">
        <v>45014</v>
      </c>
      <c r="I83" s="7" t="s">
        <v>547</v>
      </c>
      <c r="J83" s="19" t="s">
        <v>33</v>
      </c>
      <c r="K83" s="7">
        <f>IFERROR(VLOOKUP(J83,Jueces!$A$1:$B$11,2,FALSE),"")</f>
        <v>4</v>
      </c>
      <c r="L83" s="7" t="s">
        <v>380</v>
      </c>
      <c r="M83" s="7" t="s">
        <v>363</v>
      </c>
      <c r="N83" s="7" t="s">
        <v>554</v>
      </c>
      <c r="O83" s="47" t="str">
        <f ca="1">IF(H83&lt;&gt;"",IF(H83&lt;=TODAY(),"SI","NO"),"LIMBO")</f>
        <v>SI</v>
      </c>
      <c r="P83" s="47" t="str">
        <f>IF($P$1=H83,"DIASOL", "DIANOSOL")</f>
        <v>DIANOSOL</v>
      </c>
      <c r="Q83" s="7" t="s">
        <v>897</v>
      </c>
      <c r="R83" s="7" t="str">
        <f>VLOOKUP($Q83,Resultados!$A$1:$B$49,2,FALSE)</f>
        <v>Libertad</v>
      </c>
      <c r="S83" s="7"/>
      <c r="T83" s="68" t="str">
        <f>IF(G83=$J$1,"SI","NO")</f>
        <v>NO</v>
      </c>
      <c r="U83" s="68">
        <f>IF(H83="",0,MONTH(H83))</f>
        <v>3</v>
      </c>
      <c r="V83" s="7" t="str">
        <f ca="1">IF(color_Celda(E83)=12106214,"ROSA",IF(color_Celda(E83)=65535,"AMARILLO",IF(color_Celda(E83)=5296274,"VERDE",IF(color_Celda(E83)=16777215,"BLANCO","NO SE"))))</f>
        <v>ROSA</v>
      </c>
      <c r="W83" s="7"/>
      <c r="X83" s="7"/>
      <c r="Y83" s="7"/>
      <c r="Z83" s="68"/>
      <c r="AA83" s="68"/>
      <c r="AB83" s="68"/>
      <c r="AC83" s="324"/>
    </row>
    <row r="84" spans="1:29" ht="60" customHeight="1" outlineLevel="1">
      <c r="A84" s="7">
        <v>82</v>
      </c>
      <c r="B84" s="19">
        <v>45006</v>
      </c>
      <c r="C84" s="15">
        <v>0.375</v>
      </c>
      <c r="D84" s="7" t="s">
        <v>487</v>
      </c>
      <c r="E84" s="40" t="s">
        <v>486</v>
      </c>
      <c r="F84" s="7">
        <v>4</v>
      </c>
      <c r="G84" s="7" t="s">
        <v>1433</v>
      </c>
      <c r="H84" s="297">
        <v>45014</v>
      </c>
      <c r="I84" s="7" t="s">
        <v>228</v>
      </c>
      <c r="J84" s="19" t="s">
        <v>31</v>
      </c>
      <c r="K84" s="7">
        <f>IFERROR(VLOOKUP(J84,Jueces!$A$1:$B$11,2,FALSE),"")</f>
        <v>2</v>
      </c>
      <c r="L84" s="7" t="s">
        <v>512</v>
      </c>
      <c r="M84" s="7" t="s">
        <v>570</v>
      </c>
      <c r="N84" s="7" t="s">
        <v>572</v>
      </c>
      <c r="O84" s="47" t="str">
        <f ca="1">IF(H84&lt;&gt;"",IF(H84&lt;=TODAY(),"SI","NO"),"LIMBO")</f>
        <v>SI</v>
      </c>
      <c r="P84" s="47" t="str">
        <f>IF($P$1=H84,"DIASOL", "DIANOSOL")</f>
        <v>DIANOSOL</v>
      </c>
      <c r="Q84" s="7" t="s">
        <v>151</v>
      </c>
      <c r="R84" s="7" t="str">
        <f>VLOOKUP($Q84,Resultados!$A$1:$B$49,2,FALSE)</f>
        <v>Prisión Preventiva</v>
      </c>
      <c r="S84" s="7"/>
      <c r="T84" s="68" t="str">
        <f>IF(G84=$J$1,"SI","NO")</f>
        <v>NO</v>
      </c>
      <c r="U84" s="68">
        <f>IF(H84="",0,MONTH(H84))</f>
        <v>3</v>
      </c>
      <c r="V84" s="7" t="str">
        <f ca="1">IF(color_Celda(E84)=12106214,"ROSA",IF(color_Celda(E84)=65535,"AMARILLO",IF(color_Celda(E84)=5296274,"VERDE",IF(color_Celda(E84)=16777215,"BLANCO","NO SE"))))</f>
        <v>ROSA</v>
      </c>
      <c r="W84" s="7"/>
      <c r="X84" s="7"/>
      <c r="Y84" s="7"/>
      <c r="Z84" s="68"/>
      <c r="AA84" s="68"/>
      <c r="AB84" s="68"/>
      <c r="AC84" s="324"/>
    </row>
    <row r="85" spans="1:29" ht="60" customHeight="1" outlineLevel="1">
      <c r="A85" s="7">
        <v>83</v>
      </c>
      <c r="B85" s="19">
        <v>44995</v>
      </c>
      <c r="C85" s="15">
        <v>0.47430555555555554</v>
      </c>
      <c r="D85" s="7" t="s">
        <v>305</v>
      </c>
      <c r="E85" s="40" t="s">
        <v>306</v>
      </c>
      <c r="F85" s="7">
        <v>4</v>
      </c>
      <c r="G85" s="7" t="s">
        <v>34</v>
      </c>
      <c r="H85" s="297">
        <v>45014</v>
      </c>
      <c r="I85" s="7" t="s">
        <v>74</v>
      </c>
      <c r="J85" s="19" t="s">
        <v>33</v>
      </c>
      <c r="K85" s="7">
        <f>IFERROR(VLOOKUP(J85,Jueces!$A$1:$B$11,2,FALSE),"")</f>
        <v>4</v>
      </c>
      <c r="L85" s="7" t="s">
        <v>134</v>
      </c>
      <c r="M85" s="7" t="s">
        <v>287</v>
      </c>
      <c r="N85" s="7" t="s">
        <v>585</v>
      </c>
      <c r="O85" s="47" t="str">
        <f ca="1">IF(H85&lt;&gt;"",IF(H85&lt;=TODAY(),"SI","NO"),"LIMBO")</f>
        <v>SI</v>
      </c>
      <c r="P85" s="47" t="str">
        <f>IF($P$1=H85,"DIASOL", "DIANOSOL")</f>
        <v>DIANOSOL</v>
      </c>
      <c r="Q85" s="7" t="s">
        <v>902</v>
      </c>
      <c r="R85" s="7" t="str">
        <f>VLOOKUP($Q85,Resultados!$A$1:$B$49,2,FALSE)</f>
        <v>Juicio Abreviado</v>
      </c>
      <c r="S85" s="7"/>
      <c r="T85" s="68" t="str">
        <f>IF(G85=$J$1,"SI","NO")</f>
        <v>NO</v>
      </c>
      <c r="U85" s="68">
        <f>IF(H85="",0,MONTH(H85))</f>
        <v>3</v>
      </c>
      <c r="V85" s="7" t="str">
        <f ca="1">IF(color_Celda(E85)=12106214,"ROSA",IF(color_Celda(E85)=65535,"AMARILLO",IF(color_Celda(E85)=5296274,"VERDE",IF(color_Celda(E85)=16777215,"BLANCO","NO SE"))))</f>
        <v>ROSA</v>
      </c>
      <c r="W85" s="7"/>
      <c r="X85" s="7"/>
      <c r="Y85" s="7"/>
      <c r="Z85" s="68"/>
      <c r="AA85" s="68"/>
      <c r="AB85" s="68"/>
      <c r="AC85" s="698"/>
    </row>
    <row r="86" spans="1:29" ht="60" customHeight="1" outlineLevel="1">
      <c r="A86" s="7">
        <v>85</v>
      </c>
      <c r="B86" s="19">
        <v>44994</v>
      </c>
      <c r="C86" s="15">
        <v>0.43888888888888888</v>
      </c>
      <c r="D86" s="7" t="s">
        <v>274</v>
      </c>
      <c r="E86" s="40" t="s">
        <v>275</v>
      </c>
      <c r="F86" s="7">
        <v>4</v>
      </c>
      <c r="G86" s="7" t="s">
        <v>34</v>
      </c>
      <c r="H86" s="297">
        <v>45015</v>
      </c>
      <c r="I86" s="7" t="s">
        <v>73</v>
      </c>
      <c r="J86" s="19" t="s">
        <v>78</v>
      </c>
      <c r="K86" s="7">
        <f>IFERROR(VLOOKUP(J86,Jueces!$A$1:$B$11,2,FALSE),"")</f>
        <v>8</v>
      </c>
      <c r="L86" s="7" t="s">
        <v>304</v>
      </c>
      <c r="M86" s="7" t="s">
        <v>285</v>
      </c>
      <c r="N86" s="7" t="s">
        <v>576</v>
      </c>
      <c r="O86" s="47" t="str">
        <f ca="1">IF(H86&lt;&gt;"",IF(H86&lt;=TODAY(),"SI","NO"),"LIMBO")</f>
        <v>SI</v>
      </c>
      <c r="P86" s="47" t="str">
        <f>IF($P$1=H86,"DIASOL", "DIANOSOL")</f>
        <v>DIANOSOL</v>
      </c>
      <c r="Q86" s="7" t="s">
        <v>151</v>
      </c>
      <c r="R86" s="7" t="str">
        <f>VLOOKUP($Q86,Resultados!$A$1:$B$49,2,FALSE)</f>
        <v>Prisión Preventiva</v>
      </c>
      <c r="S86" s="7"/>
      <c r="T86" s="68" t="str">
        <f>IF(G86=$J$1,"SI","NO")</f>
        <v>NO</v>
      </c>
      <c r="U86" s="68">
        <f>IF(H86="",0,MONTH(H86))</f>
        <v>3</v>
      </c>
      <c r="V86" s="7" t="str">
        <f ca="1">IF(color_Celda(E86)=12106214,"ROSA",IF(color_Celda(E86)=65535,"AMARILLO",IF(color_Celda(E86)=5296274,"VERDE",IF(color_Celda(E86)=16777215,"BLANCO","NO SE"))))</f>
        <v>ROSA</v>
      </c>
      <c r="W86" s="7"/>
      <c r="X86" s="7"/>
      <c r="Y86" s="7"/>
      <c r="Z86" s="68"/>
      <c r="AA86" s="68"/>
      <c r="AB86" s="68"/>
      <c r="AC86" s="324"/>
    </row>
    <row r="87" spans="1:29" ht="60" customHeight="1" outlineLevel="1">
      <c r="A87" s="7">
        <v>84</v>
      </c>
      <c r="B87" s="19">
        <v>44998</v>
      </c>
      <c r="C87" s="15">
        <v>0.4375</v>
      </c>
      <c r="D87" s="7" t="s">
        <v>318</v>
      </c>
      <c r="E87" s="40" t="s">
        <v>319</v>
      </c>
      <c r="F87" s="7">
        <v>4</v>
      </c>
      <c r="G87" s="7" t="s">
        <v>1433</v>
      </c>
      <c r="H87" s="297">
        <v>45015</v>
      </c>
      <c r="I87" s="7" t="s">
        <v>73</v>
      </c>
      <c r="J87" s="19" t="s">
        <v>31</v>
      </c>
      <c r="K87" s="7">
        <f>IFERROR(VLOOKUP(J87,Jueces!$A$1:$B$11,2,FALSE),"")</f>
        <v>2</v>
      </c>
      <c r="L87" s="7" t="s">
        <v>303</v>
      </c>
      <c r="M87" s="7" t="s">
        <v>287</v>
      </c>
      <c r="N87" s="7" t="s">
        <v>577</v>
      </c>
      <c r="O87" s="47" t="str">
        <f ca="1">IF(H87&lt;&gt;"",IF(H87&lt;=TODAY(),"SI","NO"),"LIMBO")</f>
        <v>SI</v>
      </c>
      <c r="P87" s="47" t="str">
        <f>IF($P$1=H87,"DIASOL", "DIANOSOL")</f>
        <v>DIANOSOL</v>
      </c>
      <c r="Q87" s="7" t="s">
        <v>151</v>
      </c>
      <c r="R87" s="7" t="str">
        <f>VLOOKUP($Q87,Resultados!$A$1:$B$49,2,FALSE)</f>
        <v>Prisión Preventiva</v>
      </c>
      <c r="S87" s="7"/>
      <c r="T87" s="68" t="str">
        <f>IF(G87=$J$1,"SI","NO")</f>
        <v>NO</v>
      </c>
      <c r="U87" s="68">
        <f>IF(H87="",0,MONTH(H87))</f>
        <v>3</v>
      </c>
      <c r="V87" s="7" t="str">
        <f ca="1">IF(color_Celda(E87)=12106214,"ROSA",IF(color_Celda(E87)=65535,"AMARILLO",IF(color_Celda(E87)=5296274,"VERDE",IF(color_Celda(E87)=16777215,"BLANCO","NO SE"))))</f>
        <v>ROSA</v>
      </c>
      <c r="W87" s="7"/>
      <c r="X87" s="7"/>
      <c r="Y87" s="7"/>
      <c r="Z87" s="68"/>
      <c r="AA87" s="68"/>
      <c r="AB87" s="68"/>
      <c r="AC87" s="698"/>
    </row>
    <row r="88" spans="1:29" ht="60" customHeight="1" outlineLevel="1">
      <c r="A88" s="7">
        <v>86</v>
      </c>
      <c r="B88" s="19">
        <v>44995</v>
      </c>
      <c r="C88" s="15">
        <v>0.48680555555555555</v>
      </c>
      <c r="D88" s="7" t="s">
        <v>308</v>
      </c>
      <c r="E88" s="40" t="s">
        <v>683</v>
      </c>
      <c r="F88" s="7">
        <v>3</v>
      </c>
      <c r="G88" s="7" t="s">
        <v>32</v>
      </c>
      <c r="H88" s="297">
        <v>45016</v>
      </c>
      <c r="I88" s="7" t="s">
        <v>73</v>
      </c>
      <c r="J88" s="19" t="s">
        <v>35</v>
      </c>
      <c r="K88" s="7">
        <f>IFERROR(VLOOKUP(J88,Jueces!$A$1:$B$11,2,FALSE),"")</f>
        <v>3</v>
      </c>
      <c r="L88" s="7" t="s">
        <v>315</v>
      </c>
      <c r="M88" s="7" t="s">
        <v>307</v>
      </c>
      <c r="N88" s="7" t="s">
        <v>589</v>
      </c>
      <c r="O88" s="47" t="str">
        <f ca="1">IF(H88&lt;&gt;"",IF(H88&lt;=TODAY(),"SI","NO"),"LIMBO")</f>
        <v>SI</v>
      </c>
      <c r="P88" s="47" t="str">
        <f>IF($P$1=H88,"DIASOL", "DIANOSOL")</f>
        <v>DIANOSOL</v>
      </c>
      <c r="Q88" s="7" t="s">
        <v>151</v>
      </c>
      <c r="R88" s="7" t="str">
        <f>VLOOKUP($Q88,Resultados!$A$1:$B$49,2,FALSE)</f>
        <v>Prisión Preventiva</v>
      </c>
      <c r="S88" s="7"/>
      <c r="T88" s="68" t="str">
        <f>IF(G88=$J$1,"SI","NO")</f>
        <v>NO</v>
      </c>
      <c r="U88" s="68">
        <f>IF(H88="",0,MONTH(H88))</f>
        <v>3</v>
      </c>
      <c r="V88" s="7" t="str">
        <f ca="1">IF(color_Celda(E88)=12106214,"ROSA",IF(color_Celda(E88)=65535,"AMARILLO",IF(color_Celda(E88)=5296274,"VERDE",IF(color_Celda(E88)=16777215,"BLANCO","NO SE"))))</f>
        <v>ROSA</v>
      </c>
      <c r="W88" s="7"/>
      <c r="X88" s="7"/>
      <c r="Y88" s="7"/>
      <c r="Z88" s="68"/>
      <c r="AA88" s="68"/>
      <c r="AB88" s="68"/>
      <c r="AC88" s="324"/>
    </row>
    <row r="89" spans="1:29" ht="60" customHeight="1" outlineLevel="1">
      <c r="A89" s="7">
        <v>87</v>
      </c>
      <c r="B89" s="19">
        <v>45005</v>
      </c>
      <c r="C89" s="15">
        <v>0.53888888888888886</v>
      </c>
      <c r="D89" s="7" t="s">
        <v>467</v>
      </c>
      <c r="E89" s="40" t="s">
        <v>468</v>
      </c>
      <c r="F89" s="7">
        <v>4</v>
      </c>
      <c r="G89" s="7" t="s">
        <v>43</v>
      </c>
      <c r="H89" s="297">
        <v>45016</v>
      </c>
      <c r="I89" s="7" t="s">
        <v>73</v>
      </c>
      <c r="J89" s="19" t="s">
        <v>33</v>
      </c>
      <c r="K89" s="7">
        <f>IFERROR(VLOOKUP(J89,Jueces!$A$1:$B$11,2,FALSE),"")</f>
        <v>4</v>
      </c>
      <c r="L89" s="7" t="s">
        <v>411</v>
      </c>
      <c r="M89" s="7" t="s">
        <v>287</v>
      </c>
      <c r="N89" s="7" t="s">
        <v>599</v>
      </c>
      <c r="O89" s="47" t="str">
        <f ca="1">IF(H89&lt;&gt;"",IF(H89&lt;=TODAY(),"SI","NO"),"LIMBO")</f>
        <v>SI</v>
      </c>
      <c r="P89" s="47" t="str">
        <f>IF($P$1=H89,"DIASOL", "DIANOSOL")</f>
        <v>DIANOSOL</v>
      </c>
      <c r="Q89" s="7" t="s">
        <v>903</v>
      </c>
      <c r="R89" s="7" t="str">
        <f>VLOOKUP($Q89,Resultados!$A$1:$B$49,2,FALSE)</f>
        <v>Juicio Abreviado</v>
      </c>
      <c r="S89" s="7"/>
      <c r="T89" s="68" t="str">
        <f>IF(G89=$J$1,"SI","NO")</f>
        <v>NO</v>
      </c>
      <c r="U89" s="68">
        <f>IF(H89="",0,MONTH(H89))</f>
        <v>3</v>
      </c>
      <c r="V89" s="7" t="str">
        <f ca="1">IF(color_Celda(E89)=12106214,"ROSA",IF(color_Celda(E89)=65535,"AMARILLO",IF(color_Celda(E89)=5296274,"VERDE",IF(color_Celda(E89)=16777215,"BLANCO","NO SE"))))</f>
        <v>ROSA</v>
      </c>
      <c r="W89" s="7"/>
      <c r="X89" s="7"/>
      <c r="Y89" s="7"/>
      <c r="Z89" s="68"/>
      <c r="AA89" s="68"/>
      <c r="AB89" s="68"/>
      <c r="AC89" s="324"/>
    </row>
    <row r="90" spans="1:29" ht="60" customHeight="1" outlineLevel="1">
      <c r="A90" s="7">
        <v>88</v>
      </c>
      <c r="B90" s="19">
        <v>44998</v>
      </c>
      <c r="C90" s="15">
        <v>0.46319444444444446</v>
      </c>
      <c r="D90" s="7" t="s">
        <v>331</v>
      </c>
      <c r="E90" s="40" t="s">
        <v>332</v>
      </c>
      <c r="F90" s="7">
        <v>4</v>
      </c>
      <c r="G90" s="7" t="s">
        <v>34</v>
      </c>
      <c r="H90" s="297">
        <v>45016</v>
      </c>
      <c r="I90" s="7" t="s">
        <v>76</v>
      </c>
      <c r="J90" s="19" t="s">
        <v>33</v>
      </c>
      <c r="K90" s="7">
        <f>IFERROR(VLOOKUP(J90,Jueces!$A$1:$B$11,2,FALSE),"")</f>
        <v>4</v>
      </c>
      <c r="L90" s="7" t="s">
        <v>303</v>
      </c>
      <c r="M90" s="7" t="s">
        <v>287</v>
      </c>
      <c r="N90" s="7" t="s">
        <v>620</v>
      </c>
      <c r="O90" s="47" t="str">
        <f ca="1">IF(H90&lt;&gt;"",IF(H90&lt;=TODAY(),"SI","NO"),"LIMBO")</f>
        <v>SI</v>
      </c>
      <c r="P90" s="47" t="str">
        <f>IF($P$1=H90,"DIASOL", "DIANOSOL")</f>
        <v>DIANOSOL</v>
      </c>
      <c r="Q90" s="7" t="s">
        <v>907</v>
      </c>
      <c r="R90" s="7" t="str">
        <f>VLOOKUP($Q90,Resultados!$A$1:$B$49,2,FALSE)</f>
        <v>Suspensión de juicio a prueba</v>
      </c>
      <c r="S90" s="7"/>
      <c r="T90" s="68" t="str">
        <f>IF(G90=$J$1,"SI","NO")</f>
        <v>NO</v>
      </c>
      <c r="U90" s="68">
        <f>IF(H90="",0,MONTH(H90))</f>
        <v>3</v>
      </c>
      <c r="V90" s="7" t="str">
        <f ca="1">IF(color_Celda(E90)=12106214,"ROSA",IF(color_Celda(E90)=65535,"AMARILLO",IF(color_Celda(E90)=5296274,"VERDE",IF(color_Celda(E90)=16777215,"BLANCO","NO SE"))))</f>
        <v>ROSA</v>
      </c>
      <c r="W90" s="7"/>
      <c r="X90" s="7"/>
      <c r="Y90" s="7"/>
      <c r="Z90" s="68"/>
      <c r="AA90" s="68"/>
      <c r="AB90" s="68"/>
      <c r="AC90" s="324"/>
    </row>
    <row r="91" spans="1:29" ht="60" customHeight="1" outlineLevel="1">
      <c r="A91" s="7">
        <v>89</v>
      </c>
      <c r="B91" s="19">
        <v>44994</v>
      </c>
      <c r="C91" s="7" t="s">
        <v>251</v>
      </c>
      <c r="D91" s="7" t="s">
        <v>250</v>
      </c>
      <c r="E91" s="40" t="s">
        <v>252</v>
      </c>
      <c r="F91" s="7">
        <v>3</v>
      </c>
      <c r="G91" s="7" t="s">
        <v>29</v>
      </c>
      <c r="H91" s="297">
        <v>45019</v>
      </c>
      <c r="I91" s="7" t="s">
        <v>73</v>
      </c>
      <c r="J91" s="19" t="s">
        <v>35</v>
      </c>
      <c r="K91" s="7">
        <f>IFERROR(VLOOKUP(J91,Jueces!$A$1:$B$11,2,FALSE),"")</f>
        <v>3</v>
      </c>
      <c r="L91" s="7" t="s">
        <v>289</v>
      </c>
      <c r="M91" s="7" t="s">
        <v>273</v>
      </c>
      <c r="N91" s="7" t="s">
        <v>235</v>
      </c>
      <c r="O91" s="47" t="str">
        <f ca="1">IF(H91&lt;&gt;"",IF(H91&lt;=TODAY(),"SI","NO"),"LIMBO")</f>
        <v>SI</v>
      </c>
      <c r="P91" s="47" t="str">
        <f>IF($P$1=H91,"DIASOL", "DIANOSOL")</f>
        <v>DIANOSOL</v>
      </c>
      <c r="Q91" s="7" t="s">
        <v>151</v>
      </c>
      <c r="R91" s="7" t="str">
        <f>VLOOKUP($Q91,Resultados!$A$1:$B$49,2,FALSE)</f>
        <v>Prisión Preventiva</v>
      </c>
      <c r="S91" s="7"/>
      <c r="T91" s="68" t="str">
        <f>IF(G91=$J$1,"SI","NO")</f>
        <v>NO</v>
      </c>
      <c r="U91" s="68">
        <f>IF(H91="",0,MONTH(H91))</f>
        <v>4</v>
      </c>
      <c r="V91" s="7" t="str">
        <f ca="1">IF(color_Celda(E91)=12106214,"ROSA",IF(color_Celda(E91)=65535,"AMARILLO",IF(color_Celda(E91)=5296274,"VERDE",IF(color_Celda(E91)=16777215,"BLANCO","NO SE"))))</f>
        <v>ROSA</v>
      </c>
      <c r="W91" s="7"/>
      <c r="X91" s="7"/>
      <c r="Y91" s="7"/>
      <c r="Z91" s="68"/>
      <c r="AA91" s="68"/>
      <c r="AB91" s="68"/>
      <c r="AC91" s="324"/>
    </row>
    <row r="92" spans="1:29" ht="60" customHeight="1" outlineLevel="1">
      <c r="A92" s="7">
        <v>90</v>
      </c>
      <c r="B92" s="19">
        <v>45000</v>
      </c>
      <c r="C92" s="15">
        <v>0.39444444444444443</v>
      </c>
      <c r="D92" s="7" t="s">
        <v>387</v>
      </c>
      <c r="E92" s="40" t="s">
        <v>390</v>
      </c>
      <c r="F92" s="7">
        <v>4</v>
      </c>
      <c r="G92" s="7" t="s">
        <v>1433</v>
      </c>
      <c r="H92" s="297">
        <v>45019</v>
      </c>
      <c r="I92" s="7" t="s">
        <v>73</v>
      </c>
      <c r="J92" s="19" t="s">
        <v>33</v>
      </c>
      <c r="K92" s="7">
        <f>IFERROR(VLOOKUP(J92,Jueces!$A$1:$B$11,2,FALSE),"")</f>
        <v>4</v>
      </c>
      <c r="L92" s="7" t="s">
        <v>405</v>
      </c>
      <c r="M92" s="7" t="s">
        <v>363</v>
      </c>
      <c r="N92" s="7" t="s">
        <v>235</v>
      </c>
      <c r="O92" s="47" t="str">
        <f ca="1">IF(H92&lt;&gt;"",IF(H92&lt;=TODAY(),"SI","NO"),"LIMBO")</f>
        <v>SI</v>
      </c>
      <c r="P92" s="47" t="str">
        <f>IF($P$1=H92,"DIASOL", "DIANOSOL")</f>
        <v>DIANOSOL</v>
      </c>
      <c r="Q92" s="7" t="s">
        <v>151</v>
      </c>
      <c r="R92" s="7" t="str">
        <f>VLOOKUP($Q92,Resultados!$A$1:$B$49,2,FALSE)</f>
        <v>Prisión Preventiva</v>
      </c>
      <c r="S92" s="7"/>
      <c r="T92" s="68" t="str">
        <f>IF(G92=$J$1,"SI","NO")</f>
        <v>NO</v>
      </c>
      <c r="U92" s="68">
        <f>IF(H92="",0,MONTH(H92))</f>
        <v>4</v>
      </c>
      <c r="V92" s="7" t="str">
        <f ca="1">IF(color_Celda(E92)=12106214,"ROSA",IF(color_Celda(E92)=65535,"AMARILLO",IF(color_Celda(E92)=5296274,"VERDE",IF(color_Celda(E92)=16777215,"BLANCO","NO SE"))))</f>
        <v>ROSA</v>
      </c>
      <c r="W92" s="7"/>
      <c r="X92" s="7"/>
      <c r="Y92" s="7"/>
      <c r="Z92" s="68"/>
      <c r="AA92" s="68"/>
      <c r="AB92" s="68"/>
      <c r="AC92" s="324"/>
    </row>
    <row r="93" spans="1:29" s="8" customFormat="1" ht="60" customHeight="1" outlineLevel="1">
      <c r="A93" s="7">
        <v>91</v>
      </c>
      <c r="B93" s="19">
        <v>44998</v>
      </c>
      <c r="C93" s="15">
        <v>0.4680555555555555</v>
      </c>
      <c r="D93" s="7" t="s">
        <v>471</v>
      </c>
      <c r="E93" s="40" t="s">
        <v>325</v>
      </c>
      <c r="F93" s="7">
        <v>3</v>
      </c>
      <c r="G93" s="7" t="s">
        <v>43</v>
      </c>
      <c r="H93" s="297">
        <v>45019</v>
      </c>
      <c r="I93" s="7" t="s">
        <v>76</v>
      </c>
      <c r="J93" s="19" t="s">
        <v>31</v>
      </c>
      <c r="K93" s="7">
        <f>IFERROR(VLOOKUP(J93,Jueces!$A$1:$B$11,2,FALSE),"")</f>
        <v>2</v>
      </c>
      <c r="L93" s="7" t="s">
        <v>301</v>
      </c>
      <c r="M93" s="7" t="s">
        <v>302</v>
      </c>
      <c r="N93" s="7" t="s">
        <v>605</v>
      </c>
      <c r="O93" s="47" t="str">
        <f ca="1">IF(H93&lt;&gt;"",IF(H93&lt;=TODAY(),"SI","NO"),"LIMBO")</f>
        <v>SI</v>
      </c>
      <c r="P93" s="47" t="str">
        <f>IF($P$1=H93,"DIASOL", "DIANOSOL")</f>
        <v>DIANOSOL</v>
      </c>
      <c r="Q93" s="7" t="s">
        <v>902</v>
      </c>
      <c r="R93" s="7" t="str">
        <f>VLOOKUP($Q93,Resultados!$A$1:$B$49,2,FALSE)</f>
        <v>Juicio Abreviado</v>
      </c>
      <c r="S93" s="7"/>
      <c r="T93" s="68" t="str">
        <f>IF(G93=$J$1,"SI","NO")</f>
        <v>NO</v>
      </c>
      <c r="U93" s="68">
        <f>IF(H93="",0,MONTH(H93))</f>
        <v>4</v>
      </c>
      <c r="V93" s="7" t="str">
        <f ca="1">IF(color_Celda(E93)=12106214,"ROSA",IF(color_Celda(E93)=65535,"AMARILLO",IF(color_Celda(E93)=5296274,"VERDE",IF(color_Celda(E93)=16777215,"BLANCO","NO SE"))))</f>
        <v>ROSA</v>
      </c>
      <c r="W93" s="7"/>
      <c r="X93" s="7"/>
      <c r="Y93" s="7"/>
      <c r="Z93" s="68"/>
      <c r="AA93" s="68"/>
      <c r="AB93" s="68"/>
      <c r="AC93" s="251"/>
    </row>
    <row r="94" spans="1:29" ht="60" customHeight="1" outlineLevel="1">
      <c r="A94" s="7">
        <v>92</v>
      </c>
      <c r="B94" s="19">
        <v>44998</v>
      </c>
      <c r="C94" s="15">
        <v>0.34027777777777773</v>
      </c>
      <c r="D94" s="7" t="s">
        <v>333</v>
      </c>
      <c r="E94" s="40" t="s">
        <v>334</v>
      </c>
      <c r="F94" s="7">
        <v>3</v>
      </c>
      <c r="G94" s="7" t="s">
        <v>283</v>
      </c>
      <c r="H94" s="297">
        <v>45019</v>
      </c>
      <c r="I94" s="7" t="s">
        <v>75</v>
      </c>
      <c r="J94" s="19" t="s">
        <v>31</v>
      </c>
      <c r="K94" s="7">
        <f>IFERROR(VLOOKUP(J94,Jueces!$A$1:$B$11,2,FALSE),"")</f>
        <v>2</v>
      </c>
      <c r="L94" s="7" t="s">
        <v>315</v>
      </c>
      <c r="M94" s="7" t="s">
        <v>586</v>
      </c>
      <c r="N94" s="7" t="s">
        <v>608</v>
      </c>
      <c r="O94" s="47" t="str">
        <f ca="1">IF(H94&lt;&gt;"",IF(H94&lt;=TODAY(),"SI","NO"),"LIMBO")</f>
        <v>SI</v>
      </c>
      <c r="P94" s="47" t="str">
        <f>IF($P$1=H94,"DIASOL", "DIANOSOL")</f>
        <v>DIANOSOL</v>
      </c>
      <c r="Q94" s="7" t="s">
        <v>151</v>
      </c>
      <c r="R94" s="7" t="str">
        <f>VLOOKUP($Q94,Resultados!$A$1:$B$49,2,FALSE)</f>
        <v>Prisión Preventiva</v>
      </c>
      <c r="S94" s="7"/>
      <c r="T94" s="68" t="str">
        <f>IF(G94=$J$1,"SI","NO")</f>
        <v>NO</v>
      </c>
      <c r="U94" s="68">
        <f>IF(H94="",0,MONTH(H94))</f>
        <v>4</v>
      </c>
      <c r="V94" s="7" t="str">
        <f ca="1">IF(color_Celda(E94)=12106214,"ROSA",IF(color_Celda(E94)=65535,"AMARILLO",IF(color_Celda(E94)=5296274,"VERDE",IF(color_Celda(E94)=16777215,"BLANCO","NO SE"))))</f>
        <v>ROSA</v>
      </c>
      <c r="W94" s="7"/>
      <c r="X94" s="7"/>
      <c r="Y94" s="7"/>
      <c r="Z94" s="68"/>
      <c r="AA94" s="68"/>
      <c r="AB94" s="68"/>
      <c r="AC94" s="324"/>
    </row>
    <row r="95" spans="1:29" s="3" customFormat="1" ht="60" customHeight="1" outlineLevel="1">
      <c r="A95" s="7">
        <v>93</v>
      </c>
      <c r="B95" s="19">
        <v>44998</v>
      </c>
      <c r="C95" s="15">
        <v>0.45277777777777778</v>
      </c>
      <c r="D95" s="7" t="s">
        <v>329</v>
      </c>
      <c r="E95" s="40" t="s">
        <v>328</v>
      </c>
      <c r="F95" s="7">
        <v>4</v>
      </c>
      <c r="G95" s="7" t="s">
        <v>34</v>
      </c>
      <c r="H95" s="297">
        <v>45019</v>
      </c>
      <c r="I95" s="7" t="s">
        <v>228</v>
      </c>
      <c r="J95" s="19" t="s">
        <v>33</v>
      </c>
      <c r="K95" s="7">
        <f>IFERROR(VLOOKUP(J95,Jueces!$A$1:$B$11,2,FALSE),"")</f>
        <v>4</v>
      </c>
      <c r="L95" s="7" t="s">
        <v>304</v>
      </c>
      <c r="M95" s="7" t="s">
        <v>287</v>
      </c>
      <c r="N95" s="7" t="s">
        <v>606</v>
      </c>
      <c r="O95" s="47" t="str">
        <f ca="1">IF(H95&lt;&gt;"",IF(H95&lt;=TODAY(),"SI","NO"),"LIMBO")</f>
        <v>SI</v>
      </c>
      <c r="P95" s="47" t="str">
        <f>IF($P$1=H95,"DIASOL", "DIANOSOL")</f>
        <v>DIANOSOL</v>
      </c>
      <c r="Q95" s="7" t="s">
        <v>902</v>
      </c>
      <c r="R95" s="7" t="str">
        <f>VLOOKUP($Q95,Resultados!$A$1:$B$49,2,FALSE)</f>
        <v>Juicio Abreviado</v>
      </c>
      <c r="S95" s="7"/>
      <c r="T95" s="68" t="str">
        <f>IF(G95=$J$1,"SI","NO")</f>
        <v>NO</v>
      </c>
      <c r="U95" s="68">
        <f>IF(H95="",0,MONTH(H95))</f>
        <v>4</v>
      </c>
      <c r="V95" s="7" t="str">
        <f ca="1">IF(color_Celda(E95)=12106214,"ROSA",IF(color_Celda(E95)=65535,"AMARILLO",IF(color_Celda(E95)=5296274,"VERDE",IF(color_Celda(E95)=16777215,"BLANCO","NO SE"))))</f>
        <v>ROSA</v>
      </c>
      <c r="W95" s="7"/>
      <c r="X95" s="7"/>
      <c r="Y95" s="7"/>
      <c r="Z95" s="68"/>
      <c r="AA95" s="68"/>
      <c r="AB95" s="68"/>
      <c r="AC95" s="47"/>
    </row>
    <row r="96" spans="1:29" ht="60" customHeight="1" outlineLevel="1">
      <c r="A96" s="7">
        <v>94</v>
      </c>
      <c r="B96" s="19">
        <v>44999</v>
      </c>
      <c r="C96" s="15">
        <v>0.3527777777777778</v>
      </c>
      <c r="D96" s="7" t="s">
        <v>222</v>
      </c>
      <c r="E96" s="40" t="s">
        <v>223</v>
      </c>
      <c r="F96" s="7">
        <v>4</v>
      </c>
      <c r="G96" s="7" t="s">
        <v>283</v>
      </c>
      <c r="H96" s="297">
        <v>45020</v>
      </c>
      <c r="I96" s="7" t="s">
        <v>73</v>
      </c>
      <c r="J96" s="19" t="s">
        <v>78</v>
      </c>
      <c r="K96" s="7">
        <f>IFERROR(VLOOKUP(J96,Jueces!$A$1:$B$11,2,FALSE),"")</f>
        <v>8</v>
      </c>
      <c r="L96" s="7" t="s">
        <v>249</v>
      </c>
      <c r="M96" s="7" t="s">
        <v>580</v>
      </c>
      <c r="N96" s="7" t="s">
        <v>785</v>
      </c>
      <c r="O96" s="47" t="str">
        <f ca="1">IF(H96&lt;&gt;"",IF(H96&lt;=TODAY(),"SI","NO"),"LIMBO")</f>
        <v>SI</v>
      </c>
      <c r="P96" s="47" t="str">
        <f>IF($P$1=H96,"DIASOL", "DIANOSOL")</f>
        <v>DIANOSOL</v>
      </c>
      <c r="Q96" s="7" t="s">
        <v>151</v>
      </c>
      <c r="R96" s="7" t="str">
        <f>VLOOKUP($Q96,Resultados!$A$1:$B$49,2,FALSE)</f>
        <v>Prisión Preventiva</v>
      </c>
      <c r="S96" s="7"/>
      <c r="T96" s="68" t="str">
        <f>IF(G96=$J$1,"SI","NO")</f>
        <v>NO</v>
      </c>
      <c r="U96" s="68">
        <f>IF(H96="",0,MONTH(H96))</f>
        <v>4</v>
      </c>
      <c r="V96" s="7" t="str">
        <f ca="1">IF(color_Celda(E96)=12106214,"ROSA",IF(color_Celda(E96)=65535,"AMARILLO",IF(color_Celda(E96)=5296274,"VERDE",IF(color_Celda(E96)=16777215,"BLANCO","NO SE"))))</f>
        <v>ROSA</v>
      </c>
      <c r="W96" s="7"/>
      <c r="X96" s="7"/>
      <c r="Y96" s="7"/>
      <c r="Z96" s="68"/>
      <c r="AA96" s="68"/>
      <c r="AB96" s="68"/>
      <c r="AC96" s="324"/>
    </row>
    <row r="97" spans="1:29" ht="60" customHeight="1" outlineLevel="1">
      <c r="A97" s="7">
        <v>95</v>
      </c>
      <c r="B97" s="19">
        <v>44999</v>
      </c>
      <c r="C97" s="15">
        <v>0.33333333333333331</v>
      </c>
      <c r="D97" s="7" t="s">
        <v>340</v>
      </c>
      <c r="E97" s="40" t="s">
        <v>346</v>
      </c>
      <c r="F97" s="7">
        <v>4</v>
      </c>
      <c r="G97" s="7" t="s">
        <v>29</v>
      </c>
      <c r="H97" s="297">
        <v>45020</v>
      </c>
      <c r="I97" s="7" t="s">
        <v>76</v>
      </c>
      <c r="J97" s="19" t="s">
        <v>31</v>
      </c>
      <c r="K97" s="7">
        <f>IFERROR(VLOOKUP(J97,Jueces!$A$1:$B$11,2,FALSE),"")</f>
        <v>2</v>
      </c>
      <c r="L97" s="7" t="s">
        <v>364</v>
      </c>
      <c r="M97" s="7" t="s">
        <v>287</v>
      </c>
      <c r="N97" s="7" t="s">
        <v>611</v>
      </c>
      <c r="O97" s="47" t="str">
        <f ca="1">IF(H97&lt;&gt;"",IF(H97&lt;=TODAY(),"SI","NO"),"LIMBO")</f>
        <v>SI</v>
      </c>
      <c r="P97" s="47" t="str">
        <f>IF($P$1=H97,"DIASOL", "DIANOSOL")</f>
        <v>DIANOSOL</v>
      </c>
      <c r="Q97" s="7" t="s">
        <v>902</v>
      </c>
      <c r="R97" s="7" t="str">
        <f>VLOOKUP($Q97,Resultados!$A$1:$B$49,2,FALSE)</f>
        <v>Juicio Abreviado</v>
      </c>
      <c r="S97" s="7"/>
      <c r="T97" s="68" t="str">
        <f>IF(G97=$J$1,"SI","NO")</f>
        <v>NO</v>
      </c>
      <c r="U97" s="68">
        <f>IF(H97="",0,MONTH(H97))</f>
        <v>4</v>
      </c>
      <c r="V97" s="7" t="str">
        <f ca="1">IF(color_Celda(E97)=12106214,"ROSA",IF(color_Celda(E97)=65535,"AMARILLO",IF(color_Celda(E97)=5296274,"VERDE",IF(color_Celda(E97)=16777215,"BLANCO","NO SE"))))</f>
        <v>ROSA</v>
      </c>
      <c r="W97" s="7"/>
      <c r="X97" s="7"/>
      <c r="Y97" s="7"/>
      <c r="Z97" s="68"/>
      <c r="AA97" s="68"/>
      <c r="AB97" s="68"/>
      <c r="AC97" s="324"/>
    </row>
    <row r="98" spans="1:29" ht="60" customHeight="1" outlineLevel="1">
      <c r="A98" s="7">
        <v>96</v>
      </c>
      <c r="B98" s="19">
        <v>44998</v>
      </c>
      <c r="C98" s="15">
        <v>0.45694444444444443</v>
      </c>
      <c r="D98" s="7" t="s">
        <v>335</v>
      </c>
      <c r="E98" s="40" t="s">
        <v>336</v>
      </c>
      <c r="F98" s="7">
        <v>4</v>
      </c>
      <c r="G98" s="7" t="s">
        <v>1433</v>
      </c>
      <c r="H98" s="297">
        <v>45021</v>
      </c>
      <c r="I98" s="7" t="s">
        <v>73</v>
      </c>
      <c r="J98" s="19" t="s">
        <v>31</v>
      </c>
      <c r="K98" s="7">
        <f>IFERROR(VLOOKUP(J98,Jueces!$A$1:$B$11,2,FALSE),"")</f>
        <v>2</v>
      </c>
      <c r="L98" s="7" t="s">
        <v>134</v>
      </c>
      <c r="M98" s="7" t="s">
        <v>287</v>
      </c>
      <c r="N98" s="7" t="s">
        <v>612</v>
      </c>
      <c r="O98" s="47" t="str">
        <f ca="1">IF(H98&lt;&gt;"",IF(H98&lt;=TODAY(),"SI","NO"),"LIMBO")</f>
        <v>SI</v>
      </c>
      <c r="P98" s="47" t="str">
        <f>IF($P$1=H98,"DIASOL", "DIANOSOL")</f>
        <v>DIANOSOL</v>
      </c>
      <c r="Q98" s="7" t="s">
        <v>897</v>
      </c>
      <c r="R98" s="7" t="str">
        <f>VLOOKUP($Q98,Resultados!$A$1:$B$49,2,FALSE)</f>
        <v>Libertad</v>
      </c>
      <c r="S98" s="7"/>
      <c r="T98" s="68" t="str">
        <f>IF(G98=$J$1,"SI","NO")</f>
        <v>NO</v>
      </c>
      <c r="U98" s="68">
        <f>IF(H98="",0,MONTH(H98))</f>
        <v>4</v>
      </c>
      <c r="V98" s="7" t="str">
        <f ca="1">IF(color_Celda(E98)=12106214,"ROSA",IF(color_Celda(E98)=65535,"AMARILLO",IF(color_Celda(E98)=5296274,"VERDE",IF(color_Celda(E98)=16777215,"BLANCO","NO SE"))))</f>
        <v>ROSA</v>
      </c>
      <c r="W98" s="7"/>
      <c r="X98" s="7"/>
      <c r="Y98" s="7"/>
      <c r="Z98" s="68"/>
      <c r="AA98" s="68"/>
      <c r="AB98" s="68"/>
      <c r="AC98" s="324"/>
    </row>
    <row r="99" spans="1:29" ht="60" customHeight="1" outlineLevel="1">
      <c r="A99" s="7">
        <v>97</v>
      </c>
      <c r="B99" s="19">
        <v>45000</v>
      </c>
      <c r="C99" s="15">
        <v>0.45833333333333331</v>
      </c>
      <c r="D99" s="7" t="s">
        <v>385</v>
      </c>
      <c r="E99" s="40" t="s">
        <v>388</v>
      </c>
      <c r="F99" s="7">
        <v>4</v>
      </c>
      <c r="G99" s="7" t="s">
        <v>34</v>
      </c>
      <c r="H99" s="297">
        <v>45021</v>
      </c>
      <c r="I99" s="7" t="s">
        <v>73</v>
      </c>
      <c r="J99" s="19" t="s">
        <v>78</v>
      </c>
      <c r="K99" s="7">
        <f>IFERROR(VLOOKUP(J99,Jueces!$A$1:$B$11,2,FALSE),"")</f>
        <v>8</v>
      </c>
      <c r="L99" s="7" t="s">
        <v>392</v>
      </c>
      <c r="M99" s="7" t="s">
        <v>377</v>
      </c>
      <c r="N99" s="7" t="s">
        <v>235</v>
      </c>
      <c r="O99" s="47" t="str">
        <f ca="1">IF(H99&lt;&gt;"",IF(H99&lt;=TODAY(),"SI","NO"),"LIMBO")</f>
        <v>SI</v>
      </c>
      <c r="P99" s="47" t="str">
        <f>IF($P$1=H99,"DIASOL", "DIANOSOL")</f>
        <v>DIANOSOL</v>
      </c>
      <c r="Q99" s="7" t="s">
        <v>151</v>
      </c>
      <c r="R99" s="7" t="str">
        <f>VLOOKUP($Q99,Resultados!$A$1:$B$49,2,FALSE)</f>
        <v>Prisión Preventiva</v>
      </c>
      <c r="S99" s="7"/>
      <c r="T99" s="68" t="str">
        <f>IF(G99=$J$1,"SI","NO")</f>
        <v>NO</v>
      </c>
      <c r="U99" s="68">
        <f>IF(H99="",0,MONTH(H99))</f>
        <v>4</v>
      </c>
      <c r="V99" s="7" t="str">
        <f ca="1">IF(color_Celda(E99)=12106214,"ROSA",IF(color_Celda(E99)=65535,"AMARILLO",IF(color_Celda(E99)=5296274,"VERDE",IF(color_Celda(E99)=16777215,"BLANCO","NO SE"))))</f>
        <v>ROSA</v>
      </c>
      <c r="W99" s="7"/>
      <c r="X99" s="7"/>
      <c r="Y99" s="7"/>
      <c r="Z99" s="68"/>
      <c r="AA99" s="68"/>
      <c r="AB99" s="68"/>
      <c r="AC99" s="324"/>
    </row>
    <row r="100" spans="1:29" ht="60" customHeight="1" outlineLevel="1">
      <c r="A100" s="7">
        <v>98</v>
      </c>
      <c r="B100" s="19">
        <v>44999</v>
      </c>
      <c r="C100" s="15">
        <v>0.49027777777777781</v>
      </c>
      <c r="D100" s="7" t="s">
        <v>373</v>
      </c>
      <c r="E100" s="40" t="s">
        <v>374</v>
      </c>
      <c r="F100" s="7">
        <v>4</v>
      </c>
      <c r="G100" s="7" t="s">
        <v>1433</v>
      </c>
      <c r="H100" s="297">
        <v>45021</v>
      </c>
      <c r="I100" s="7" t="s">
        <v>76</v>
      </c>
      <c r="J100" s="19" t="s">
        <v>31</v>
      </c>
      <c r="K100" s="7">
        <f>IFERROR(VLOOKUP(J100,Jueces!$A$1:$B$11,2,FALSE),"")</f>
        <v>2</v>
      </c>
      <c r="L100" s="7" t="s">
        <v>375</v>
      </c>
      <c r="M100" s="7" t="s">
        <v>377</v>
      </c>
      <c r="N100" s="7" t="s">
        <v>613</v>
      </c>
      <c r="O100" s="47" t="str">
        <f ca="1">IF(H100&lt;&gt;"",IF(H100&lt;=TODAY(),"SI","NO"),"LIMBO")</f>
        <v>SI</v>
      </c>
      <c r="P100" s="47" t="str">
        <f>IF($P$1=H100,"DIASOL", "DIANOSOL")</f>
        <v>DIANOSOL</v>
      </c>
      <c r="Q100" s="7" t="s">
        <v>902</v>
      </c>
      <c r="R100" s="7" t="str">
        <f>VLOOKUP($Q100,Resultados!$A$1:$B$49,2,FALSE)</f>
        <v>Juicio Abreviado</v>
      </c>
      <c r="S100" s="7"/>
      <c r="T100" s="68" t="str">
        <f>IF(G100=$J$1,"SI","NO")</f>
        <v>NO</v>
      </c>
      <c r="U100" s="68">
        <f>IF(H100="",0,MONTH(H100))</f>
        <v>4</v>
      </c>
      <c r="V100" s="7" t="str">
        <f ca="1">IF(color_Celda(E100)=12106214,"ROSA",IF(color_Celda(E100)=65535,"AMARILLO",IF(color_Celda(E100)=5296274,"VERDE",IF(color_Celda(E100)=16777215,"BLANCO","NO SE"))))</f>
        <v>ROSA</v>
      </c>
      <c r="W100" s="7"/>
      <c r="X100" s="7"/>
      <c r="Y100" s="7"/>
      <c r="Z100" s="68"/>
      <c r="AA100" s="68"/>
      <c r="AB100" s="68"/>
      <c r="AC100" s="324"/>
    </row>
    <row r="101" spans="1:29" ht="60" customHeight="1" outlineLevel="1">
      <c r="A101" s="7">
        <v>101</v>
      </c>
      <c r="B101" s="19">
        <v>44999</v>
      </c>
      <c r="C101" s="15">
        <v>0.33333333333333331</v>
      </c>
      <c r="D101" s="7" t="s">
        <v>339</v>
      </c>
      <c r="E101" s="40" t="s">
        <v>345</v>
      </c>
      <c r="F101" s="7">
        <v>4</v>
      </c>
      <c r="G101" s="7" t="s">
        <v>29</v>
      </c>
      <c r="H101" s="297">
        <v>45026</v>
      </c>
      <c r="I101" s="7" t="s">
        <v>73</v>
      </c>
      <c r="J101" s="19" t="s">
        <v>35</v>
      </c>
      <c r="K101" s="7">
        <f>IFERROR(VLOOKUP(J101,Jueces!$A$1:$B$11,2,FALSE),"")</f>
        <v>3</v>
      </c>
      <c r="L101" s="7" t="s">
        <v>134</v>
      </c>
      <c r="M101" s="7" t="s">
        <v>363</v>
      </c>
      <c r="N101" s="7" t="s">
        <v>614</v>
      </c>
      <c r="O101" s="47" t="str">
        <f ca="1">IF(H101&lt;&gt;"",IF(H101&lt;=TODAY(),"SI","NO"),"LIMBO")</f>
        <v>SI</v>
      </c>
      <c r="P101" s="47" t="str">
        <f>IF($P$1=H101,"DIASOL", "DIANOSOL")</f>
        <v>DIANOSOL</v>
      </c>
      <c r="Q101" s="7" t="s">
        <v>151</v>
      </c>
      <c r="R101" s="7" t="str">
        <f>VLOOKUP($Q101,Resultados!$A$1:$B$49,2,FALSE)</f>
        <v>Prisión Preventiva</v>
      </c>
      <c r="S101" s="7"/>
      <c r="T101" s="68" t="str">
        <f>IF(G101=$J$1,"SI","NO")</f>
        <v>NO</v>
      </c>
      <c r="U101" s="68">
        <f>IF(H101="",0,MONTH(H101))</f>
        <v>4</v>
      </c>
      <c r="V101" s="7" t="str">
        <f ca="1">IF(color_Celda(E101)=12106214,"ROSA",IF(color_Celda(E101)=65535,"AMARILLO",IF(color_Celda(E101)=5296274,"VERDE",IF(color_Celda(E101)=16777215,"BLANCO","NO SE"))))</f>
        <v>ROSA</v>
      </c>
      <c r="W101" s="7"/>
      <c r="X101" s="7"/>
      <c r="Y101" s="7"/>
      <c r="Z101" s="68"/>
      <c r="AA101" s="68"/>
      <c r="AB101" s="68"/>
      <c r="AC101" s="324"/>
    </row>
    <row r="102" spans="1:29" ht="60" customHeight="1" outlineLevel="1">
      <c r="A102" s="7">
        <v>102</v>
      </c>
      <c r="B102" s="19">
        <v>44999</v>
      </c>
      <c r="C102" s="15">
        <v>0.46875</v>
      </c>
      <c r="D102" s="7" t="s">
        <v>351</v>
      </c>
      <c r="E102" s="40" t="s">
        <v>352</v>
      </c>
      <c r="F102" s="7">
        <v>4</v>
      </c>
      <c r="G102" s="7" t="s">
        <v>283</v>
      </c>
      <c r="H102" s="297">
        <v>45026</v>
      </c>
      <c r="I102" s="7" t="s">
        <v>73</v>
      </c>
      <c r="J102" s="19" t="s">
        <v>33</v>
      </c>
      <c r="K102" s="7">
        <f>IFERROR(VLOOKUP(J102,Jueces!$A$1:$B$11,2,FALSE),"")</f>
        <v>4</v>
      </c>
      <c r="L102" s="7" t="s">
        <v>368</v>
      </c>
      <c r="M102" s="7" t="s">
        <v>287</v>
      </c>
      <c r="N102" s="7" t="s">
        <v>618</v>
      </c>
      <c r="O102" s="47" t="str">
        <f ca="1">IF(H102&lt;&gt;"",IF(H102&lt;=TODAY(),"SI","NO"),"LIMBO")</f>
        <v>SI</v>
      </c>
      <c r="P102" s="47" t="str">
        <f>IF($P$1=H102,"DIASOL", "DIANOSOL")</f>
        <v>DIANOSOL</v>
      </c>
      <c r="Q102" s="7" t="s">
        <v>151</v>
      </c>
      <c r="R102" s="7" t="str">
        <f>VLOOKUP($Q102,Resultados!$A$1:$B$49,2,FALSE)</f>
        <v>Prisión Preventiva</v>
      </c>
      <c r="S102" s="7"/>
      <c r="T102" s="68" t="str">
        <f>IF(G102=$J$1,"SI","NO")</f>
        <v>NO</v>
      </c>
      <c r="U102" s="68">
        <f>IF(H102="",0,MONTH(H102))</f>
        <v>4</v>
      </c>
      <c r="V102" s="7" t="str">
        <f ca="1">IF(color_Celda(E102)=12106214,"ROSA",IF(color_Celda(E102)=65535,"AMARILLO",IF(color_Celda(E102)=5296274,"VERDE",IF(color_Celda(E102)=16777215,"BLANCO","NO SE"))))</f>
        <v>ROSA</v>
      </c>
      <c r="W102" s="7"/>
      <c r="X102" s="7"/>
      <c r="Y102" s="7"/>
      <c r="Z102" s="68"/>
      <c r="AA102" s="68"/>
      <c r="AB102" s="68"/>
      <c r="AC102" s="324"/>
    </row>
    <row r="103" spans="1:29" ht="60" customHeight="1" outlineLevel="1">
      <c r="A103" s="7">
        <v>100</v>
      </c>
      <c r="B103" s="19">
        <v>45001</v>
      </c>
      <c r="C103" s="15">
        <v>0.48819444444444443</v>
      </c>
      <c r="D103" s="7" t="s">
        <v>417</v>
      </c>
      <c r="E103" s="40" t="s">
        <v>443</v>
      </c>
      <c r="F103" s="7">
        <v>4</v>
      </c>
      <c r="G103" s="7" t="s">
        <v>43</v>
      </c>
      <c r="H103" s="297">
        <v>45026</v>
      </c>
      <c r="I103" s="7" t="s">
        <v>73</v>
      </c>
      <c r="J103" s="19" t="s">
        <v>31</v>
      </c>
      <c r="K103" s="7">
        <f>IFERROR(VLOOKUP(J103,Jueces!$A$1:$B$11,2,FALSE),"")</f>
        <v>2</v>
      </c>
      <c r="L103" s="7" t="s">
        <v>313</v>
      </c>
      <c r="M103" s="7" t="s">
        <v>377</v>
      </c>
      <c r="N103" s="7" t="s">
        <v>617</v>
      </c>
      <c r="O103" s="47" t="str">
        <f ca="1">IF(H103&lt;&gt;"",IF(H103&lt;=TODAY(),"SI","NO"),"LIMBO")</f>
        <v>SI</v>
      </c>
      <c r="P103" s="47" t="str">
        <f>IF($P$1=H103,"DIASOL", "DIANOSOL")</f>
        <v>DIANOSOL</v>
      </c>
      <c r="Q103" s="7" t="s">
        <v>645</v>
      </c>
      <c r="R103" s="7" t="str">
        <f>VLOOKUP($Q103,Resultados!$A$1:$B$49,2,FALSE)</f>
        <v>Suspendida</v>
      </c>
      <c r="S103" s="7"/>
      <c r="T103" s="68" t="str">
        <f>IF(G103=$J$1,"SI","NO")</f>
        <v>NO</v>
      </c>
      <c r="U103" s="68">
        <f>IF(H103="",0,MONTH(H103))</f>
        <v>4</v>
      </c>
      <c r="V103" s="7" t="str">
        <f ca="1">IF(color_Celda(E103)=12106214,"ROSA",IF(color_Celda(E103)=65535,"AMARILLO",IF(color_Celda(E103)=5296274,"VERDE",IF(color_Celda(E103)=16777215,"BLANCO","NO SE"))))</f>
        <v>ROSA</v>
      </c>
      <c r="W103" s="7"/>
      <c r="X103" s="7"/>
      <c r="Y103" s="7"/>
      <c r="Z103" s="68"/>
      <c r="AA103" s="68"/>
      <c r="AB103" s="68"/>
      <c r="AC103" s="324"/>
    </row>
    <row r="104" spans="1:29" ht="60" customHeight="1" outlineLevel="1">
      <c r="A104" s="7">
        <v>99</v>
      </c>
      <c r="B104" s="19">
        <v>45007</v>
      </c>
      <c r="C104" s="15">
        <v>0.53888888888888886</v>
      </c>
      <c r="D104" s="7" t="s">
        <v>491</v>
      </c>
      <c r="E104" s="40" t="s">
        <v>490</v>
      </c>
      <c r="F104" s="7">
        <v>4</v>
      </c>
      <c r="G104" s="7" t="s">
        <v>32</v>
      </c>
      <c r="H104" s="297">
        <v>45026</v>
      </c>
      <c r="I104" s="7" t="s">
        <v>73</v>
      </c>
      <c r="J104" s="19" t="s">
        <v>33</v>
      </c>
      <c r="K104" s="7">
        <f>IFERROR(VLOOKUP(J104,Jueces!$A$1:$B$11,2,FALSE),"")</f>
        <v>4</v>
      </c>
      <c r="L104" s="7" t="s">
        <v>528</v>
      </c>
      <c r="M104" s="7" t="s">
        <v>363</v>
      </c>
      <c r="N104" s="7" t="s">
        <v>616</v>
      </c>
      <c r="O104" s="47" t="str">
        <f ca="1">IF(H104&lt;&gt;"",IF(H104&lt;=TODAY(),"SI","NO"),"LIMBO")</f>
        <v>SI</v>
      </c>
      <c r="P104" s="47" t="str">
        <f>IF($P$1=H104,"DIASOL", "DIANOSOL")</f>
        <v>DIANOSOL</v>
      </c>
      <c r="Q104" s="7" t="s">
        <v>903</v>
      </c>
      <c r="R104" s="7" t="str">
        <f>VLOOKUP($Q104,Resultados!$A$1:$B$49,2,FALSE)</f>
        <v>Juicio Abreviado</v>
      </c>
      <c r="S104" s="7"/>
      <c r="T104" s="68" t="str">
        <f>IF(G104=$J$1,"SI","NO")</f>
        <v>NO</v>
      </c>
      <c r="U104" s="68">
        <f>IF(H104="",0,MONTH(H104))</f>
        <v>4</v>
      </c>
      <c r="V104" s="7" t="str">
        <f ca="1">IF(color_Celda(E104)=12106214,"ROSA",IF(color_Celda(E104)=65535,"AMARILLO",IF(color_Celda(E104)=5296274,"VERDE",IF(color_Celda(E104)=16777215,"BLANCO","NO SE"))))</f>
        <v>ROSA</v>
      </c>
      <c r="W104" s="7"/>
      <c r="X104" s="7"/>
      <c r="Y104" s="7"/>
      <c r="Z104" s="68"/>
      <c r="AA104" s="68"/>
      <c r="AB104" s="68"/>
      <c r="AC104" s="324"/>
    </row>
    <row r="105" spans="1:29" ht="60" customHeight="1" outlineLevel="1">
      <c r="A105" s="7">
        <v>103</v>
      </c>
      <c r="B105" s="19">
        <v>44999</v>
      </c>
      <c r="C105" s="15">
        <v>0.59791666666666665</v>
      </c>
      <c r="D105" s="7" t="s">
        <v>386</v>
      </c>
      <c r="E105" s="40" t="s">
        <v>389</v>
      </c>
      <c r="F105" s="7">
        <v>4</v>
      </c>
      <c r="G105" s="7" t="s">
        <v>1433</v>
      </c>
      <c r="H105" s="297">
        <v>45026</v>
      </c>
      <c r="I105" s="7" t="s">
        <v>76</v>
      </c>
      <c r="J105" s="19" t="s">
        <v>78</v>
      </c>
      <c r="K105" s="7">
        <f>IFERROR(VLOOKUP(J105,Jueces!$A$1:$B$11,2,FALSE),"")</f>
        <v>8</v>
      </c>
      <c r="L105" s="7" t="s">
        <v>303</v>
      </c>
      <c r="M105" s="7" t="s">
        <v>363</v>
      </c>
      <c r="N105" s="7" t="s">
        <v>615</v>
      </c>
      <c r="O105" s="47" t="str">
        <f ca="1">IF(H105&lt;&gt;"",IF(H105&lt;=TODAY(),"SI","NO"),"LIMBO")</f>
        <v>SI</v>
      </c>
      <c r="P105" s="47" t="str">
        <f>IF($P$1=H105,"DIASOL", "DIANOSOL")</f>
        <v>DIANOSOL</v>
      </c>
      <c r="Q105" s="7" t="s">
        <v>902</v>
      </c>
      <c r="R105" s="7" t="str">
        <f>VLOOKUP($Q105,Resultados!$A$1:$B$49,2,FALSE)</f>
        <v>Juicio Abreviado</v>
      </c>
      <c r="S105" s="7"/>
      <c r="T105" s="68" t="str">
        <f>IF(G105=$J$1,"SI","NO")</f>
        <v>NO</v>
      </c>
      <c r="U105" s="68">
        <f>IF(H105="",0,MONTH(H105))</f>
        <v>4</v>
      </c>
      <c r="V105" s="7" t="str">
        <f ca="1">IF(color_Celda(E105)=12106214,"ROSA",IF(color_Celda(E105)=65535,"AMARILLO",IF(color_Celda(E105)=5296274,"VERDE",IF(color_Celda(E105)=16777215,"BLANCO","NO SE"))))</f>
        <v>ROSA</v>
      </c>
      <c r="W105" s="7"/>
      <c r="X105" s="7"/>
      <c r="Y105" s="7"/>
      <c r="Z105" s="68"/>
      <c r="AA105" s="68"/>
      <c r="AB105" s="68"/>
      <c r="AC105" s="324"/>
    </row>
    <row r="106" spans="1:29" ht="60" customHeight="1" outlineLevel="1">
      <c r="A106" s="7">
        <v>104</v>
      </c>
      <c r="B106" s="19">
        <v>45000</v>
      </c>
      <c r="C106" s="15">
        <v>0.33333333333333331</v>
      </c>
      <c r="D106" s="7" t="s">
        <v>446</v>
      </c>
      <c r="E106" s="40" t="s">
        <v>588</v>
      </c>
      <c r="F106" s="7">
        <v>4</v>
      </c>
      <c r="G106" s="7" t="s">
        <v>34</v>
      </c>
      <c r="H106" s="297">
        <v>45026</v>
      </c>
      <c r="I106" s="7" t="s">
        <v>76</v>
      </c>
      <c r="J106" s="19" t="s">
        <v>35</v>
      </c>
      <c r="K106" s="7">
        <f>IFERROR(VLOOKUP(J106,Jueces!$A$1:$B$11,2,FALSE),"")</f>
        <v>3</v>
      </c>
      <c r="L106" s="7" t="s">
        <v>326</v>
      </c>
      <c r="M106" s="7" t="s">
        <v>377</v>
      </c>
      <c r="N106" s="7" t="s">
        <v>621</v>
      </c>
      <c r="O106" s="47" t="str">
        <f ca="1">IF(H106&lt;&gt;"",IF(H106&lt;=TODAY(),"SI","NO"),"LIMBO")</f>
        <v>SI</v>
      </c>
      <c r="P106" s="47" t="str">
        <f>IF($P$1=H106,"DIASOL", "DIANOSOL")</f>
        <v>DIANOSOL</v>
      </c>
      <c r="Q106" s="7" t="s">
        <v>151</v>
      </c>
      <c r="R106" s="7" t="str">
        <f>VLOOKUP($Q106,Resultados!$A$1:$B$49,2,FALSE)</f>
        <v>Prisión Preventiva</v>
      </c>
      <c r="S106" s="7"/>
      <c r="T106" s="68" t="str">
        <f>IF(G106=$J$1,"SI","NO")</f>
        <v>NO</v>
      </c>
      <c r="U106" s="68">
        <f>IF(H106="",0,MONTH(H106))</f>
        <v>4</v>
      </c>
      <c r="V106" s="7" t="str">
        <f ca="1">IF(color_Celda(E106)=12106214,"ROSA",IF(color_Celda(E106)=65535,"AMARILLO",IF(color_Celda(E106)=5296274,"VERDE",IF(color_Celda(E106)=16777215,"BLANCO","NO SE"))))</f>
        <v>ROSA</v>
      </c>
      <c r="W106" s="7"/>
      <c r="X106" s="7"/>
      <c r="Y106" s="7"/>
      <c r="Z106" s="68"/>
      <c r="AA106" s="68"/>
      <c r="AB106" s="68"/>
      <c r="AC106" s="324"/>
    </row>
    <row r="107" spans="1:29" ht="60" customHeight="1" outlineLevel="1">
      <c r="A107" s="7">
        <v>106</v>
      </c>
      <c r="B107" s="19">
        <v>44999</v>
      </c>
      <c r="C107" s="15">
        <v>0.33333333333333331</v>
      </c>
      <c r="D107" s="7" t="s">
        <v>343</v>
      </c>
      <c r="E107" s="40" t="s">
        <v>349</v>
      </c>
      <c r="F107" s="7">
        <v>4</v>
      </c>
      <c r="G107" s="7" t="s">
        <v>43</v>
      </c>
      <c r="H107" s="297">
        <v>45027</v>
      </c>
      <c r="I107" s="7" t="s">
        <v>73</v>
      </c>
      <c r="J107" s="19" t="s">
        <v>31</v>
      </c>
      <c r="K107" s="7">
        <f>IFERROR(VLOOKUP(J107,Jueces!$A$1:$B$11,2,FALSE),"")</f>
        <v>2</v>
      </c>
      <c r="L107" s="7" t="s">
        <v>366</v>
      </c>
      <c r="M107" s="7" t="s">
        <v>287</v>
      </c>
      <c r="N107" s="7" t="s">
        <v>630</v>
      </c>
      <c r="O107" s="47" t="str">
        <f ca="1">IF(H107&lt;&gt;"",IF(H107&lt;=TODAY(),"SI","NO"),"LIMBO")</f>
        <v>SI</v>
      </c>
      <c r="P107" s="47" t="str">
        <f>IF($P$1=H107,"DIASOL", "DIANOSOL")</f>
        <v>DIANOSOL</v>
      </c>
      <c r="Q107" s="7" t="s">
        <v>902</v>
      </c>
      <c r="R107" s="7" t="str">
        <f>VLOOKUP($Q107,Resultados!$A$1:$B$49,2,FALSE)</f>
        <v>Juicio Abreviado</v>
      </c>
      <c r="S107" s="7"/>
      <c r="T107" s="68" t="str">
        <f>IF(G107=$J$1,"SI","NO")</f>
        <v>NO</v>
      </c>
      <c r="U107" s="68">
        <f>IF(H107="",0,MONTH(H107))</f>
        <v>4</v>
      </c>
      <c r="V107" s="7" t="str">
        <f ca="1">IF(color_Celda(E107)=12106214,"ROSA",IF(color_Celda(E107)=65535,"AMARILLO",IF(color_Celda(E107)=5296274,"VERDE",IF(color_Celda(E107)=16777215,"BLANCO","NO SE"))))</f>
        <v>ROSA</v>
      </c>
      <c r="W107" s="7"/>
      <c r="X107" s="7"/>
      <c r="Y107" s="7"/>
      <c r="Z107" s="68"/>
      <c r="AA107" s="68"/>
      <c r="AB107" s="68"/>
      <c r="AC107" s="324"/>
    </row>
    <row r="108" spans="1:29" ht="60" customHeight="1" outlineLevel="1">
      <c r="A108" s="7">
        <v>107</v>
      </c>
      <c r="B108" s="19">
        <v>45000</v>
      </c>
      <c r="C108" s="15">
        <v>0.53749999999999998</v>
      </c>
      <c r="D108" s="7" t="s">
        <v>395</v>
      </c>
      <c r="E108" s="40" t="s">
        <v>396</v>
      </c>
      <c r="F108" s="7">
        <v>4</v>
      </c>
      <c r="G108" s="7" t="s">
        <v>34</v>
      </c>
      <c r="H108" s="297">
        <v>45027</v>
      </c>
      <c r="I108" s="7" t="s">
        <v>73</v>
      </c>
      <c r="J108" s="19" t="s">
        <v>78</v>
      </c>
      <c r="K108" s="7">
        <f>IFERROR(VLOOKUP(J108,Jueces!$A$1:$B$11,2,FALSE),"")</f>
        <v>8</v>
      </c>
      <c r="L108" s="7" t="s">
        <v>401</v>
      </c>
      <c r="M108" s="7" t="s">
        <v>363</v>
      </c>
      <c r="N108" s="7" t="s">
        <v>622</v>
      </c>
      <c r="O108" s="47" t="str">
        <f ca="1">IF(H108&lt;&gt;"",IF(H108&lt;=TODAY(),"SI","NO"),"LIMBO")</f>
        <v>SI</v>
      </c>
      <c r="P108" s="47" t="str">
        <f>IF($P$1=H108,"DIASOL", "DIANOSOL")</f>
        <v>DIANOSOL</v>
      </c>
      <c r="Q108" s="7" t="s">
        <v>902</v>
      </c>
      <c r="R108" s="7" t="str">
        <f>VLOOKUP($Q108,Resultados!$A$1:$B$49,2,FALSE)</f>
        <v>Juicio Abreviado</v>
      </c>
      <c r="S108" s="7"/>
      <c r="T108" s="68" t="str">
        <f>IF(G108=$J$1,"SI","NO")</f>
        <v>NO</v>
      </c>
      <c r="U108" s="68">
        <f>IF(H108="",0,MONTH(H108))</f>
        <v>4</v>
      </c>
      <c r="V108" s="7" t="str">
        <f ca="1">IF(color_Celda(E108)=12106214,"ROSA",IF(color_Celda(E108)=65535,"AMARILLO",IF(color_Celda(E108)=5296274,"VERDE",IF(color_Celda(E108)=16777215,"BLANCO","NO SE"))))</f>
        <v>ROSA</v>
      </c>
      <c r="W108" s="7"/>
      <c r="X108" s="7"/>
      <c r="Y108" s="7"/>
      <c r="Z108" s="68"/>
      <c r="AA108" s="68"/>
      <c r="AB108" s="68"/>
      <c r="AC108" s="324"/>
    </row>
    <row r="109" spans="1:29" ht="60" customHeight="1" outlineLevel="1">
      <c r="A109" s="7">
        <v>105</v>
      </c>
      <c r="B109" s="19">
        <v>45001</v>
      </c>
      <c r="C109" s="15">
        <v>0.50416666666666665</v>
      </c>
      <c r="D109" s="7" t="s">
        <v>341</v>
      </c>
      <c r="E109" s="40" t="s">
        <v>347</v>
      </c>
      <c r="F109" s="7">
        <v>4</v>
      </c>
      <c r="G109" s="7" t="s">
        <v>32</v>
      </c>
      <c r="H109" s="297">
        <v>45027</v>
      </c>
      <c r="I109" s="7" t="s">
        <v>73</v>
      </c>
      <c r="J109" s="19" t="s">
        <v>35</v>
      </c>
      <c r="K109" s="7">
        <f>IFERROR(VLOOKUP(J109,Jueces!$A$1:$B$11,2,FALSE),"")</f>
        <v>3</v>
      </c>
      <c r="L109" s="7" t="s">
        <v>289</v>
      </c>
      <c r="M109" s="7" t="s">
        <v>307</v>
      </c>
      <c r="N109" s="7" t="s">
        <v>621</v>
      </c>
      <c r="O109" s="47" t="str">
        <f ca="1">IF(H109&lt;&gt;"",IF(H109&lt;=TODAY(),"SI","NO"),"LIMBO")</f>
        <v>SI</v>
      </c>
      <c r="P109" s="47" t="str">
        <f>IF($P$1=H109,"DIASOL", "DIANOSOL")</f>
        <v>DIANOSOL</v>
      </c>
      <c r="Q109" s="7" t="s">
        <v>151</v>
      </c>
      <c r="R109" s="7" t="str">
        <f>VLOOKUP($Q109,Resultados!$A$1:$B$49,2,FALSE)</f>
        <v>Prisión Preventiva</v>
      </c>
      <c r="S109" s="7"/>
      <c r="T109" s="68" t="str">
        <f>IF(G109=$J$1,"SI","NO")</f>
        <v>NO</v>
      </c>
      <c r="U109" s="68">
        <f>IF(H109="",0,MONTH(H109))</f>
        <v>4</v>
      </c>
      <c r="V109" s="7" t="str">
        <f ca="1">IF(color_Celda(E109)=12106214,"ROSA",IF(color_Celda(E109)=65535,"AMARILLO",IF(color_Celda(E109)=5296274,"VERDE",IF(color_Celda(E109)=16777215,"BLANCO","NO SE"))))</f>
        <v>ROSA</v>
      </c>
      <c r="W109" s="7"/>
      <c r="X109" s="7"/>
      <c r="Y109" s="7"/>
      <c r="Z109" s="68"/>
      <c r="AA109" s="68"/>
      <c r="AB109" s="68"/>
      <c r="AC109" s="324"/>
    </row>
    <row r="110" spans="1:29" ht="60" customHeight="1" outlineLevel="1">
      <c r="A110" s="7">
        <v>110</v>
      </c>
      <c r="B110" s="19">
        <v>44999</v>
      </c>
      <c r="C110" s="15">
        <v>0.52847222222222223</v>
      </c>
      <c r="D110" s="7" t="s">
        <v>378</v>
      </c>
      <c r="E110" s="40" t="s">
        <v>376</v>
      </c>
      <c r="F110" s="7">
        <v>4</v>
      </c>
      <c r="G110" s="7" t="s">
        <v>32</v>
      </c>
      <c r="H110" s="297">
        <v>45028</v>
      </c>
      <c r="I110" s="7" t="s">
        <v>73</v>
      </c>
      <c r="J110" s="19" t="s">
        <v>33</v>
      </c>
      <c r="K110" s="7">
        <f>IFERROR(VLOOKUP(J110,Jueces!$A$1:$B$11,2,FALSE),"")</f>
        <v>4</v>
      </c>
      <c r="L110" s="7" t="s">
        <v>313</v>
      </c>
      <c r="M110" s="7" t="s">
        <v>287</v>
      </c>
      <c r="N110" s="7" t="s">
        <v>626</v>
      </c>
      <c r="O110" s="47" t="str">
        <f ca="1">IF(H110&lt;&gt;"",IF(H110&lt;=TODAY(),"SI","NO"),"LIMBO")</f>
        <v>SI</v>
      </c>
      <c r="P110" s="47" t="str">
        <f>IF($P$1=H110,"DIASOL", "DIANOSOL")</f>
        <v>DIANOSOL</v>
      </c>
      <c r="Q110" s="7" t="s">
        <v>903</v>
      </c>
      <c r="R110" s="7" t="str">
        <f>VLOOKUP($Q110,Resultados!$A$1:$B$49,2,FALSE)</f>
        <v>Juicio Abreviado</v>
      </c>
      <c r="S110" s="7"/>
      <c r="T110" s="68" t="str">
        <f>IF(G110=$J$1,"SI","NO")</f>
        <v>NO</v>
      </c>
      <c r="U110" s="68">
        <f>IF(H110="",0,MONTH(H110))</f>
        <v>4</v>
      </c>
      <c r="V110" s="7" t="str">
        <f ca="1">IF(color_Celda(E110)=12106214,"ROSA",IF(color_Celda(E110)=65535,"AMARILLO",IF(color_Celda(E110)=5296274,"VERDE",IF(color_Celda(E110)=16777215,"BLANCO","NO SE"))))</f>
        <v>ROSA</v>
      </c>
      <c r="W110" s="7"/>
      <c r="X110" s="7"/>
      <c r="Y110" s="7"/>
      <c r="Z110" s="68"/>
      <c r="AA110" s="68"/>
      <c r="AB110" s="68"/>
      <c r="AC110" s="324"/>
    </row>
    <row r="111" spans="1:29" ht="60" customHeight="1" outlineLevel="1">
      <c r="A111" s="7">
        <v>109</v>
      </c>
      <c r="B111" s="19">
        <v>45001</v>
      </c>
      <c r="C111" s="15">
        <v>0.41666666666666669</v>
      </c>
      <c r="D111" s="7" t="s">
        <v>544</v>
      </c>
      <c r="E111" s="40" t="s">
        <v>538</v>
      </c>
      <c r="F111" s="7">
        <v>4</v>
      </c>
      <c r="G111" s="7" t="s">
        <v>1433</v>
      </c>
      <c r="H111" s="297">
        <v>45028</v>
      </c>
      <c r="I111" s="7" t="s">
        <v>73</v>
      </c>
      <c r="J111" s="19" t="s">
        <v>35</v>
      </c>
      <c r="K111" s="7">
        <f>IFERROR(VLOOKUP(J111,Jueces!$A$1:$B$11,2,FALSE),"")</f>
        <v>3</v>
      </c>
      <c r="L111" s="7" t="s">
        <v>142</v>
      </c>
      <c r="M111" s="7" t="s">
        <v>363</v>
      </c>
      <c r="N111" s="7" t="s">
        <v>625</v>
      </c>
      <c r="O111" s="47" t="str">
        <f ca="1">IF(H111&lt;&gt;"",IF(H111&lt;=TODAY(),"SI","NO"),"LIMBO")</f>
        <v>SI</v>
      </c>
      <c r="P111" s="47" t="str">
        <f>IF($P$1=H111,"DIASOL", "DIANOSOL")</f>
        <v>DIANOSOL</v>
      </c>
      <c r="Q111" s="7" t="s">
        <v>903</v>
      </c>
      <c r="R111" s="7" t="str">
        <f>VLOOKUP($Q111,Resultados!$A$1:$B$49,2,FALSE)</f>
        <v>Juicio Abreviado</v>
      </c>
      <c r="S111" s="7"/>
      <c r="T111" s="68" t="str">
        <f>IF(G111=$J$1,"SI","NO")</f>
        <v>NO</v>
      </c>
      <c r="U111" s="68">
        <f>IF(H111="",0,MONTH(H111))</f>
        <v>4</v>
      </c>
      <c r="V111" s="7" t="str">
        <f ca="1">IF(color_Celda(E111)=12106214,"ROSA",IF(color_Celda(E111)=65535,"AMARILLO",IF(color_Celda(E111)=5296274,"VERDE",IF(color_Celda(E111)=16777215,"BLANCO","NO SE"))))</f>
        <v>ROSA</v>
      </c>
      <c r="W111" s="7"/>
      <c r="X111" s="7"/>
      <c r="Y111" s="7"/>
      <c r="Z111" s="68"/>
      <c r="AA111" s="68"/>
      <c r="AB111" s="68"/>
      <c r="AC111" s="324"/>
    </row>
    <row r="112" spans="1:29" ht="60" customHeight="1" outlineLevel="1">
      <c r="A112" s="7">
        <v>111</v>
      </c>
      <c r="B112" s="19">
        <v>45001</v>
      </c>
      <c r="C112" s="15">
        <v>0.44097222222222227</v>
      </c>
      <c r="D112" s="7" t="s">
        <v>408</v>
      </c>
      <c r="E112" s="40" t="s">
        <v>404</v>
      </c>
      <c r="F112" s="7">
        <v>4</v>
      </c>
      <c r="G112" s="7" t="s">
        <v>29</v>
      </c>
      <c r="H112" s="297">
        <v>45028</v>
      </c>
      <c r="I112" s="7" t="s">
        <v>73</v>
      </c>
      <c r="J112" s="19" t="s">
        <v>78</v>
      </c>
      <c r="K112" s="7">
        <f>IFERROR(VLOOKUP(J112,Jueces!$A$1:$B$11,2,FALSE),"")</f>
        <v>8</v>
      </c>
      <c r="L112" s="7" t="s">
        <v>406</v>
      </c>
      <c r="M112" s="7" t="s">
        <v>407</v>
      </c>
      <c r="N112" s="7" t="s">
        <v>624</v>
      </c>
      <c r="O112" s="47" t="str">
        <f ca="1">IF(H112&lt;&gt;"",IF(H112&lt;=TODAY(),"SI","NO"),"LIMBO")</f>
        <v>SI</v>
      </c>
      <c r="P112" s="47" t="str">
        <f>IF($P$1=H112,"DIASOL", "DIANOSOL")</f>
        <v>DIANOSOL</v>
      </c>
      <c r="Q112" s="7" t="s">
        <v>902</v>
      </c>
      <c r="R112" s="7" t="str">
        <f>VLOOKUP($Q112,Resultados!$A$1:$B$49,2,FALSE)</f>
        <v>Juicio Abreviado</v>
      </c>
      <c r="S112" s="7"/>
      <c r="T112" s="68" t="str">
        <f>IF(G112=$J$1,"SI","NO")</f>
        <v>NO</v>
      </c>
      <c r="U112" s="68">
        <f>IF(H112="",0,MONTH(H112))</f>
        <v>4</v>
      </c>
      <c r="V112" s="7" t="str">
        <f ca="1">IF(color_Celda(E112)=12106214,"ROSA",IF(color_Celda(E112)=65535,"AMARILLO",IF(color_Celda(E112)=5296274,"VERDE",IF(color_Celda(E112)=16777215,"BLANCO","NO SE"))))</f>
        <v>ROSA</v>
      </c>
      <c r="W112" s="7"/>
      <c r="X112" s="7"/>
      <c r="Y112" s="7"/>
      <c r="Z112" s="68"/>
      <c r="AA112" s="68"/>
      <c r="AB112" s="68"/>
      <c r="AC112" s="324"/>
    </row>
    <row r="113" spans="1:29" ht="60" customHeight="1" outlineLevel="1">
      <c r="A113" s="7">
        <v>108</v>
      </c>
      <c r="B113" s="19">
        <v>45016</v>
      </c>
      <c r="C113" s="15">
        <v>0.5</v>
      </c>
      <c r="D113" s="7" t="s">
        <v>604</v>
      </c>
      <c r="E113" s="40" t="s">
        <v>603</v>
      </c>
      <c r="F113" s="7">
        <v>4</v>
      </c>
      <c r="G113" s="7" t="s">
        <v>568</v>
      </c>
      <c r="H113" s="297">
        <v>45028</v>
      </c>
      <c r="I113" s="7" t="s">
        <v>73</v>
      </c>
      <c r="J113" s="19" t="s">
        <v>35</v>
      </c>
      <c r="K113" s="7">
        <f>IFERROR(VLOOKUP(J113,Jueces!$A$1:$B$11,2,FALSE),"")</f>
        <v>3</v>
      </c>
      <c r="L113" s="7" t="s">
        <v>413</v>
      </c>
      <c r="M113" s="7" t="s">
        <v>602</v>
      </c>
      <c r="N113" s="7" t="s">
        <v>629</v>
      </c>
      <c r="O113" s="47" t="str">
        <f ca="1">IF(H113&lt;&gt;"",IF(H113&lt;=TODAY(),"SI","NO"),"LIMBO")</f>
        <v>SI</v>
      </c>
      <c r="P113" s="47" t="str">
        <f>IF($P$1=H113,"DIASOL", "DIANOSOL")</f>
        <v>DIANOSOL</v>
      </c>
      <c r="Q113" s="7" t="s">
        <v>902</v>
      </c>
      <c r="R113" s="7" t="str">
        <f>VLOOKUP($Q113,Resultados!$A$1:$B$49,2,FALSE)</f>
        <v>Juicio Abreviado</v>
      </c>
      <c r="S113" s="7"/>
      <c r="T113" s="68" t="str">
        <f>IF(G113=$J$1,"SI","NO")</f>
        <v>NO</v>
      </c>
      <c r="U113" s="68">
        <f>IF(H113="",0,MONTH(H113))</f>
        <v>4</v>
      </c>
      <c r="V113" s="7" t="str">
        <f ca="1">IF(color_Celda(E113)=12106214,"ROSA",IF(color_Celda(E113)=65535,"AMARILLO",IF(color_Celda(E113)=5296274,"VERDE",IF(color_Celda(E113)=16777215,"BLANCO","NO SE"))))</f>
        <v>ROSA</v>
      </c>
      <c r="W113" s="7"/>
      <c r="X113" s="7"/>
      <c r="Y113" s="7"/>
      <c r="Z113" s="68"/>
      <c r="AA113" s="68"/>
      <c r="AB113" s="68"/>
      <c r="AC113" s="324"/>
    </row>
    <row r="114" spans="1:29" ht="60" customHeight="1" outlineLevel="1">
      <c r="A114" s="7">
        <v>113</v>
      </c>
      <c r="B114" s="19">
        <v>44998</v>
      </c>
      <c r="C114" s="15">
        <v>0.40069444444444446</v>
      </c>
      <c r="D114" s="7" t="s">
        <v>323</v>
      </c>
      <c r="E114" s="40" t="s">
        <v>633</v>
      </c>
      <c r="F114" s="7">
        <v>4</v>
      </c>
      <c r="G114" s="7" t="s">
        <v>43</v>
      </c>
      <c r="H114" s="297">
        <v>45029</v>
      </c>
      <c r="I114" s="7" t="s">
        <v>73</v>
      </c>
      <c r="J114" s="19" t="s">
        <v>31</v>
      </c>
      <c r="K114" s="7">
        <f>IFERROR(VLOOKUP(J114,Jueces!$A$1:$B$11,2,FALSE),"")</f>
        <v>2</v>
      </c>
      <c r="L114" s="7" t="s">
        <v>330</v>
      </c>
      <c r="M114" s="7" t="s">
        <v>287</v>
      </c>
      <c r="N114" s="7" t="s">
        <v>632</v>
      </c>
      <c r="O114" s="47" t="str">
        <f ca="1">IF(H114&lt;&gt;"",IF(H114&lt;=TODAY(),"SI","NO"),"LIMBO")</f>
        <v>SI</v>
      </c>
      <c r="P114" s="47" t="str">
        <f>IF($P$1=H114,"DIASOL", "DIANOSOL")</f>
        <v>DIANOSOL</v>
      </c>
      <c r="Q114" s="7" t="s">
        <v>903</v>
      </c>
      <c r="R114" s="7" t="str">
        <f>VLOOKUP($Q114,Resultados!$A$1:$B$49,2,FALSE)</f>
        <v>Juicio Abreviado</v>
      </c>
      <c r="S114" s="7"/>
      <c r="T114" s="68" t="str">
        <f>IF(G114=$J$1,"SI","NO")</f>
        <v>NO</v>
      </c>
      <c r="U114" s="68">
        <f>IF(H114="",0,MONTH(H114))</f>
        <v>4</v>
      </c>
      <c r="V114" s="7" t="str">
        <f ca="1">IF(color_Celda(E114)=12106214,"ROSA",IF(color_Celda(E114)=65535,"AMARILLO",IF(color_Celda(E114)=5296274,"VERDE",IF(color_Celda(E114)=16777215,"BLANCO","NO SE"))))</f>
        <v>ROSA</v>
      </c>
      <c r="W114" s="7"/>
      <c r="X114" s="7"/>
      <c r="Y114" s="7"/>
      <c r="Z114" s="68"/>
      <c r="AA114" s="68"/>
      <c r="AB114" s="68"/>
      <c r="AC114" s="324"/>
    </row>
    <row r="115" spans="1:29" ht="60" customHeight="1" outlineLevel="1">
      <c r="A115" s="7">
        <v>112</v>
      </c>
      <c r="B115" s="19">
        <v>45001</v>
      </c>
      <c r="C115" s="15">
        <v>0.43958333333333338</v>
      </c>
      <c r="D115" s="7" t="s">
        <v>402</v>
      </c>
      <c r="E115" s="40" t="s">
        <v>403</v>
      </c>
      <c r="F115" s="7">
        <v>4</v>
      </c>
      <c r="G115" s="7" t="s">
        <v>32</v>
      </c>
      <c r="H115" s="297">
        <v>45029</v>
      </c>
      <c r="I115" s="7" t="s">
        <v>73</v>
      </c>
      <c r="J115" s="19" t="s">
        <v>35</v>
      </c>
      <c r="K115" s="7">
        <f>IFERROR(VLOOKUP(J115,Jueces!$A$1:$B$11,2,FALSE),"")</f>
        <v>3</v>
      </c>
      <c r="L115" s="7" t="s">
        <v>102</v>
      </c>
      <c r="M115" s="7" t="s">
        <v>363</v>
      </c>
      <c r="N115" s="7" t="s">
        <v>636</v>
      </c>
      <c r="O115" s="47" t="str">
        <f ca="1">IF(H115&lt;&gt;"",IF(H115&lt;=TODAY(),"SI","NO"),"LIMBO")</f>
        <v>SI</v>
      </c>
      <c r="P115" s="47" t="str">
        <f>IF($P$1=H115,"DIASOL", "DIANOSOL")</f>
        <v>DIANOSOL</v>
      </c>
      <c r="Q115" s="7" t="s">
        <v>907</v>
      </c>
      <c r="R115" s="7" t="str">
        <f>VLOOKUP($Q115,Resultados!$A$1:$B$49,2,FALSE)</f>
        <v>Suspensión de juicio a prueba</v>
      </c>
      <c r="S115" s="7"/>
      <c r="T115" s="68" t="str">
        <f>IF(G115=$J$1,"SI","NO")</f>
        <v>NO</v>
      </c>
      <c r="U115" s="68">
        <f>IF(H115="",0,MONTH(H115))</f>
        <v>4</v>
      </c>
      <c r="V115" s="7" t="str">
        <f ca="1">IF(color_Celda(E115)=12106214,"ROSA",IF(color_Celda(E115)=65535,"AMARILLO",IF(color_Celda(E115)=5296274,"VERDE",IF(color_Celda(E115)=16777215,"BLANCO","NO SE"))))</f>
        <v>ROSA</v>
      </c>
      <c r="W115" s="7"/>
      <c r="X115" s="7"/>
      <c r="Y115" s="7"/>
      <c r="Z115" s="68"/>
      <c r="AA115" s="68"/>
      <c r="AB115" s="68"/>
      <c r="AC115" s="324"/>
    </row>
    <row r="116" spans="1:29" ht="60" customHeight="1" outlineLevel="1">
      <c r="A116" s="7">
        <v>114</v>
      </c>
      <c r="B116" s="19">
        <v>45007</v>
      </c>
      <c r="C116" s="15">
        <v>0.54027777777777775</v>
      </c>
      <c r="D116" s="7" t="s">
        <v>489</v>
      </c>
      <c r="E116" s="40" t="s">
        <v>541</v>
      </c>
      <c r="F116" s="7">
        <v>4</v>
      </c>
      <c r="G116" s="7" t="s">
        <v>29</v>
      </c>
      <c r="H116" s="297">
        <v>45029</v>
      </c>
      <c r="I116" s="7" t="s">
        <v>76</v>
      </c>
      <c r="J116" s="19" t="s">
        <v>35</v>
      </c>
      <c r="K116" s="7">
        <f>IFERROR(VLOOKUP(J116,Jueces!$A$1:$B$11,2,FALSE),"")</f>
        <v>3</v>
      </c>
      <c r="L116" s="7" t="s">
        <v>313</v>
      </c>
      <c r="M116" s="7" t="s">
        <v>634</v>
      </c>
      <c r="N116" s="7" t="s">
        <v>635</v>
      </c>
      <c r="O116" s="47" t="str">
        <f ca="1">IF(H116&lt;&gt;"",IF(H116&lt;=TODAY(),"SI","NO"),"LIMBO")</f>
        <v>SI</v>
      </c>
      <c r="P116" s="47" t="str">
        <f>IF($P$1=H116,"DIASOL", "DIANOSOL")</f>
        <v>DIANOSOL</v>
      </c>
      <c r="Q116" s="7" t="s">
        <v>151</v>
      </c>
      <c r="R116" s="7" t="str">
        <f>VLOOKUP($Q116,Resultados!$A$1:$B$49,2,FALSE)</f>
        <v>Prisión Preventiva</v>
      </c>
      <c r="S116" s="7"/>
      <c r="T116" s="68" t="str">
        <f>IF(G116=$J$1,"SI","NO")</f>
        <v>NO</v>
      </c>
      <c r="U116" s="68">
        <f>IF(H116="",0,MONTH(H116))</f>
        <v>4</v>
      </c>
      <c r="V116" s="7" t="str">
        <f ca="1">IF(color_Celda(E116)=12106214,"ROSA",IF(color_Celda(E116)=65535,"AMARILLO",IF(color_Celda(E116)=5296274,"VERDE",IF(color_Celda(E116)=16777215,"BLANCO","NO SE"))))</f>
        <v>ROSA</v>
      </c>
      <c r="W116" s="7"/>
      <c r="X116" s="7"/>
      <c r="Y116" s="7"/>
      <c r="Z116" s="68"/>
      <c r="AA116" s="68"/>
      <c r="AB116" s="68"/>
      <c r="AC116" s="324"/>
    </row>
    <row r="117" spans="1:29" ht="60" customHeight="1" outlineLevel="1">
      <c r="A117" s="7">
        <v>115</v>
      </c>
      <c r="B117" s="19">
        <v>45002</v>
      </c>
      <c r="C117" s="15">
        <v>0.34930555555555554</v>
      </c>
      <c r="D117" s="7" t="s">
        <v>441</v>
      </c>
      <c r="E117" s="40" t="s">
        <v>444</v>
      </c>
      <c r="F117" s="7">
        <v>4</v>
      </c>
      <c r="G117" s="7" t="s">
        <v>283</v>
      </c>
      <c r="H117" s="297">
        <v>45029</v>
      </c>
      <c r="I117" s="7" t="s">
        <v>228</v>
      </c>
      <c r="J117" s="19" t="s">
        <v>78</v>
      </c>
      <c r="K117" s="7">
        <f>IFERROR(VLOOKUP(J117,Jueces!$A$1:$B$11,2,FALSE),"")</f>
        <v>8</v>
      </c>
      <c r="L117" s="7" t="s">
        <v>688</v>
      </c>
      <c r="M117" s="7" t="s">
        <v>363</v>
      </c>
      <c r="N117" s="7" t="s">
        <v>635</v>
      </c>
      <c r="O117" s="47" t="str">
        <f ca="1">IF(H117&lt;&gt;"",IF(H117&lt;=TODAY(),"SI","NO"),"LIMBO")</f>
        <v>SI</v>
      </c>
      <c r="P117" s="47" t="str">
        <f>IF($P$1=H117,"DIASOL", "DIANOSOL")</f>
        <v>DIANOSOL</v>
      </c>
      <c r="Q117" s="7" t="s">
        <v>151</v>
      </c>
      <c r="R117" s="7" t="str">
        <f>VLOOKUP($Q117,Resultados!$A$1:$B$49,2,FALSE)</f>
        <v>Prisión Preventiva</v>
      </c>
      <c r="S117" s="7"/>
      <c r="T117" s="68" t="str">
        <f>IF(G117=$J$1,"SI","NO")</f>
        <v>NO</v>
      </c>
      <c r="U117" s="68">
        <f>IF(H117="",0,MONTH(H117))</f>
        <v>4</v>
      </c>
      <c r="V117" s="7" t="str">
        <f ca="1">IF(color_Celda(E117)=12106214,"ROSA",IF(color_Celda(E117)=65535,"AMARILLO",IF(color_Celda(E117)=5296274,"VERDE",IF(color_Celda(E117)=16777215,"BLANCO","NO SE"))))</f>
        <v>ROSA</v>
      </c>
      <c r="W117" s="7"/>
      <c r="X117" s="7"/>
      <c r="Y117" s="7"/>
      <c r="Z117" s="68"/>
      <c r="AA117" s="68"/>
      <c r="AB117" s="68"/>
      <c r="AC117" s="324"/>
    </row>
    <row r="118" spans="1:29" ht="60" customHeight="1" outlineLevel="1">
      <c r="A118" s="7">
        <v>116</v>
      </c>
      <c r="B118" s="19">
        <v>45000</v>
      </c>
      <c r="C118" s="15">
        <v>0.53541666666666665</v>
      </c>
      <c r="D118" s="7" t="s">
        <v>418</v>
      </c>
      <c r="E118" s="40" t="s">
        <v>421</v>
      </c>
      <c r="F118" s="7">
        <v>4</v>
      </c>
      <c r="G118" s="7" t="s">
        <v>43</v>
      </c>
      <c r="H118" s="297">
        <v>45030</v>
      </c>
      <c r="I118" s="7" t="s">
        <v>73</v>
      </c>
      <c r="J118" s="19" t="s">
        <v>78</v>
      </c>
      <c r="K118" s="7">
        <f>IFERROR(VLOOKUP(J118,Jueces!$A$1:$B$11,2,FALSE),"")</f>
        <v>8</v>
      </c>
      <c r="L118" s="7" t="s">
        <v>192</v>
      </c>
      <c r="M118" s="7" t="s">
        <v>422</v>
      </c>
      <c r="N118" s="7" t="s">
        <v>619</v>
      </c>
      <c r="O118" s="47" t="str">
        <f ca="1">IF(H118&lt;&gt;"",IF(H118&lt;=TODAY(),"SI","NO"),"LIMBO")</f>
        <v>SI</v>
      </c>
      <c r="P118" s="47" t="str">
        <f>IF($P$1=H118,"DIASOL", "DIANOSOL")</f>
        <v>DIANOSOL</v>
      </c>
      <c r="Q118" s="7" t="s">
        <v>903</v>
      </c>
      <c r="R118" s="7" t="str">
        <f>VLOOKUP($Q118,Resultados!$A$1:$B$49,2,FALSE)</f>
        <v>Juicio Abreviado</v>
      </c>
      <c r="S118" s="7"/>
      <c r="T118" s="68" t="str">
        <f>IF(G118=$J$1,"SI","NO")</f>
        <v>NO</v>
      </c>
      <c r="U118" s="68">
        <f>IF(H118="",0,MONTH(H118))</f>
        <v>4</v>
      </c>
      <c r="V118" s="7" t="str">
        <f ca="1">IF(color_Celda(E118)=12106214,"ROSA",IF(color_Celda(E118)=65535,"AMARILLO",IF(color_Celda(E118)=5296274,"VERDE",IF(color_Celda(E118)=16777215,"BLANCO","NO SE"))))</f>
        <v>ROSA</v>
      </c>
      <c r="W118" s="7"/>
      <c r="X118" s="7"/>
      <c r="Y118" s="7"/>
      <c r="Z118" s="68"/>
      <c r="AA118" s="68"/>
      <c r="AB118" s="68"/>
      <c r="AC118" s="324"/>
    </row>
    <row r="119" spans="1:29" ht="60" customHeight="1" outlineLevel="1">
      <c r="A119" s="7">
        <v>117</v>
      </c>
      <c r="B119" s="19">
        <v>45012</v>
      </c>
      <c r="C119" s="15">
        <v>0.33333333333333331</v>
      </c>
      <c r="D119" s="7" t="s">
        <v>515</v>
      </c>
      <c r="E119" s="40" t="s">
        <v>518</v>
      </c>
      <c r="F119" s="7">
        <v>4</v>
      </c>
      <c r="G119" s="7" t="s">
        <v>29</v>
      </c>
      <c r="H119" s="297">
        <v>45030</v>
      </c>
      <c r="I119" s="7" t="s">
        <v>73</v>
      </c>
      <c r="J119" s="19" t="s">
        <v>35</v>
      </c>
      <c r="K119" s="7">
        <f>IFERROR(VLOOKUP(J119,Jueces!$A$1:$B$11,2,FALSE),"")</f>
        <v>3</v>
      </c>
      <c r="L119" s="7" t="s">
        <v>412</v>
      </c>
      <c r="M119" s="7" t="s">
        <v>638</v>
      </c>
      <c r="N119" s="7" t="s">
        <v>641</v>
      </c>
      <c r="O119" s="47" t="str">
        <f ca="1">IF(H119&lt;&gt;"",IF(H119&lt;=TODAY(),"SI","NO"),"LIMBO")</f>
        <v>SI</v>
      </c>
      <c r="P119" s="47" t="str">
        <f>IF($P$1=H119,"DIASOL", "DIANOSOL")</f>
        <v>DIANOSOL</v>
      </c>
      <c r="Q119" s="7" t="s">
        <v>902</v>
      </c>
      <c r="R119" s="7" t="str">
        <f>VLOOKUP($Q119,Resultados!$A$1:$B$49,2,FALSE)</f>
        <v>Juicio Abreviado</v>
      </c>
      <c r="S119" s="7"/>
      <c r="T119" s="68" t="str">
        <f>IF(G119=$J$1,"SI","NO")</f>
        <v>NO</v>
      </c>
      <c r="U119" s="68">
        <f>IF(H119="",0,MONTH(H119))</f>
        <v>4</v>
      </c>
      <c r="V119" s="7" t="str">
        <f ca="1">IF(color_Celda(E119)=12106214,"ROSA",IF(color_Celda(E119)=65535,"AMARILLO",IF(color_Celda(E119)=5296274,"VERDE",IF(color_Celda(E119)=16777215,"BLANCO","NO SE"))))</f>
        <v>ROSA</v>
      </c>
      <c r="W119" s="7"/>
      <c r="X119" s="7"/>
      <c r="Y119" s="7"/>
      <c r="Z119" s="68"/>
      <c r="AA119" s="68"/>
      <c r="AB119" s="68"/>
      <c r="AC119" s="324"/>
    </row>
    <row r="120" spans="1:29" ht="60" customHeight="1" outlineLevel="1">
      <c r="A120" s="7">
        <v>118</v>
      </c>
      <c r="B120" s="19">
        <v>45013</v>
      </c>
      <c r="C120" s="15">
        <v>0.41666666666666669</v>
      </c>
      <c r="D120" s="7" t="s">
        <v>539</v>
      </c>
      <c r="E120" s="40" t="s">
        <v>540</v>
      </c>
      <c r="F120" s="7">
        <v>3</v>
      </c>
      <c r="G120" s="7" t="s">
        <v>568</v>
      </c>
      <c r="H120" s="297">
        <v>45030</v>
      </c>
      <c r="I120" s="7" t="s">
        <v>73</v>
      </c>
      <c r="J120" s="19" t="s">
        <v>31</v>
      </c>
      <c r="K120" s="7">
        <f>IFERROR(VLOOKUP(J120,Jueces!$A$1:$B$11,2,FALSE),"")</f>
        <v>2</v>
      </c>
      <c r="L120" s="7" t="s">
        <v>413</v>
      </c>
      <c r="M120" s="7" t="s">
        <v>693</v>
      </c>
      <c r="N120" s="7" t="s">
        <v>640</v>
      </c>
      <c r="O120" s="47" t="str">
        <f ca="1">IF(H120&lt;&gt;"",IF(H120&lt;=TODAY(),"SI","NO"),"LIMBO")</f>
        <v>SI</v>
      </c>
      <c r="P120" s="47" t="str">
        <f>IF($P$1=H120,"DIASOL", "DIANOSOL")</f>
        <v>DIANOSOL</v>
      </c>
      <c r="Q120" s="7" t="s">
        <v>903</v>
      </c>
      <c r="R120" s="7" t="str">
        <f>VLOOKUP($Q120,Resultados!$A$1:$B$49,2,FALSE)</f>
        <v>Juicio Abreviado</v>
      </c>
      <c r="S120" s="7"/>
      <c r="T120" s="68" t="str">
        <f>IF(G120=$J$1,"SI","NO")</f>
        <v>NO</v>
      </c>
      <c r="U120" s="68">
        <f>IF(H120="",0,MONTH(H120))</f>
        <v>4</v>
      </c>
      <c r="V120" s="7" t="str">
        <f ca="1">IF(color_Celda(E120)=12106214,"ROSA",IF(color_Celda(E120)=65535,"AMARILLO",IF(color_Celda(E120)=5296274,"VERDE",IF(color_Celda(E120)=16777215,"BLANCO","NO SE"))))</f>
        <v>ROSA</v>
      </c>
      <c r="W120" s="7"/>
      <c r="X120" s="7"/>
      <c r="Y120" s="7"/>
      <c r="Z120" s="68"/>
      <c r="AA120" s="68"/>
      <c r="AB120" s="68"/>
      <c r="AC120" s="324"/>
    </row>
    <row r="121" spans="1:29" ht="60" customHeight="1" outlineLevel="1">
      <c r="A121" s="7">
        <v>119</v>
      </c>
      <c r="B121" s="19">
        <v>45001</v>
      </c>
      <c r="C121" s="15">
        <v>0.43402777777777773</v>
      </c>
      <c r="D121" s="7" t="s">
        <v>429</v>
      </c>
      <c r="E121" s="40" t="s">
        <v>646</v>
      </c>
      <c r="F121" s="7">
        <v>4</v>
      </c>
      <c r="G121" s="7" t="s">
        <v>34</v>
      </c>
      <c r="H121" s="297">
        <v>45030</v>
      </c>
      <c r="I121" s="7" t="s">
        <v>76</v>
      </c>
      <c r="J121" s="19" t="s">
        <v>78</v>
      </c>
      <c r="K121" s="7">
        <f>IFERROR(VLOOKUP(J121,Jueces!$A$1:$B$11,2,FALSE),"")</f>
        <v>8</v>
      </c>
      <c r="L121" s="7" t="s">
        <v>247</v>
      </c>
      <c r="M121" s="7" t="s">
        <v>693</v>
      </c>
      <c r="N121" s="7" t="s">
        <v>643</v>
      </c>
      <c r="O121" s="47" t="str">
        <f ca="1">IF(H121&lt;&gt;"",IF(H121&lt;=TODAY(),"SI","NO"),"LIMBO")</f>
        <v>SI</v>
      </c>
      <c r="P121" s="47" t="str">
        <f>IF($P$1=H121,"DIASOL", "DIANOSOL")</f>
        <v>DIANOSOL</v>
      </c>
      <c r="Q121" s="7" t="s">
        <v>151</v>
      </c>
      <c r="R121" s="7" t="str">
        <f>VLOOKUP($Q121,Resultados!$A$1:$B$49,2,FALSE)</f>
        <v>Prisión Preventiva</v>
      </c>
      <c r="S121" s="7"/>
      <c r="T121" s="68" t="str">
        <f>IF(G121=$J$1,"SI","NO")</f>
        <v>NO</v>
      </c>
      <c r="U121" s="68">
        <f>IF(H121="",0,MONTH(H121))</f>
        <v>4</v>
      </c>
      <c r="V121" s="7" t="str">
        <f ca="1">IF(color_Celda(E121)=12106214,"ROSA",IF(color_Celda(E121)=65535,"AMARILLO",IF(color_Celda(E121)=5296274,"VERDE",IF(color_Celda(E121)=16777215,"BLANCO","NO SE"))))</f>
        <v>ROSA</v>
      </c>
      <c r="W121" s="7"/>
      <c r="X121" s="7"/>
      <c r="Y121" s="7"/>
      <c r="Z121" s="68"/>
      <c r="AA121" s="68"/>
      <c r="AB121" s="68"/>
      <c r="AC121" s="324"/>
    </row>
    <row r="122" spans="1:29" ht="60" customHeight="1" outlineLevel="1">
      <c r="A122" s="7">
        <v>120</v>
      </c>
      <c r="B122" s="19">
        <v>45005</v>
      </c>
      <c r="C122" s="15">
        <v>0.33333333333333331</v>
      </c>
      <c r="D122" s="7" t="s">
        <v>462</v>
      </c>
      <c r="E122" s="40" t="s">
        <v>463</v>
      </c>
      <c r="F122" s="7">
        <v>4</v>
      </c>
      <c r="G122" s="7" t="s">
        <v>34</v>
      </c>
      <c r="H122" s="297">
        <v>45033</v>
      </c>
      <c r="I122" s="7" t="s">
        <v>73</v>
      </c>
      <c r="J122" s="19" t="s">
        <v>33</v>
      </c>
      <c r="K122" s="7">
        <f>IFERROR(VLOOKUP(J122,Jueces!$A$1:$B$11,2,FALSE),"")</f>
        <v>4</v>
      </c>
      <c r="L122" s="7" t="s">
        <v>409</v>
      </c>
      <c r="M122" s="7" t="s">
        <v>694</v>
      </c>
      <c r="N122" s="7" t="s">
        <v>644</v>
      </c>
      <c r="O122" s="47" t="str">
        <f ca="1">IF(H122&lt;&gt;"",IF(H122&lt;=TODAY(),"SI","NO"),"LIMBO")</f>
        <v>SI</v>
      </c>
      <c r="P122" s="47" t="str">
        <f>IF($P$1=H122,"DIASOL", "DIANOSOL")</f>
        <v>DIANOSOL</v>
      </c>
      <c r="Q122" s="7" t="s">
        <v>902</v>
      </c>
      <c r="R122" s="7" t="str">
        <f>VLOOKUP($Q122,Resultados!$A$1:$B$49,2,FALSE)</f>
        <v>Juicio Abreviado</v>
      </c>
      <c r="S122" s="7"/>
      <c r="T122" s="68" t="str">
        <f>IF(G122=$J$1,"SI","NO")</f>
        <v>NO</v>
      </c>
      <c r="U122" s="68">
        <f>IF(H122="",0,MONTH(H122))</f>
        <v>4</v>
      </c>
      <c r="V122" s="7" t="str">
        <f ca="1">IF(color_Celda(E122)=12106214,"ROSA",IF(color_Celda(E122)=65535,"AMARILLO",IF(color_Celda(E122)=5296274,"VERDE",IF(color_Celda(E122)=16777215,"BLANCO","NO SE"))))</f>
        <v>ROSA</v>
      </c>
      <c r="W122" s="7"/>
      <c r="X122" s="7"/>
      <c r="Y122" s="7"/>
      <c r="Z122" s="68"/>
      <c r="AA122" s="68"/>
      <c r="AB122" s="68"/>
      <c r="AC122" s="324"/>
    </row>
    <row r="123" spans="1:29" ht="60" customHeight="1" outlineLevel="1">
      <c r="A123" s="7">
        <v>121</v>
      </c>
      <c r="B123" s="19">
        <v>45008</v>
      </c>
      <c r="C123" s="15">
        <v>0.33333333333333331</v>
      </c>
      <c r="D123" s="7" t="s">
        <v>498</v>
      </c>
      <c r="E123" s="40" t="s">
        <v>499</v>
      </c>
      <c r="F123" s="7">
        <v>4</v>
      </c>
      <c r="G123" s="7" t="s">
        <v>32</v>
      </c>
      <c r="H123" s="297">
        <v>45033</v>
      </c>
      <c r="I123" s="7" t="s">
        <v>73</v>
      </c>
      <c r="J123" s="19" t="s">
        <v>78</v>
      </c>
      <c r="K123" s="7">
        <f>IFERROR(VLOOKUP(J123,Jueces!$A$1:$B$11,2,FALSE),"")</f>
        <v>8</v>
      </c>
      <c r="L123" s="7" t="s">
        <v>642</v>
      </c>
      <c r="M123" s="7" t="s">
        <v>695</v>
      </c>
      <c r="N123" s="7" t="s">
        <v>645</v>
      </c>
      <c r="O123" s="47" t="str">
        <f ca="1">IF(H123&lt;&gt;"",IF(H123&lt;=TODAY(),"SI","NO"),"LIMBO")</f>
        <v>SI</v>
      </c>
      <c r="P123" s="47" t="str">
        <f>IF($P$1=H123,"DIASOL", "DIANOSOL")</f>
        <v>DIANOSOL</v>
      </c>
      <c r="Q123" s="7" t="s">
        <v>645</v>
      </c>
      <c r="R123" s="7" t="str">
        <f>VLOOKUP($Q123,Resultados!$A$1:$B$49,2,FALSE)</f>
        <v>Suspendida</v>
      </c>
      <c r="S123" s="7"/>
      <c r="T123" s="68" t="str">
        <f>IF(G123=$J$1,"SI","NO")</f>
        <v>NO</v>
      </c>
      <c r="U123" s="68">
        <f>IF(H123="",0,MONTH(H123))</f>
        <v>4</v>
      </c>
      <c r="V123" s="7" t="str">
        <f ca="1">IF(color_Celda(E123)=12106214,"ROSA",IF(color_Celda(E123)=65535,"AMARILLO",IF(color_Celda(E123)=5296274,"VERDE",IF(color_Celda(E123)=16777215,"BLANCO","NO SE"))))</f>
        <v>ROSA</v>
      </c>
      <c r="W123" s="7"/>
      <c r="X123" s="7"/>
      <c r="Y123" s="7"/>
      <c r="Z123" s="68"/>
      <c r="AA123" s="68"/>
      <c r="AB123" s="68"/>
      <c r="AC123" s="324"/>
    </row>
    <row r="124" spans="1:29" ht="60" customHeight="1" outlineLevel="1">
      <c r="A124" s="7">
        <v>122</v>
      </c>
      <c r="B124" s="19">
        <v>45000</v>
      </c>
      <c r="C124" s="15">
        <v>0.53611111111111109</v>
      </c>
      <c r="D124" s="7" t="s">
        <v>427</v>
      </c>
      <c r="E124" s="40" t="s">
        <v>428</v>
      </c>
      <c r="F124" s="7">
        <v>4</v>
      </c>
      <c r="G124" s="7" t="s">
        <v>43</v>
      </c>
      <c r="H124" s="297">
        <v>45033</v>
      </c>
      <c r="I124" s="7" t="s">
        <v>228</v>
      </c>
      <c r="J124" s="19" t="s">
        <v>78</v>
      </c>
      <c r="K124" s="7">
        <f>IFERROR(VLOOKUP(J124,Jueces!$A$1:$B$11,2,FALSE),"")</f>
        <v>8</v>
      </c>
      <c r="L124" s="7" t="s">
        <v>247</v>
      </c>
      <c r="M124" s="7" t="s">
        <v>694</v>
      </c>
      <c r="N124" s="7" t="s">
        <v>648</v>
      </c>
      <c r="O124" s="47" t="str">
        <f ca="1">IF(H124&lt;&gt;"",IF(H124&lt;=TODAY(),"SI","NO"),"LIMBO")</f>
        <v>SI</v>
      </c>
      <c r="P124" s="47" t="str">
        <f>IF($P$1=H124,"DIASOL", "DIANOSOL")</f>
        <v>DIANOSOL</v>
      </c>
      <c r="Q124" s="7" t="s">
        <v>151</v>
      </c>
      <c r="R124" s="7" t="str">
        <f>VLOOKUP($Q124,Resultados!$A$1:$B$49,2,FALSE)</f>
        <v>Prisión Preventiva</v>
      </c>
      <c r="S124" s="7"/>
      <c r="T124" s="68" t="str">
        <f>IF(G124=$J$1,"SI","NO")</f>
        <v>NO</v>
      </c>
      <c r="U124" s="68">
        <f>IF(H124="",0,MONTH(H124))</f>
        <v>4</v>
      </c>
      <c r="V124" s="7" t="str">
        <f ca="1">IF(color_Celda(E124)=12106214,"ROSA",IF(color_Celda(E124)=65535,"AMARILLO",IF(color_Celda(E124)=5296274,"VERDE",IF(color_Celda(E124)=16777215,"BLANCO","NO SE"))))</f>
        <v>ROSA</v>
      </c>
      <c r="W124" s="7"/>
      <c r="X124" s="7"/>
      <c r="Y124" s="7"/>
      <c r="Z124" s="68"/>
      <c r="AA124" s="68"/>
      <c r="AB124" s="68"/>
      <c r="AC124" s="324"/>
    </row>
    <row r="125" spans="1:29" ht="60" customHeight="1" outlineLevel="1">
      <c r="A125" s="7">
        <v>123</v>
      </c>
      <c r="B125" s="19">
        <v>44999</v>
      </c>
      <c r="C125" s="15">
        <v>0.52708333333333335</v>
      </c>
      <c r="D125" s="7" t="s">
        <v>397</v>
      </c>
      <c r="E125" s="40" t="s">
        <v>398</v>
      </c>
      <c r="F125" s="7">
        <v>4</v>
      </c>
      <c r="G125" s="7" t="s">
        <v>283</v>
      </c>
      <c r="H125" s="297">
        <v>45034</v>
      </c>
      <c r="I125" s="7" t="s">
        <v>73</v>
      </c>
      <c r="J125" s="19" t="s">
        <v>33</v>
      </c>
      <c r="K125" s="7">
        <f>IFERROR(VLOOKUP(J125,Jueces!$A$1:$B$11,2,FALSE),"")</f>
        <v>4</v>
      </c>
      <c r="L125" s="7" t="s">
        <v>247</v>
      </c>
      <c r="M125" s="7" t="s">
        <v>695</v>
      </c>
      <c r="N125" s="7" t="s">
        <v>654</v>
      </c>
      <c r="O125" s="47" t="str">
        <f ca="1">IF(H125&lt;&gt;"",IF(H125&lt;=TODAY(),"SI","NO"),"LIMBO")</f>
        <v>SI</v>
      </c>
      <c r="P125" s="47" t="str">
        <f>IF($P$1=H125,"DIASOL", "DIANOSOL")</f>
        <v>DIANOSOL</v>
      </c>
      <c r="Q125" s="7" t="s">
        <v>902</v>
      </c>
      <c r="R125" s="7" t="str">
        <f>VLOOKUP($Q125,Resultados!$A$1:$B$49,2,FALSE)</f>
        <v>Juicio Abreviado</v>
      </c>
      <c r="S125" s="7"/>
      <c r="T125" s="68" t="str">
        <f>IF(G125=$J$1,"SI","NO")</f>
        <v>NO</v>
      </c>
      <c r="U125" s="68">
        <f>IF(H125="",0,MONTH(H125))</f>
        <v>4</v>
      </c>
      <c r="V125" s="7" t="str">
        <f ca="1">IF(color_Celda(E125)=12106214,"ROSA",IF(color_Celda(E125)=65535,"AMARILLO",IF(color_Celda(E125)=5296274,"VERDE",IF(color_Celda(E125)=16777215,"BLANCO","NO SE"))))</f>
        <v>ROSA</v>
      </c>
      <c r="W125" s="7"/>
      <c r="X125" s="7"/>
      <c r="Y125" s="7"/>
      <c r="Z125" s="68"/>
      <c r="AA125" s="68"/>
      <c r="AB125" s="68"/>
      <c r="AC125" s="324"/>
    </row>
    <row r="126" spans="1:29" ht="60" customHeight="1" outlineLevel="1">
      <c r="A126" s="7">
        <v>126</v>
      </c>
      <c r="B126" s="19">
        <v>45005</v>
      </c>
      <c r="C126" s="15">
        <v>0.49444444444444446</v>
      </c>
      <c r="D126" s="7" t="s">
        <v>480</v>
      </c>
      <c r="E126" s="40" t="s">
        <v>479</v>
      </c>
      <c r="F126" s="7">
        <v>4</v>
      </c>
      <c r="G126" s="7" t="s">
        <v>32</v>
      </c>
      <c r="H126" s="297">
        <v>45034</v>
      </c>
      <c r="I126" s="7" t="s">
        <v>73</v>
      </c>
      <c r="J126" s="19" t="s">
        <v>31</v>
      </c>
      <c r="K126" s="7">
        <f>IFERROR(VLOOKUP(J126,Jueces!$A$1:$B$11,2,FALSE),"")</f>
        <v>2</v>
      </c>
      <c r="L126" s="7" t="s">
        <v>413</v>
      </c>
      <c r="M126" s="7" t="s">
        <v>694</v>
      </c>
      <c r="N126" s="7" t="s">
        <v>658</v>
      </c>
      <c r="O126" s="47" t="str">
        <f ca="1">IF(H126&lt;&gt;"",IF(H126&lt;=TODAY(),"SI","NO"),"LIMBO")</f>
        <v>SI</v>
      </c>
      <c r="P126" s="47" t="str">
        <f>IF($P$1=H126,"DIASOL", "DIANOSOL")</f>
        <v>DIANOSOL</v>
      </c>
      <c r="Q126" s="7" t="s">
        <v>902</v>
      </c>
      <c r="R126" s="7" t="str">
        <f>VLOOKUP($Q126,Resultados!$A$1:$B$49,2,FALSE)</f>
        <v>Juicio Abreviado</v>
      </c>
      <c r="S126" s="7"/>
      <c r="T126" s="68" t="str">
        <f>IF(G126=$J$1,"SI","NO")</f>
        <v>NO</v>
      </c>
      <c r="U126" s="68">
        <f>IF(H126="",0,MONTH(H126))</f>
        <v>4</v>
      </c>
      <c r="V126" s="7" t="str">
        <f ca="1">IF(color_Celda(E126)=12106214,"ROSA",IF(color_Celda(E126)=65535,"AMARILLO",IF(color_Celda(E126)=5296274,"VERDE",IF(color_Celda(E126)=16777215,"BLANCO","NO SE"))))</f>
        <v>ROSA</v>
      </c>
      <c r="W126" s="7"/>
      <c r="X126" s="7"/>
      <c r="Y126" s="7"/>
      <c r="Z126" s="68"/>
      <c r="AA126" s="68"/>
      <c r="AB126" s="68"/>
      <c r="AC126" s="324"/>
    </row>
    <row r="127" spans="1:29" ht="60" customHeight="1" outlineLevel="1">
      <c r="A127" s="7">
        <v>124</v>
      </c>
      <c r="B127" s="19">
        <v>45006</v>
      </c>
      <c r="C127" s="15">
        <v>0.37013888888888885</v>
      </c>
      <c r="D127" s="7" t="s">
        <v>464</v>
      </c>
      <c r="E127" s="40" t="s">
        <v>465</v>
      </c>
      <c r="F127" s="7">
        <v>3</v>
      </c>
      <c r="G127" s="7" t="s">
        <v>29</v>
      </c>
      <c r="H127" s="297">
        <v>45034</v>
      </c>
      <c r="I127" s="7" t="s">
        <v>73</v>
      </c>
      <c r="J127" s="19" t="s">
        <v>35</v>
      </c>
      <c r="K127" s="7">
        <f>IFERROR(VLOOKUP(J127,Jueces!$A$1:$B$11,2,FALSE),"")</f>
        <v>3</v>
      </c>
      <c r="L127" s="7" t="s">
        <v>688</v>
      </c>
      <c r="M127" s="7" t="s">
        <v>652</v>
      </c>
      <c r="N127" s="7" t="s">
        <v>235</v>
      </c>
      <c r="O127" s="47" t="str">
        <f ca="1">IF(H127&lt;&gt;"",IF(H127&lt;=TODAY(),"SI","NO"),"LIMBO")</f>
        <v>SI</v>
      </c>
      <c r="P127" s="47" t="str">
        <f>IF($P$1=H127,"DIASOL", "DIANOSOL")</f>
        <v>DIANOSOL</v>
      </c>
      <c r="Q127" s="7" t="s">
        <v>151</v>
      </c>
      <c r="R127" s="7" t="str">
        <f>VLOOKUP($Q127,Resultados!$A$1:$B$49,2,FALSE)</f>
        <v>Prisión Preventiva</v>
      </c>
      <c r="S127" s="7"/>
      <c r="T127" s="68" t="str">
        <f>IF(G127=$J$1,"SI","NO")</f>
        <v>NO</v>
      </c>
      <c r="U127" s="68">
        <f>IF(H127="",0,MONTH(H127))</f>
        <v>4</v>
      </c>
      <c r="V127" s="7" t="str">
        <f ca="1">IF(color_Celda(E127)=12106214,"ROSA",IF(color_Celda(E127)=65535,"AMARILLO",IF(color_Celda(E127)=5296274,"VERDE",IF(color_Celda(E127)=16777215,"BLANCO","NO SE"))))</f>
        <v>ROSA</v>
      </c>
      <c r="W127" s="7"/>
      <c r="X127" s="7"/>
      <c r="Y127" s="7"/>
      <c r="Z127" s="68"/>
      <c r="AA127" s="68"/>
      <c r="AB127" s="68"/>
      <c r="AC127" s="324"/>
    </row>
    <row r="128" spans="1:29" ht="60" customHeight="1" outlineLevel="1">
      <c r="A128" s="7">
        <v>125</v>
      </c>
      <c r="B128" s="19">
        <v>45006</v>
      </c>
      <c r="C128" s="15">
        <v>0.3611111111111111</v>
      </c>
      <c r="D128" s="7" t="s">
        <v>470</v>
      </c>
      <c r="E128" s="40" t="s">
        <v>647</v>
      </c>
      <c r="F128" s="7">
        <v>3</v>
      </c>
      <c r="G128" s="7" t="s">
        <v>1433</v>
      </c>
      <c r="H128" s="297">
        <v>45034</v>
      </c>
      <c r="I128" s="7" t="s">
        <v>73</v>
      </c>
      <c r="J128" s="19" t="s">
        <v>78</v>
      </c>
      <c r="K128" s="7">
        <f>IFERROR(VLOOKUP(J128,Jueces!$A$1:$B$11,2,FALSE),"")</f>
        <v>8</v>
      </c>
      <c r="L128" s="7" t="s">
        <v>380</v>
      </c>
      <c r="M128" s="7" t="s">
        <v>692</v>
      </c>
      <c r="N128" s="7" t="s">
        <v>653</v>
      </c>
      <c r="O128" s="47" t="str">
        <f ca="1">IF(H128&lt;&gt;"",IF(H128&lt;=TODAY(),"SI","NO"),"LIMBO")</f>
        <v>SI</v>
      </c>
      <c r="P128" s="47" t="str">
        <f>IF($P$1=H128,"DIASOL", "DIANOSOL")</f>
        <v>DIANOSOL</v>
      </c>
      <c r="Q128" s="7" t="s">
        <v>903</v>
      </c>
      <c r="R128" s="7" t="str">
        <f>VLOOKUP($Q128,Resultados!$A$1:$B$49,2,FALSE)</f>
        <v>Juicio Abreviado</v>
      </c>
      <c r="S128" s="7"/>
      <c r="T128" s="68" t="str">
        <f>IF(G128=$J$1,"SI","NO")</f>
        <v>NO</v>
      </c>
      <c r="U128" s="68">
        <f>IF(H128="",0,MONTH(H128))</f>
        <v>4</v>
      </c>
      <c r="V128" s="7" t="str">
        <f ca="1">IF(color_Celda(E128)=12106214,"ROSA",IF(color_Celda(E128)=65535,"AMARILLO",IF(color_Celda(E128)=5296274,"VERDE",IF(color_Celda(E128)=16777215,"BLANCO","NO SE"))))</f>
        <v>ROSA</v>
      </c>
      <c r="W128" s="7"/>
      <c r="X128" s="7"/>
      <c r="Y128" s="7"/>
      <c r="Z128" s="68"/>
      <c r="AA128" s="68"/>
      <c r="AB128" s="68"/>
      <c r="AC128" s="324"/>
    </row>
    <row r="129" spans="1:29" ht="60" customHeight="1" outlineLevel="1">
      <c r="A129" s="7">
        <v>127</v>
      </c>
      <c r="B129" s="19">
        <v>45008</v>
      </c>
      <c r="C129" s="15">
        <v>0.33333333333333331</v>
      </c>
      <c r="D129" s="7" t="s">
        <v>503</v>
      </c>
      <c r="E129" s="40" t="s">
        <v>504</v>
      </c>
      <c r="F129" s="7">
        <v>4</v>
      </c>
      <c r="G129" s="7" t="s">
        <v>34</v>
      </c>
      <c r="H129" s="297">
        <v>45034</v>
      </c>
      <c r="I129" s="7" t="s">
        <v>76</v>
      </c>
      <c r="J129" s="19" t="s">
        <v>35</v>
      </c>
      <c r="K129" s="7">
        <f>IFERROR(VLOOKUP(J129,Jueces!$A$1:$B$11,2,FALSE),"")</f>
        <v>3</v>
      </c>
      <c r="L129" s="7" t="s">
        <v>411</v>
      </c>
      <c r="M129" s="7" t="s">
        <v>694</v>
      </c>
      <c r="N129" s="7" t="s">
        <v>660</v>
      </c>
      <c r="O129" s="47" t="str">
        <f ca="1">IF(H129&lt;&gt;"",IF(H129&lt;=TODAY(),"SI","NO"),"LIMBO")</f>
        <v>SI</v>
      </c>
      <c r="P129" s="47" t="str">
        <f>IF($P$1=H129,"DIASOL", "DIANOSOL")</f>
        <v>DIANOSOL</v>
      </c>
      <c r="Q129" s="7" t="s">
        <v>902</v>
      </c>
      <c r="R129" s="7" t="str">
        <f>VLOOKUP($Q129,Resultados!$A$1:$B$49,2,FALSE)</f>
        <v>Juicio Abreviado</v>
      </c>
      <c r="S129" s="7"/>
      <c r="T129" s="68" t="str">
        <f>IF(G129=$J$1,"SI","NO")</f>
        <v>NO</v>
      </c>
      <c r="U129" s="68">
        <f>IF(H129="",0,MONTH(H129))</f>
        <v>4</v>
      </c>
      <c r="V129" s="7" t="str">
        <f ca="1">IF(color_Celda(E129)=12106214,"ROSA",IF(color_Celda(E129)=65535,"AMARILLO",IF(color_Celda(E129)=5296274,"VERDE",IF(color_Celda(E129)=16777215,"BLANCO","NO SE"))))</f>
        <v>ROSA</v>
      </c>
      <c r="W129" s="7"/>
      <c r="X129" s="7"/>
      <c r="Y129" s="7"/>
      <c r="Z129" s="68"/>
      <c r="AA129" s="68"/>
      <c r="AB129" s="68"/>
      <c r="AC129" s="324"/>
    </row>
    <row r="130" spans="1:29" ht="60" customHeight="1" outlineLevel="1">
      <c r="A130" s="7">
        <v>128</v>
      </c>
      <c r="B130" s="19">
        <v>45001</v>
      </c>
      <c r="C130" s="15">
        <v>0.43541666666666662</v>
      </c>
      <c r="D130" s="7" t="s">
        <v>430</v>
      </c>
      <c r="E130" s="40" t="s">
        <v>431</v>
      </c>
      <c r="F130" s="7">
        <v>4</v>
      </c>
      <c r="G130" s="7" t="s">
        <v>1433</v>
      </c>
      <c r="H130" s="297">
        <v>45035</v>
      </c>
      <c r="I130" s="7" t="s">
        <v>73</v>
      </c>
      <c r="J130" s="19" t="s">
        <v>78</v>
      </c>
      <c r="K130" s="7">
        <f>IFERROR(VLOOKUP(J130,Jueces!$A$1:$B$11,2,FALSE),"")</f>
        <v>8</v>
      </c>
      <c r="L130" s="7" t="s">
        <v>313</v>
      </c>
      <c r="M130" s="7" t="s">
        <v>695</v>
      </c>
      <c r="N130" s="7" t="s">
        <v>656</v>
      </c>
      <c r="O130" s="47" t="str">
        <f ca="1">IF(H130&lt;&gt;"",IF(H130&lt;=TODAY(),"SI","NO"),"LIMBO")</f>
        <v>SI</v>
      </c>
      <c r="P130" s="47" t="str">
        <f>IF($P$1=H130,"DIASOL", "DIANOSOL")</f>
        <v>DIANOSOL</v>
      </c>
      <c r="Q130" s="7" t="s">
        <v>910</v>
      </c>
      <c r="R130" s="7" t="str">
        <f>VLOOKUP($Q130,Resultados!$A$1:$B$49,2,FALSE)</f>
        <v>Suspendida</v>
      </c>
      <c r="S130" s="7"/>
      <c r="T130" s="68" t="str">
        <f>IF(G130=$J$1,"SI","NO")</f>
        <v>NO</v>
      </c>
      <c r="U130" s="68">
        <f>IF(H130="",0,MONTH(H130))</f>
        <v>4</v>
      </c>
      <c r="V130" s="7" t="str">
        <f ca="1">IF(color_Celda(E130)=12106214,"ROSA",IF(color_Celda(E130)=65535,"AMARILLO",IF(color_Celda(E130)=5296274,"VERDE",IF(color_Celda(E130)=16777215,"BLANCO","NO SE"))))</f>
        <v>ROSA</v>
      </c>
      <c r="W130" s="7"/>
      <c r="X130" s="7"/>
      <c r="Y130" s="7"/>
      <c r="Z130" s="68"/>
      <c r="AA130" s="68"/>
      <c r="AB130" s="68"/>
      <c r="AC130" s="324"/>
    </row>
    <row r="131" spans="1:29" ht="60" customHeight="1" outlineLevel="1">
      <c r="A131" s="7">
        <v>129</v>
      </c>
      <c r="B131" s="19">
        <v>45001</v>
      </c>
      <c r="C131" s="15">
        <v>0.52083333333333337</v>
      </c>
      <c r="D131" s="7" t="s">
        <v>432</v>
      </c>
      <c r="E131" s="40" t="s">
        <v>433</v>
      </c>
      <c r="F131" s="7">
        <v>4</v>
      </c>
      <c r="G131" s="7" t="s">
        <v>32</v>
      </c>
      <c r="H131" s="297">
        <v>45035</v>
      </c>
      <c r="I131" s="7" t="s">
        <v>73</v>
      </c>
      <c r="J131" s="19" t="s">
        <v>33</v>
      </c>
      <c r="K131" s="7">
        <f>IFERROR(VLOOKUP(J131,Jueces!$A$1:$B$11,2,FALSE),"")</f>
        <v>4</v>
      </c>
      <c r="L131" s="7" t="s">
        <v>416</v>
      </c>
      <c r="M131" s="7" t="s">
        <v>694</v>
      </c>
      <c r="N131" s="7" t="s">
        <v>657</v>
      </c>
      <c r="O131" s="47" t="str">
        <f ca="1">IF(H131&lt;&gt;"",IF(H131&lt;=TODAY(),"SI","NO"),"LIMBO")</f>
        <v>SI</v>
      </c>
      <c r="P131" s="47" t="str">
        <f>IF($P$1=H131,"DIASOL", "DIANOSOL")</f>
        <v>DIANOSOL</v>
      </c>
      <c r="Q131" s="7" t="s">
        <v>902</v>
      </c>
      <c r="R131" s="7" t="str">
        <f>VLOOKUP($Q131,Resultados!$A$1:$B$49,2,FALSE)</f>
        <v>Juicio Abreviado</v>
      </c>
      <c r="S131" s="7"/>
      <c r="T131" s="68" t="str">
        <f>IF(G131=$J$1,"SI","NO")</f>
        <v>NO</v>
      </c>
      <c r="U131" s="68">
        <f>IF(H131="",0,MONTH(H131))</f>
        <v>4</v>
      </c>
      <c r="V131" s="7" t="str">
        <f ca="1">IF(color_Celda(E131)=12106214,"ROSA",IF(color_Celda(E131)=65535,"AMARILLO",IF(color_Celda(E131)=5296274,"VERDE",IF(color_Celda(E131)=16777215,"BLANCO","NO SE"))))</f>
        <v>ROSA</v>
      </c>
      <c r="W131" s="7"/>
      <c r="X131" s="7"/>
      <c r="Y131" s="7"/>
      <c r="Z131" s="68"/>
      <c r="AA131" s="68"/>
      <c r="AB131" s="68"/>
      <c r="AC131" s="698"/>
    </row>
    <row r="132" spans="1:29" ht="60" customHeight="1" outlineLevel="1">
      <c r="A132" s="7">
        <v>130</v>
      </c>
      <c r="B132" s="19">
        <v>45014</v>
      </c>
      <c r="C132" s="15">
        <v>0.36041666666666666</v>
      </c>
      <c r="D132" s="7" t="s">
        <v>550</v>
      </c>
      <c r="E132" s="40" t="s">
        <v>551</v>
      </c>
      <c r="F132" s="7">
        <v>4</v>
      </c>
      <c r="G132" s="7" t="s">
        <v>568</v>
      </c>
      <c r="H132" s="297">
        <v>45035</v>
      </c>
      <c r="I132" s="7" t="s">
        <v>73</v>
      </c>
      <c r="J132" s="19" t="s">
        <v>31</v>
      </c>
      <c r="K132" s="7">
        <f>IFERROR(VLOOKUP(J132,Jueces!$A$1:$B$11,2,FALSE),"")</f>
        <v>2</v>
      </c>
      <c r="L132" s="7" t="s">
        <v>569</v>
      </c>
      <c r="M132" s="7" t="s">
        <v>567</v>
      </c>
      <c r="N132" s="7" t="s">
        <v>659</v>
      </c>
      <c r="O132" s="47" t="str">
        <f ca="1">IF(H132&lt;&gt;"",IF(H132&lt;=TODAY(),"SI","NO"),"LIMBO")</f>
        <v>SI</v>
      </c>
      <c r="P132" s="47" t="str">
        <f>IF($P$1=H132,"DIASOL", "DIANOSOL")</f>
        <v>DIANOSOL</v>
      </c>
      <c r="Q132" s="7" t="s">
        <v>902</v>
      </c>
      <c r="R132" s="7" t="str">
        <f>VLOOKUP($Q132,Resultados!$A$1:$B$49,2,FALSE)</f>
        <v>Juicio Abreviado</v>
      </c>
      <c r="S132" s="7"/>
      <c r="T132" s="68" t="str">
        <f>IF(G132=$J$1,"SI","NO")</f>
        <v>NO</v>
      </c>
      <c r="U132" s="68">
        <f>IF(H132="",0,MONTH(H132))</f>
        <v>4</v>
      </c>
      <c r="V132" s="7" t="str">
        <f ca="1">IF(color_Celda(E132)=12106214,"ROSA",IF(color_Celda(E132)=65535,"AMARILLO",IF(color_Celda(E132)=5296274,"VERDE",IF(color_Celda(E132)=16777215,"BLANCO","NO SE"))))</f>
        <v>ROSA</v>
      </c>
      <c r="W132" s="7"/>
      <c r="X132" s="7"/>
      <c r="Y132" s="7"/>
      <c r="Z132" s="68"/>
      <c r="AA132" s="68"/>
      <c r="AB132" s="68"/>
      <c r="AC132" s="324"/>
    </row>
    <row r="133" spans="1:29" ht="60" customHeight="1" outlineLevel="1">
      <c r="A133" s="7">
        <v>132</v>
      </c>
      <c r="B133" s="19">
        <v>45008</v>
      </c>
      <c r="C133" s="15">
        <v>0.33333333333333331</v>
      </c>
      <c r="D133" s="7" t="s">
        <v>500</v>
      </c>
      <c r="E133" s="40" t="s">
        <v>501</v>
      </c>
      <c r="F133" s="7">
        <v>4</v>
      </c>
      <c r="G133" s="7" t="s">
        <v>283</v>
      </c>
      <c r="H133" s="297">
        <v>45035</v>
      </c>
      <c r="I133" s="7" t="s">
        <v>76</v>
      </c>
      <c r="J133" s="19" t="s">
        <v>35</v>
      </c>
      <c r="K133" s="7">
        <f>IFERROR(VLOOKUP(J133,Jueces!$A$1:$B$11,2,FALSE),"")</f>
        <v>3</v>
      </c>
      <c r="L133" s="7" t="s">
        <v>247</v>
      </c>
      <c r="M133" s="7" t="s">
        <v>695</v>
      </c>
      <c r="N133" s="7" t="s">
        <v>655</v>
      </c>
      <c r="O133" s="47" t="str">
        <f ca="1">IF(H133&lt;&gt;"",IF(H133&lt;=TODAY(),"SI","NO"),"LIMBO")</f>
        <v>SI</v>
      </c>
      <c r="P133" s="47" t="str">
        <f>IF($P$1=H133,"DIASOL", "DIANOSOL")</f>
        <v>DIANOSOL</v>
      </c>
      <c r="Q133" s="7" t="s">
        <v>902</v>
      </c>
      <c r="R133" s="7" t="str">
        <f>VLOOKUP($Q133,Resultados!$A$1:$B$49,2,FALSE)</f>
        <v>Juicio Abreviado</v>
      </c>
      <c r="S133" s="7"/>
      <c r="T133" s="68" t="str">
        <f>IF(G133=$J$1,"SI","NO")</f>
        <v>NO</v>
      </c>
      <c r="U133" s="68">
        <f>IF(H133="",0,MONTH(H133))</f>
        <v>4</v>
      </c>
      <c r="V133" s="7" t="str">
        <f ca="1">IF(color_Celda(E133)=12106214,"ROSA",IF(color_Celda(E133)=65535,"AMARILLO",IF(color_Celda(E133)=5296274,"VERDE",IF(color_Celda(E133)=16777215,"BLANCO","NO SE"))))</f>
        <v>ROSA</v>
      </c>
      <c r="W133" s="7"/>
      <c r="X133" s="7"/>
      <c r="Y133" s="7"/>
      <c r="Z133" s="68"/>
      <c r="AA133" s="68"/>
      <c r="AB133" s="68"/>
      <c r="AC133" s="698"/>
    </row>
    <row r="134" spans="1:29" ht="60" customHeight="1" outlineLevel="1">
      <c r="A134" s="7">
        <v>131</v>
      </c>
      <c r="B134" s="19">
        <v>45012</v>
      </c>
      <c r="C134" s="15">
        <v>0.33333333333333331</v>
      </c>
      <c r="D134" s="7" t="s">
        <v>517</v>
      </c>
      <c r="E134" s="40" t="s">
        <v>516</v>
      </c>
      <c r="F134" s="7">
        <v>4</v>
      </c>
      <c r="G134" s="7" t="s">
        <v>43</v>
      </c>
      <c r="H134" s="297">
        <v>45035</v>
      </c>
      <c r="I134" s="7" t="s">
        <v>76</v>
      </c>
      <c r="J134" s="19" t="s">
        <v>78</v>
      </c>
      <c r="K134" s="7">
        <f>IFERROR(VLOOKUP(J134,Jueces!$A$1:$B$11,2,FALSE),"")</f>
        <v>8</v>
      </c>
      <c r="L134" s="7" t="s">
        <v>313</v>
      </c>
      <c r="M134" s="7" t="s">
        <v>545</v>
      </c>
      <c r="N134" s="7" t="s">
        <v>651</v>
      </c>
      <c r="O134" s="47" t="str">
        <f ca="1">IF(H134&lt;&gt;"",IF(H134&lt;=TODAY(),"SI","NO"),"LIMBO")</f>
        <v>SI</v>
      </c>
      <c r="P134" s="47" t="str">
        <f>IF($P$1=H134,"DIASOL", "DIANOSOL")</f>
        <v>DIANOSOL</v>
      </c>
      <c r="Q134" s="7" t="s">
        <v>903</v>
      </c>
      <c r="R134" s="7" t="str">
        <f>VLOOKUP($Q134,Resultados!$A$1:$B$49,2,FALSE)</f>
        <v>Juicio Abreviado</v>
      </c>
      <c r="S134" s="7"/>
      <c r="T134" s="68" t="str">
        <f>IF(G134=$J$1,"SI","NO")</f>
        <v>NO</v>
      </c>
      <c r="U134" s="68">
        <f>IF(H134="",0,MONTH(H134))</f>
        <v>4</v>
      </c>
      <c r="V134" s="7" t="str">
        <f ca="1">IF(color_Celda(E134)=12106214,"ROSA",IF(color_Celda(E134)=65535,"AMARILLO",IF(color_Celda(E134)=5296274,"VERDE",IF(color_Celda(E134)=16777215,"BLANCO","NO SE"))))</f>
        <v>ROSA</v>
      </c>
      <c r="W134" s="7"/>
      <c r="X134" s="7"/>
      <c r="Y134" s="7"/>
      <c r="Z134" s="68"/>
      <c r="AA134" s="68"/>
      <c r="AB134" s="68"/>
      <c r="AC134" s="324"/>
    </row>
    <row r="135" spans="1:29" ht="60" customHeight="1" outlineLevel="1">
      <c r="A135" s="7">
        <v>133</v>
      </c>
      <c r="B135" s="19">
        <v>45002</v>
      </c>
      <c r="C135" s="15">
        <v>0.35694444444444445</v>
      </c>
      <c r="D135" s="7" t="s">
        <v>439</v>
      </c>
      <c r="E135" s="40" t="s">
        <v>440</v>
      </c>
      <c r="F135" s="7">
        <v>4</v>
      </c>
      <c r="G135" s="7" t="s">
        <v>1433</v>
      </c>
      <c r="H135" s="297">
        <v>45035</v>
      </c>
      <c r="I135" s="7" t="s">
        <v>228</v>
      </c>
      <c r="J135" s="19" t="s">
        <v>31</v>
      </c>
      <c r="K135" s="7">
        <f>IFERROR(VLOOKUP(J135,Jueces!$A$1:$B$11,2,FALSE),"")</f>
        <v>2</v>
      </c>
      <c r="L135" s="7" t="s">
        <v>330</v>
      </c>
      <c r="M135" s="7" t="s">
        <v>695</v>
      </c>
      <c r="N135" s="7" t="s">
        <v>661</v>
      </c>
      <c r="O135" s="47" t="str">
        <f ca="1">IF(H135&lt;&gt;"",IF(H135&lt;=TODAY(),"SI","NO"),"LIMBO")</f>
        <v>SI</v>
      </c>
      <c r="P135" s="47" t="str">
        <f>IF($P$1=H135,"DIASOL", "DIANOSOL")</f>
        <v>DIANOSOL</v>
      </c>
      <c r="Q135" s="7" t="s">
        <v>902</v>
      </c>
      <c r="R135" s="7" t="str">
        <f>VLOOKUP($Q135,Resultados!$A$1:$B$49,2,FALSE)</f>
        <v>Juicio Abreviado</v>
      </c>
      <c r="S135" s="7"/>
      <c r="T135" s="68" t="str">
        <f>IF(G135=$J$1,"SI","NO")</f>
        <v>NO</v>
      </c>
      <c r="U135" s="68">
        <f>IF(H135="",0,MONTH(H135))</f>
        <v>4</v>
      </c>
      <c r="V135" s="7" t="str">
        <f ca="1">IF(color_Celda(E135)=12106214,"ROSA",IF(color_Celda(E135)=65535,"AMARILLO",IF(color_Celda(E135)=5296274,"VERDE",IF(color_Celda(E135)=16777215,"BLANCO","NO SE"))))</f>
        <v>ROSA</v>
      </c>
      <c r="W135" s="7"/>
      <c r="X135" s="7"/>
      <c r="Y135" s="7"/>
      <c r="Z135" s="68"/>
      <c r="AA135" s="68"/>
      <c r="AB135" s="68"/>
      <c r="AC135" s="324"/>
    </row>
    <row r="136" spans="1:29" ht="60" customHeight="1" outlineLevel="1">
      <c r="A136" s="7">
        <v>135</v>
      </c>
      <c r="B136" s="19">
        <v>45012</v>
      </c>
      <c r="C136" s="15">
        <v>0.5</v>
      </c>
      <c r="D136" s="7" t="s">
        <v>522</v>
      </c>
      <c r="E136" s="40" t="s">
        <v>524</v>
      </c>
      <c r="F136" s="7">
        <v>4</v>
      </c>
      <c r="G136" s="7" t="s">
        <v>283</v>
      </c>
      <c r="H136" s="297">
        <v>45036</v>
      </c>
      <c r="I136" s="7" t="s">
        <v>73</v>
      </c>
      <c r="J136" s="19" t="s">
        <v>78</v>
      </c>
      <c r="K136" s="7">
        <f>IFERROR(VLOOKUP(J136,Jueces!$A$1:$B$11,2,FALSE),"")</f>
        <v>8</v>
      </c>
      <c r="L136" s="7" t="s">
        <v>313</v>
      </c>
      <c r="M136" s="7" t="s">
        <v>695</v>
      </c>
      <c r="N136" s="7" t="s">
        <v>664</v>
      </c>
      <c r="O136" s="47" t="str">
        <f ca="1">IF(H136&lt;&gt;"",IF(H136&lt;=TODAY(),"SI","NO"),"LIMBO")</f>
        <v>SI</v>
      </c>
      <c r="P136" s="47" t="str">
        <f>IF($P$1=H136,"DIASOL", "DIANOSOL")</f>
        <v>DIANOSOL</v>
      </c>
      <c r="Q136" s="7" t="s">
        <v>897</v>
      </c>
      <c r="R136" s="7" t="str">
        <f>VLOOKUP($Q136,Resultados!$A$1:$B$49,2,FALSE)</f>
        <v>Libertad</v>
      </c>
      <c r="S136" s="7"/>
      <c r="T136" s="68" t="str">
        <f>IF(G136=$J$1,"SI","NO")</f>
        <v>NO</v>
      </c>
      <c r="U136" s="68">
        <f>IF(H136="",0,MONTH(H136))</f>
        <v>4</v>
      </c>
      <c r="V136" s="7" t="str">
        <f ca="1">IF(color_Celda(E136)=12106214,"ROSA",IF(color_Celda(E136)=65535,"AMARILLO",IF(color_Celda(E136)=5296274,"VERDE",IF(color_Celda(E136)=16777215,"BLANCO","NO SE"))))</f>
        <v>ROSA</v>
      </c>
      <c r="W136" s="7"/>
      <c r="X136" s="7"/>
      <c r="Y136" s="7"/>
      <c r="Z136" s="68"/>
      <c r="AA136" s="68"/>
      <c r="AB136" s="68"/>
      <c r="AC136" s="324"/>
    </row>
    <row r="137" spans="1:29" ht="60" customHeight="1" outlineLevel="1">
      <c r="A137" s="7">
        <v>136</v>
      </c>
      <c r="B137" s="19">
        <v>45014</v>
      </c>
      <c r="C137" s="15">
        <v>0.33333333333333331</v>
      </c>
      <c r="D137" s="7" t="s">
        <v>555</v>
      </c>
      <c r="E137" s="40" t="s">
        <v>557</v>
      </c>
      <c r="F137" s="7">
        <v>4</v>
      </c>
      <c r="G137" s="7" t="s">
        <v>568</v>
      </c>
      <c r="H137" s="297">
        <v>45036</v>
      </c>
      <c r="I137" s="7" t="s">
        <v>73</v>
      </c>
      <c r="J137" s="19" t="s">
        <v>33</v>
      </c>
      <c r="K137" s="7">
        <f>IFERROR(VLOOKUP(J137,Jueces!$A$1:$B$11,2,FALSE),"")</f>
        <v>4</v>
      </c>
      <c r="L137" s="7" t="s">
        <v>366</v>
      </c>
      <c r="M137" s="7" t="s">
        <v>690</v>
      </c>
      <c r="N137" s="7" t="s">
        <v>663</v>
      </c>
      <c r="O137" s="47" t="str">
        <f ca="1">IF(H137&lt;&gt;"",IF(H137&lt;=TODAY(),"SI","NO"),"LIMBO")</f>
        <v>SI</v>
      </c>
      <c r="P137" s="47" t="str">
        <f>IF($P$1=H137,"DIASOL", "DIANOSOL")</f>
        <v>DIANOSOL</v>
      </c>
      <c r="Q137" s="7" t="s">
        <v>902</v>
      </c>
      <c r="R137" s="7" t="str">
        <f>VLOOKUP($Q137,Resultados!$A$1:$B$49,2,FALSE)</f>
        <v>Juicio Abreviado</v>
      </c>
      <c r="S137" s="7"/>
      <c r="T137" s="68" t="str">
        <f>IF(G137=$J$1,"SI","NO")</f>
        <v>NO</v>
      </c>
      <c r="U137" s="68">
        <f>IF(H137="",0,MONTH(H137))</f>
        <v>4</v>
      </c>
      <c r="V137" s="7" t="str">
        <f ca="1">IF(color_Celda(E137)=12106214,"ROSA",IF(color_Celda(E137)=65535,"AMARILLO",IF(color_Celda(E137)=5296274,"VERDE",IF(color_Celda(E137)=16777215,"BLANCO","NO SE"))))</f>
        <v>ROSA</v>
      </c>
      <c r="W137" s="7"/>
      <c r="X137" s="7"/>
      <c r="Y137" s="7"/>
      <c r="Z137" s="68"/>
      <c r="AA137" s="68"/>
      <c r="AB137" s="68"/>
      <c r="AC137" s="324"/>
    </row>
    <row r="138" spans="1:29" ht="60" customHeight="1" outlineLevel="1">
      <c r="A138" s="7">
        <v>134</v>
      </c>
      <c r="B138" s="19">
        <v>45030</v>
      </c>
      <c r="C138" s="15">
        <v>0.45833333333333331</v>
      </c>
      <c r="D138" s="7" t="s">
        <v>379</v>
      </c>
      <c r="E138" s="40" t="s">
        <v>381</v>
      </c>
      <c r="F138" s="7">
        <v>4</v>
      </c>
      <c r="G138" s="7" t="s">
        <v>32</v>
      </c>
      <c r="H138" s="297">
        <v>45036</v>
      </c>
      <c r="I138" s="7" t="s">
        <v>987</v>
      </c>
      <c r="J138" s="19" t="s">
        <v>33</v>
      </c>
      <c r="K138" s="7">
        <f>IFERROR(VLOOKUP(J138,Jueces!$A$1:$B$11,2,FALSE),"")</f>
        <v>4</v>
      </c>
      <c r="L138" s="7" t="s">
        <v>380</v>
      </c>
      <c r="M138" s="7" t="s">
        <v>695</v>
      </c>
      <c r="N138" s="7" t="s">
        <v>577</v>
      </c>
      <c r="O138" s="47" t="str">
        <f ca="1">IF(H138&lt;&gt;"",IF(H138&lt;=TODAY(),"SI","NO"),"LIMBO")</f>
        <v>SI</v>
      </c>
      <c r="P138" s="47" t="str">
        <f>IF($P$1=H138,"DIASOL", "DIANOSOL")</f>
        <v>DIANOSOL</v>
      </c>
      <c r="Q138" s="7" t="s">
        <v>151</v>
      </c>
      <c r="R138" s="7" t="str">
        <f>VLOOKUP($Q138,Resultados!$A$1:$B$49,2,FALSE)</f>
        <v>Prisión Preventiva</v>
      </c>
      <c r="S138" s="7"/>
      <c r="T138" s="68" t="str">
        <f>IF(G138=$J$1,"SI","NO")</f>
        <v>NO</v>
      </c>
      <c r="U138" s="68">
        <f>IF(H138="",0,MONTH(H138))</f>
        <v>4</v>
      </c>
      <c r="V138" s="7" t="str">
        <f ca="1">IF(color_Celda(E138)=12106214,"ROSA",IF(color_Celda(E138)=65535,"AMARILLO",IF(color_Celda(E138)=5296274,"VERDE",IF(color_Celda(E138)=16777215,"BLANCO","NO SE"))))</f>
        <v>ROSA</v>
      </c>
      <c r="W138" s="7"/>
      <c r="X138" s="7"/>
      <c r="Y138" s="7"/>
      <c r="Z138" s="68"/>
      <c r="AA138" s="68"/>
      <c r="AB138" s="68"/>
      <c r="AC138" s="324"/>
    </row>
    <row r="139" spans="1:29" ht="60" customHeight="1" outlineLevel="1">
      <c r="A139" s="7">
        <v>137</v>
      </c>
      <c r="B139" s="19">
        <v>45012</v>
      </c>
      <c r="C139" s="15" t="s">
        <v>73</v>
      </c>
      <c r="D139" s="7" t="s">
        <v>531</v>
      </c>
      <c r="E139" s="40" t="s">
        <v>534</v>
      </c>
      <c r="F139" s="7">
        <v>4</v>
      </c>
      <c r="G139" s="7" t="s">
        <v>1433</v>
      </c>
      <c r="H139" s="297">
        <v>45036</v>
      </c>
      <c r="I139" s="7" t="s">
        <v>228</v>
      </c>
      <c r="J139" s="19" t="s">
        <v>33</v>
      </c>
      <c r="K139" s="7">
        <f>IFERROR(VLOOKUP(J139,Jueces!$A$1:$B$11,2,FALSE),"")</f>
        <v>4</v>
      </c>
      <c r="L139" s="7" t="s">
        <v>365</v>
      </c>
      <c r="M139" s="7" t="s">
        <v>695</v>
      </c>
      <c r="N139" s="7" t="s">
        <v>665</v>
      </c>
      <c r="O139" s="47" t="str">
        <f ca="1">IF(H139&lt;&gt;"",IF(H139&lt;=TODAY(),"SI","NO"),"LIMBO")</f>
        <v>SI</v>
      </c>
      <c r="P139" s="47" t="str">
        <f>IF($P$1=H139,"DIASOL", "DIANOSOL")</f>
        <v>DIANOSOL</v>
      </c>
      <c r="Q139" s="7" t="s">
        <v>902</v>
      </c>
      <c r="R139" s="7" t="str">
        <f>VLOOKUP($Q139,Resultados!$A$1:$B$49,2,FALSE)</f>
        <v>Juicio Abreviado</v>
      </c>
      <c r="S139" s="7"/>
      <c r="T139" s="68" t="str">
        <f>IF(G139=$J$1,"SI","NO")</f>
        <v>NO</v>
      </c>
      <c r="U139" s="68">
        <f>IF(H139="",0,MONTH(H139))</f>
        <v>4</v>
      </c>
      <c r="V139" s="7" t="str">
        <f ca="1">IF(color_Celda(E139)=12106214,"ROSA",IF(color_Celda(E139)=65535,"AMARILLO",IF(color_Celda(E139)=5296274,"VERDE",IF(color_Celda(E139)=16777215,"BLANCO","NO SE"))))</f>
        <v>ROSA</v>
      </c>
      <c r="W139" s="7"/>
      <c r="X139" s="7"/>
      <c r="Y139" s="7"/>
      <c r="Z139" s="68"/>
      <c r="AA139" s="68"/>
      <c r="AB139" s="68"/>
      <c r="AC139" s="324"/>
    </row>
    <row r="140" spans="1:29" ht="60" customHeight="1" outlineLevel="1">
      <c r="A140" s="7">
        <v>139</v>
      </c>
      <c r="B140" s="19">
        <v>45012</v>
      </c>
      <c r="C140" s="15">
        <v>0.33333333333333331</v>
      </c>
      <c r="D140" s="7" t="s">
        <v>575</v>
      </c>
      <c r="E140" s="40" t="s">
        <v>574</v>
      </c>
      <c r="F140" s="7">
        <v>4</v>
      </c>
      <c r="G140" s="7" t="s">
        <v>568</v>
      </c>
      <c r="H140" s="297">
        <v>45037</v>
      </c>
      <c r="I140" s="7" t="s">
        <v>73</v>
      </c>
      <c r="J140" s="19" t="s">
        <v>33</v>
      </c>
      <c r="K140" s="7">
        <f>IFERROR(VLOOKUP(J140,Jueces!$A$1:$B$11,2,FALSE),"")</f>
        <v>4</v>
      </c>
      <c r="L140" s="7" t="s">
        <v>262</v>
      </c>
      <c r="M140" s="7" t="s">
        <v>287</v>
      </c>
      <c r="N140" s="7" t="s">
        <v>666</v>
      </c>
      <c r="O140" s="47" t="str">
        <f ca="1">IF(H140&lt;&gt;"",IF(H140&lt;=TODAY(),"SI","NO"),"LIMBO")</f>
        <v>SI</v>
      </c>
      <c r="P140" s="47" t="str">
        <f>IF($P$1=H140,"DIASOL", "DIANOSOL")</f>
        <v>DIANOSOL</v>
      </c>
      <c r="Q140" s="7" t="s">
        <v>902</v>
      </c>
      <c r="R140" s="7" t="str">
        <f>VLOOKUP($Q140,Resultados!$A$1:$B$49,2,FALSE)</f>
        <v>Juicio Abreviado</v>
      </c>
      <c r="S140" s="7"/>
      <c r="T140" s="68" t="str">
        <f>IF(G140=$J$1,"SI","NO")</f>
        <v>NO</v>
      </c>
      <c r="U140" s="68">
        <f>IF(H140="",0,MONTH(H140))</f>
        <v>4</v>
      </c>
      <c r="V140" s="7" t="str">
        <f ca="1">IF(color_Celda(E140)=12106214,"ROSA",IF(color_Celda(E140)=65535,"AMARILLO",IF(color_Celda(E140)=5296274,"VERDE",IF(color_Celda(E140)=16777215,"BLANCO","NO SE"))))</f>
        <v>ROSA</v>
      </c>
      <c r="W140" s="7"/>
      <c r="X140" s="7"/>
      <c r="Y140" s="7"/>
      <c r="Z140" s="68"/>
      <c r="AA140" s="68"/>
      <c r="AB140" s="68"/>
      <c r="AC140" s="324"/>
    </row>
    <row r="141" spans="1:29" ht="60" customHeight="1" outlineLevel="1">
      <c r="A141" s="7">
        <v>138</v>
      </c>
      <c r="B141" s="19">
        <v>45034</v>
      </c>
      <c r="C141" s="15">
        <v>0.33333333333333331</v>
      </c>
      <c r="D141" s="7" t="s">
        <v>649</v>
      </c>
      <c r="E141" s="40" t="s">
        <v>650</v>
      </c>
      <c r="F141" s="7">
        <v>4</v>
      </c>
      <c r="G141" s="7" t="s">
        <v>1433</v>
      </c>
      <c r="H141" s="297">
        <v>45037</v>
      </c>
      <c r="I141" s="7" t="s">
        <v>73</v>
      </c>
      <c r="J141" s="19" t="s">
        <v>31</v>
      </c>
      <c r="K141" s="7">
        <f>IFERROR(VLOOKUP(J141,Jueces!$A$1:$B$11,2,FALSE),"")</f>
        <v>2</v>
      </c>
      <c r="L141" s="7" t="s">
        <v>600</v>
      </c>
      <c r="M141" s="7" t="s">
        <v>523</v>
      </c>
      <c r="N141" s="7" t="s">
        <v>667</v>
      </c>
      <c r="O141" s="47" t="str">
        <f ca="1">IF(H141&lt;&gt;"",IF(H141&lt;=TODAY(),"SI","NO"),"LIMBO")</f>
        <v>SI</v>
      </c>
      <c r="P141" s="47" t="str">
        <f>IF($P$1=H141,"DIASOL", "DIANOSOL")</f>
        <v>DIANOSOL</v>
      </c>
      <c r="Q141" s="7" t="s">
        <v>903</v>
      </c>
      <c r="R141" s="7" t="str">
        <f>VLOOKUP($Q141,Resultados!$A$1:$B$49,2,FALSE)</f>
        <v>Juicio Abreviado</v>
      </c>
      <c r="S141" s="7"/>
      <c r="T141" s="68" t="str">
        <f>IF(G141=$J$1,"SI","NO")</f>
        <v>NO</v>
      </c>
      <c r="U141" s="68">
        <f>IF(H141="",0,MONTH(H141))</f>
        <v>4</v>
      </c>
      <c r="V141" s="7" t="str">
        <f ca="1">IF(color_Celda(E141)=12106214,"ROSA",IF(color_Celda(E141)=65535,"AMARILLO",IF(color_Celda(E141)=5296274,"VERDE",IF(color_Celda(E141)=16777215,"BLANCO","NO SE"))))</f>
        <v>ROSA</v>
      </c>
      <c r="W141" s="7"/>
      <c r="X141" s="7"/>
      <c r="Y141" s="7"/>
      <c r="Z141" s="68"/>
      <c r="AA141" s="68"/>
      <c r="AB141" s="68"/>
      <c r="AC141" s="324"/>
    </row>
    <row r="142" spans="1:29" ht="60" customHeight="1" outlineLevel="1">
      <c r="A142" s="7">
        <v>140</v>
      </c>
      <c r="B142" s="19">
        <v>45005</v>
      </c>
      <c r="C142" s="15">
        <v>0.33333333333333331</v>
      </c>
      <c r="D142" s="7" t="s">
        <v>454</v>
      </c>
      <c r="E142" s="40" t="s">
        <v>455</v>
      </c>
      <c r="F142" s="7">
        <v>4</v>
      </c>
      <c r="G142" s="7" t="s">
        <v>34</v>
      </c>
      <c r="H142" s="297">
        <v>45040</v>
      </c>
      <c r="I142" s="7" t="s">
        <v>73</v>
      </c>
      <c r="J142" s="19" t="s">
        <v>33</v>
      </c>
      <c r="K142" s="7">
        <f>IFERROR(VLOOKUP(J142,Jueces!$A$1:$B$11,2,FALSE),"")</f>
        <v>4</v>
      </c>
      <c r="L142" s="7" t="s">
        <v>247</v>
      </c>
      <c r="M142" s="7" t="s">
        <v>695</v>
      </c>
      <c r="N142" s="7" t="s">
        <v>719</v>
      </c>
      <c r="O142" s="47" t="str">
        <f ca="1">IF(H142&lt;&gt;"",IF(H142&lt;=TODAY(),"SI","NO"),"LIMBO")</f>
        <v>SI</v>
      </c>
      <c r="P142" s="47" t="str">
        <f>IF($P$1=H142,"DIASOL", "DIANOSOL")</f>
        <v>DIANOSOL</v>
      </c>
      <c r="Q142" s="7" t="s">
        <v>902</v>
      </c>
      <c r="R142" s="7" t="str">
        <f>VLOOKUP($Q142,Resultados!$A$1:$B$49,2,FALSE)</f>
        <v>Juicio Abreviado</v>
      </c>
      <c r="S142" s="7"/>
      <c r="T142" s="68" t="str">
        <f>IF(G142=$J$1,"SI","NO")</f>
        <v>NO</v>
      </c>
      <c r="U142" s="68">
        <f>IF(H142="",0,MONTH(H142))</f>
        <v>4</v>
      </c>
      <c r="V142" s="7" t="str">
        <f ca="1">IF(color_Celda(E142)=12106214,"ROSA",IF(color_Celda(E142)=65535,"AMARILLO",IF(color_Celda(E142)=5296274,"VERDE",IF(color_Celda(E142)=16777215,"BLANCO","NO SE"))))</f>
        <v>ROSA</v>
      </c>
      <c r="W142" s="7"/>
      <c r="X142" s="7"/>
      <c r="Y142" s="7"/>
      <c r="Z142" s="68"/>
      <c r="AA142" s="68"/>
      <c r="AB142" s="68"/>
      <c r="AC142" s="324"/>
    </row>
    <row r="143" spans="1:29" ht="60" customHeight="1" outlineLevel="1">
      <c r="A143" s="7">
        <v>141</v>
      </c>
      <c r="B143" s="19">
        <v>45005</v>
      </c>
      <c r="C143" s="15">
        <v>0.35972222222222222</v>
      </c>
      <c r="D143" s="7" t="s">
        <v>451</v>
      </c>
      <c r="E143" s="40" t="s">
        <v>452</v>
      </c>
      <c r="F143" s="7">
        <v>3</v>
      </c>
      <c r="G143" s="7" t="s">
        <v>32</v>
      </c>
      <c r="H143" s="297">
        <v>45040</v>
      </c>
      <c r="I143" s="7" t="s">
        <v>73</v>
      </c>
      <c r="J143" s="19" t="s">
        <v>35</v>
      </c>
      <c r="K143" s="7">
        <f>IFERROR(VLOOKUP(J143,Jueces!$A$1:$B$11,2,FALSE),"")</f>
        <v>3</v>
      </c>
      <c r="L143" s="7" t="s">
        <v>412</v>
      </c>
      <c r="M143" s="7" t="s">
        <v>453</v>
      </c>
      <c r="N143" s="7" t="s">
        <v>669</v>
      </c>
      <c r="O143" s="47" t="str">
        <f ca="1">IF(H143&lt;&gt;"",IF(H143&lt;=TODAY(),"SI","NO"),"LIMBO")</f>
        <v>SI</v>
      </c>
      <c r="P143" s="47" t="str">
        <f>IF($P$1=H143,"DIASOL", "DIANOSOL")</f>
        <v>DIANOSOL</v>
      </c>
      <c r="Q143" s="7" t="s">
        <v>902</v>
      </c>
      <c r="R143" s="7" t="str">
        <f>VLOOKUP($Q143,Resultados!$A$1:$B$49,2,FALSE)</f>
        <v>Juicio Abreviado</v>
      </c>
      <c r="S143" s="7"/>
      <c r="T143" s="68" t="str">
        <f>IF(G143=$J$1,"SI","NO")</f>
        <v>NO</v>
      </c>
      <c r="U143" s="68">
        <f>IF(H143="",0,MONTH(H143))</f>
        <v>4</v>
      </c>
      <c r="V143" s="7" t="str">
        <f ca="1">IF(color_Celda(E143)=12106214,"ROSA",IF(color_Celda(E143)=65535,"AMARILLO",IF(color_Celda(E143)=5296274,"VERDE",IF(color_Celda(E143)=16777215,"BLANCO","NO SE"))))</f>
        <v>ROSA</v>
      </c>
      <c r="W143" s="7"/>
      <c r="X143" s="7"/>
      <c r="Y143" s="7"/>
      <c r="Z143" s="68"/>
      <c r="AA143" s="68"/>
      <c r="AB143" s="68"/>
      <c r="AC143" s="324"/>
    </row>
    <row r="144" spans="1:29" ht="60" customHeight="1" outlineLevel="1">
      <c r="A144" s="7">
        <v>142</v>
      </c>
      <c r="B144" s="19">
        <v>45013</v>
      </c>
      <c r="C144" s="15">
        <v>0.45833333333333331</v>
      </c>
      <c r="D144" s="7" t="s">
        <v>592</v>
      </c>
      <c r="E144" s="40" t="s">
        <v>590</v>
      </c>
      <c r="F144" s="7">
        <v>4</v>
      </c>
      <c r="G144" s="7" t="s">
        <v>43</v>
      </c>
      <c r="H144" s="297">
        <v>45040</v>
      </c>
      <c r="I144" s="7" t="s">
        <v>73</v>
      </c>
      <c r="J144" s="19" t="s">
        <v>78</v>
      </c>
      <c r="K144" s="7">
        <f>IFERROR(VLOOKUP(J144,Jueces!$A$1:$B$11,2,FALSE),"")</f>
        <v>8</v>
      </c>
      <c r="L144" s="7" t="s">
        <v>409</v>
      </c>
      <c r="M144" s="7" t="s">
        <v>363</v>
      </c>
      <c r="N144" s="7" t="s">
        <v>670</v>
      </c>
      <c r="O144" s="47" t="str">
        <f ca="1">IF(H144&lt;&gt;"",IF(H144&lt;=TODAY(),"SI","NO"),"LIMBO")</f>
        <v>SI</v>
      </c>
      <c r="P144" s="47" t="str">
        <f>IF($P$1=H144,"DIASOL", "DIANOSOL")</f>
        <v>DIANOSOL</v>
      </c>
      <c r="Q144" s="7" t="s">
        <v>903</v>
      </c>
      <c r="R144" s="7" t="str">
        <f>VLOOKUP($Q144,Resultados!$A$1:$B$49,2,FALSE)</f>
        <v>Juicio Abreviado</v>
      </c>
      <c r="S144" s="7"/>
      <c r="T144" s="68" t="str">
        <f>IF(G144=$J$1,"SI","NO")</f>
        <v>NO</v>
      </c>
      <c r="U144" s="68">
        <f>IF(H144="",0,MONTH(H144))</f>
        <v>4</v>
      </c>
      <c r="V144" s="7" t="str">
        <f ca="1">IF(color_Celda(E144)=12106214,"ROSA",IF(color_Celda(E144)=65535,"AMARILLO",IF(color_Celda(E144)=5296274,"VERDE",IF(color_Celda(E144)=16777215,"BLANCO","NO SE"))))</f>
        <v>ROSA</v>
      </c>
      <c r="W144" s="7"/>
      <c r="X144" s="7"/>
      <c r="Y144" s="7"/>
      <c r="Z144" s="68"/>
      <c r="AA144" s="68"/>
      <c r="AB144" s="68"/>
      <c r="AC144" s="324"/>
    </row>
    <row r="145" spans="1:29" ht="60" customHeight="1" outlineLevel="1">
      <c r="A145" s="7">
        <v>143</v>
      </c>
      <c r="B145" s="19">
        <v>45006</v>
      </c>
      <c r="C145" s="15">
        <v>0.3923611111111111</v>
      </c>
      <c r="D145" s="7" t="s">
        <v>476</v>
      </c>
      <c r="E145" s="40" t="s">
        <v>478</v>
      </c>
      <c r="F145" s="7">
        <v>4</v>
      </c>
      <c r="G145" s="7" t="s">
        <v>43</v>
      </c>
      <c r="H145" s="297">
        <v>45041</v>
      </c>
      <c r="I145" s="7" t="s">
        <v>73</v>
      </c>
      <c r="J145" s="19" t="s">
        <v>33</v>
      </c>
      <c r="K145" s="7">
        <f>IFERROR(VLOOKUP(J145,Jueces!$A$1:$B$11,2,FALSE),"")</f>
        <v>4</v>
      </c>
      <c r="L145" s="7" t="s">
        <v>366</v>
      </c>
      <c r="M145" s="7" t="s">
        <v>695</v>
      </c>
      <c r="N145" s="7" t="s">
        <v>718</v>
      </c>
      <c r="O145" s="47" t="str">
        <f ca="1">IF(H145&lt;&gt;"",IF(H145&lt;=TODAY(),"SI","NO"),"LIMBO")</f>
        <v>SI</v>
      </c>
      <c r="P145" s="47" t="str">
        <f>IF($P$1=H145,"DIASOL", "DIANOSOL")</f>
        <v>DIANOSOL</v>
      </c>
      <c r="Q145" s="7" t="s">
        <v>151</v>
      </c>
      <c r="R145" s="7" t="str">
        <f>VLOOKUP($Q145,Resultados!$A$1:$B$49,2,FALSE)</f>
        <v>Prisión Preventiva</v>
      </c>
      <c r="S145" s="7"/>
      <c r="T145" s="68" t="str">
        <f>IF(G145=$J$1,"SI","NO")</f>
        <v>NO</v>
      </c>
      <c r="U145" s="68">
        <f>IF(H145="",0,MONTH(H145))</f>
        <v>4</v>
      </c>
      <c r="V145" s="7" t="str">
        <f ca="1">IF(color_Celda(E145)=12106214,"ROSA",IF(color_Celda(E145)=65535,"AMARILLO",IF(color_Celda(E145)=5296274,"VERDE",IF(color_Celda(E145)=16777215,"BLANCO","NO SE"))))</f>
        <v>ROSA</v>
      </c>
      <c r="W145" s="7"/>
      <c r="X145" s="7"/>
      <c r="Y145" s="7"/>
      <c r="Z145" s="68"/>
      <c r="AA145" s="68"/>
      <c r="AB145" s="68"/>
      <c r="AC145" s="324"/>
    </row>
    <row r="146" spans="1:29" ht="60" customHeight="1" outlineLevel="1">
      <c r="A146" s="7">
        <v>144</v>
      </c>
      <c r="B146" s="19">
        <v>45002</v>
      </c>
      <c r="C146" s="15">
        <v>0.34930555555555554</v>
      </c>
      <c r="D146" s="7" t="s">
        <v>437</v>
      </c>
      <c r="E146" s="40" t="s">
        <v>438</v>
      </c>
      <c r="F146" s="7">
        <v>4</v>
      </c>
      <c r="G146" s="7" t="s">
        <v>283</v>
      </c>
      <c r="H146" s="297">
        <v>45041</v>
      </c>
      <c r="I146" s="7" t="s">
        <v>75</v>
      </c>
      <c r="J146" s="19" t="s">
        <v>78</v>
      </c>
      <c r="K146" s="7">
        <f>IFERROR(VLOOKUP(J146,Jueces!$A$1:$B$11,2,FALSE),"")</f>
        <v>8</v>
      </c>
      <c r="L146" s="7" t="s">
        <v>412</v>
      </c>
      <c r="M146" s="7" t="s">
        <v>141</v>
      </c>
      <c r="N146" s="7" t="s">
        <v>676</v>
      </c>
      <c r="O146" s="47" t="str">
        <f ca="1">IF(H146&lt;&gt;"",IF(H146&lt;=TODAY(),"SI","NO"),"LIMBO")</f>
        <v>SI</v>
      </c>
      <c r="P146" s="47" t="str">
        <f>IF($P$1=H146,"DIASOL", "DIANOSOL")</f>
        <v>DIANOSOL</v>
      </c>
      <c r="Q146" s="7" t="s">
        <v>903</v>
      </c>
      <c r="R146" s="7" t="str">
        <f>VLOOKUP($Q146,Resultados!$A$1:$B$49,2,FALSE)</f>
        <v>Juicio Abreviado</v>
      </c>
      <c r="S146" s="7"/>
      <c r="T146" s="68" t="str">
        <f>IF(G146=$J$1,"SI","NO")</f>
        <v>NO</v>
      </c>
      <c r="U146" s="68">
        <f>IF(H146="",0,MONTH(H146))</f>
        <v>4</v>
      </c>
      <c r="V146" s="7" t="str">
        <f ca="1">IF(color_Celda(E146)=12106214,"ROSA",IF(color_Celda(E146)=65535,"AMARILLO",IF(color_Celda(E146)=5296274,"VERDE",IF(color_Celda(E146)=16777215,"BLANCO","NO SE"))))</f>
        <v>ROSA</v>
      </c>
      <c r="W146" s="7"/>
      <c r="X146" s="7"/>
      <c r="Y146" s="7"/>
      <c r="Z146" s="68"/>
      <c r="AA146" s="68"/>
      <c r="AB146" s="68"/>
      <c r="AC146" s="324"/>
    </row>
    <row r="147" spans="1:29" ht="60" customHeight="1" outlineLevel="1">
      <c r="A147" s="7">
        <v>145</v>
      </c>
      <c r="B147" s="19">
        <v>45014</v>
      </c>
      <c r="C147" s="15">
        <v>0.34791666666666665</v>
      </c>
      <c r="D147" s="7" t="s">
        <v>492</v>
      </c>
      <c r="E147" s="40" t="s">
        <v>527</v>
      </c>
      <c r="F147" s="7">
        <v>4</v>
      </c>
      <c r="G147" s="7" t="s">
        <v>1433</v>
      </c>
      <c r="H147" s="297">
        <v>45042</v>
      </c>
      <c r="I147" s="7" t="s">
        <v>73</v>
      </c>
      <c r="J147" s="19" t="s">
        <v>78</v>
      </c>
      <c r="K147" s="7">
        <f>IFERROR(VLOOKUP(J147,Jueces!$A$1:$B$11,2,FALSE),"")</f>
        <v>8</v>
      </c>
      <c r="L147" s="7" t="s">
        <v>508</v>
      </c>
      <c r="M147" s="7" t="s">
        <v>693</v>
      </c>
      <c r="N147" s="7" t="s">
        <v>717</v>
      </c>
      <c r="O147" s="47" t="str">
        <f ca="1">IF(H147&lt;&gt;"",IF(H147&lt;=TODAY(),"SI","NO"),"LIMBO")</f>
        <v>SI</v>
      </c>
      <c r="P147" s="47" t="str">
        <f>IF($P$1=H147,"DIASOL", "DIANOSOL")</f>
        <v>DIANOSOL</v>
      </c>
      <c r="Q147" s="7" t="s">
        <v>151</v>
      </c>
      <c r="R147" s="7" t="str">
        <f>VLOOKUP($Q147,Resultados!$A$1:$B$49,2,FALSE)</f>
        <v>Prisión Preventiva</v>
      </c>
      <c r="S147" s="7"/>
      <c r="T147" s="68" t="str">
        <f>IF(G147=$J$1,"SI","NO")</f>
        <v>NO</v>
      </c>
      <c r="U147" s="68">
        <f>IF(H147="",0,MONTH(H147))</f>
        <v>4</v>
      </c>
      <c r="V147" s="7" t="str">
        <f ca="1">IF(color_Celda(E147)=12106214,"ROSA",IF(color_Celda(E147)=65535,"AMARILLO",IF(color_Celda(E147)=5296274,"VERDE",IF(color_Celda(E147)=16777215,"BLANCO","NO SE"))))</f>
        <v>ROSA</v>
      </c>
      <c r="W147" s="7"/>
      <c r="X147" s="7"/>
      <c r="Y147" s="7"/>
      <c r="Z147" s="68"/>
      <c r="AA147" s="68"/>
      <c r="AB147" s="68"/>
      <c r="AC147" s="324"/>
    </row>
    <row r="148" spans="1:29" ht="60" customHeight="1" outlineLevel="1">
      <c r="A148" s="7">
        <v>146</v>
      </c>
      <c r="B148" s="19">
        <v>45015</v>
      </c>
      <c r="C148" s="15">
        <v>0.45833333333333331</v>
      </c>
      <c r="D148" s="7" t="s">
        <v>542</v>
      </c>
      <c r="E148" s="40" t="s">
        <v>543</v>
      </c>
      <c r="F148" s="7">
        <v>4</v>
      </c>
      <c r="G148" s="7" t="s">
        <v>43</v>
      </c>
      <c r="H148" s="297">
        <v>45042</v>
      </c>
      <c r="I148" s="7" t="s">
        <v>73</v>
      </c>
      <c r="J148" s="19" t="s">
        <v>33</v>
      </c>
      <c r="K148" s="7">
        <f>IFERROR(VLOOKUP(J148,Jueces!$A$1:$B$11,2,FALSE),"")</f>
        <v>4</v>
      </c>
      <c r="L148" s="7" t="s">
        <v>581</v>
      </c>
      <c r="M148" s="7" t="s">
        <v>695</v>
      </c>
      <c r="N148" s="7" t="s">
        <v>678</v>
      </c>
      <c r="O148" s="47" t="str">
        <f ca="1">IF(H148&lt;&gt;"",IF(H148&lt;=TODAY(),"SI","NO"),"LIMBO")</f>
        <v>SI</v>
      </c>
      <c r="P148" s="47" t="str">
        <f>IF($P$1=H148,"DIASOL", "DIANOSOL")</f>
        <v>DIANOSOL</v>
      </c>
      <c r="Q148" s="7" t="s">
        <v>897</v>
      </c>
      <c r="R148" s="7" t="str">
        <f>VLOOKUP($Q148,Resultados!$A$1:$B$49,2,FALSE)</f>
        <v>Libertad</v>
      </c>
      <c r="S148" s="7"/>
      <c r="T148" s="68" t="str">
        <f>IF(G148=$J$1,"SI","NO")</f>
        <v>NO</v>
      </c>
      <c r="U148" s="68">
        <f>IF(H148="",0,MONTH(H148))</f>
        <v>4</v>
      </c>
      <c r="V148" s="7" t="str">
        <f ca="1">IF(color_Celda(E148)=12106214,"ROSA",IF(color_Celda(E148)=65535,"AMARILLO",IF(color_Celda(E148)=5296274,"VERDE",IF(color_Celda(E148)=16777215,"BLANCO","NO SE"))))</f>
        <v>ROSA</v>
      </c>
      <c r="W148" s="7"/>
      <c r="X148" s="7"/>
      <c r="Y148" s="7"/>
      <c r="Z148" s="68"/>
      <c r="AA148" s="68"/>
      <c r="AB148" s="68"/>
      <c r="AC148" s="324"/>
    </row>
    <row r="149" spans="1:29" ht="60" customHeight="1" outlineLevel="1">
      <c r="A149" s="7">
        <v>147</v>
      </c>
      <c r="B149" s="19">
        <v>45007</v>
      </c>
      <c r="C149" s="15">
        <v>0.34930555555555554</v>
      </c>
      <c r="D149" s="7" t="s">
        <v>495</v>
      </c>
      <c r="E149" s="40" t="s">
        <v>493</v>
      </c>
      <c r="F149" s="7">
        <v>4</v>
      </c>
      <c r="G149" s="7" t="s">
        <v>34</v>
      </c>
      <c r="H149" s="297">
        <v>45042</v>
      </c>
      <c r="I149" s="7" t="s">
        <v>75</v>
      </c>
      <c r="J149" s="19" t="s">
        <v>33</v>
      </c>
      <c r="K149" s="7">
        <f>IFERROR(VLOOKUP(J149,Jueces!$A$1:$B$11,2,FALSE),"")</f>
        <v>4</v>
      </c>
      <c r="L149" s="7" t="s">
        <v>414</v>
      </c>
      <c r="M149" s="7" t="s">
        <v>695</v>
      </c>
      <c r="N149" s="7" t="s">
        <v>716</v>
      </c>
      <c r="O149" s="47" t="str">
        <f ca="1">IF(H149&lt;&gt;"",IF(H149&lt;=TODAY(),"SI","NO"),"LIMBO")</f>
        <v>SI</v>
      </c>
      <c r="P149" s="47" t="str">
        <f>IF($P$1=H149,"DIASOL", "DIANOSOL")</f>
        <v>DIANOSOL</v>
      </c>
      <c r="Q149" s="7" t="s">
        <v>151</v>
      </c>
      <c r="R149" s="7" t="str">
        <f>VLOOKUP($Q149,Resultados!$A$1:$B$49,2,FALSE)</f>
        <v>Prisión Preventiva</v>
      </c>
      <c r="S149" s="7"/>
      <c r="T149" s="68" t="str">
        <f>IF(G149=$J$1,"SI","NO")</f>
        <v>NO</v>
      </c>
      <c r="U149" s="68">
        <f>IF(H149="",0,MONTH(H149))</f>
        <v>4</v>
      </c>
      <c r="V149" s="7" t="str">
        <f ca="1">IF(color_Celda(E149)=12106214,"ROSA",IF(color_Celda(E149)=65535,"AMARILLO",IF(color_Celda(E149)=5296274,"VERDE",IF(color_Celda(E149)=16777215,"BLANCO","NO SE"))))</f>
        <v>ROSA</v>
      </c>
      <c r="W149" s="7"/>
      <c r="X149" s="7"/>
      <c r="Y149" s="7"/>
      <c r="Z149" s="68"/>
      <c r="AA149" s="68"/>
      <c r="AB149" s="68"/>
      <c r="AC149" s="324"/>
    </row>
    <row r="150" spans="1:29" ht="60" customHeight="1" outlineLevel="1">
      <c r="A150" s="7">
        <v>148</v>
      </c>
      <c r="B150" s="19">
        <v>45016</v>
      </c>
      <c r="C150" s="15">
        <v>0.5</v>
      </c>
      <c r="D150" s="7" t="s">
        <v>591</v>
      </c>
      <c r="E150" s="40" t="s">
        <v>601</v>
      </c>
      <c r="F150" s="7">
        <v>4</v>
      </c>
      <c r="G150" s="7" t="s">
        <v>29</v>
      </c>
      <c r="H150" s="297">
        <v>45043</v>
      </c>
      <c r="I150" s="7" t="s">
        <v>73</v>
      </c>
      <c r="J150" s="19" t="s">
        <v>35</v>
      </c>
      <c r="K150" s="7">
        <f>IFERROR(VLOOKUP(J150,Jueces!$A$1:$B$11,2,FALSE),"")</f>
        <v>3</v>
      </c>
      <c r="L150" s="7" t="s">
        <v>600</v>
      </c>
      <c r="M150" s="7" t="s">
        <v>287</v>
      </c>
      <c r="N150" s="7" t="s">
        <v>860</v>
      </c>
      <c r="O150" s="47" t="str">
        <f ca="1">IF(H150&lt;&gt;"",IF(H150&lt;=TODAY(),"SI","NO"),"LIMBO")</f>
        <v>SI</v>
      </c>
      <c r="P150" s="47" t="str">
        <f>IF($P$1=H150,"DIASOL", "DIANOSOL")</f>
        <v>DIANOSOL</v>
      </c>
      <c r="Q150" s="7" t="s">
        <v>902</v>
      </c>
      <c r="R150" s="7" t="str">
        <f>VLOOKUP($Q150,Resultados!$A$1:$B$49,2,FALSE)</f>
        <v>Juicio Abreviado</v>
      </c>
      <c r="S150" s="7"/>
      <c r="T150" s="68" t="str">
        <f>IF(G150=$J$1,"SI","NO")</f>
        <v>NO</v>
      </c>
      <c r="U150" s="68">
        <f>IF(H150="",0,MONTH(H150))</f>
        <v>4</v>
      </c>
      <c r="V150" s="7" t="str">
        <f ca="1">IF(color_Celda(E150)=12106214,"ROSA",IF(color_Celda(E150)=65535,"AMARILLO",IF(color_Celda(E150)=5296274,"VERDE",IF(color_Celda(E150)=16777215,"BLANCO","NO SE"))))</f>
        <v>ROSA</v>
      </c>
      <c r="W150" s="7"/>
      <c r="X150" s="7"/>
      <c r="Y150" s="7"/>
      <c r="Z150" s="68"/>
      <c r="AA150" s="68"/>
      <c r="AB150" s="68"/>
      <c r="AC150" s="324"/>
    </row>
    <row r="151" spans="1:29" ht="60" customHeight="1" outlineLevel="1">
      <c r="A151" s="7">
        <v>149</v>
      </c>
      <c r="B151" s="19">
        <v>45014</v>
      </c>
      <c r="C151" s="15">
        <v>0.3611111111111111</v>
      </c>
      <c r="D151" s="7" t="s">
        <v>552</v>
      </c>
      <c r="E151" s="40" t="s">
        <v>553</v>
      </c>
      <c r="F151" s="7">
        <v>4</v>
      </c>
      <c r="G151" s="7" t="s">
        <v>32</v>
      </c>
      <c r="H151" s="297">
        <v>45043</v>
      </c>
      <c r="I151" s="7" t="s">
        <v>76</v>
      </c>
      <c r="J151" s="19" t="s">
        <v>35</v>
      </c>
      <c r="K151" s="7">
        <f>IFERROR(VLOOKUP(J151,Jueces!$A$1:$B$11,2,FALSE),"")</f>
        <v>3</v>
      </c>
      <c r="L151" s="7" t="s">
        <v>582</v>
      </c>
      <c r="M151" s="7" t="s">
        <v>363</v>
      </c>
      <c r="N151" s="7" t="s">
        <v>577</v>
      </c>
      <c r="O151" s="47" t="str">
        <f ca="1">IF(H151&lt;&gt;"",IF(H151&lt;=TODAY(),"SI","NO"),"LIMBO")</f>
        <v>SI</v>
      </c>
      <c r="P151" s="47" t="str">
        <f>IF($P$1=H151,"DIASOL", "DIANOSOL")</f>
        <v>DIANOSOL</v>
      </c>
      <c r="Q151" s="7" t="s">
        <v>151</v>
      </c>
      <c r="R151" s="7" t="str">
        <f>VLOOKUP($Q151,Resultados!$A$1:$B$49,2,FALSE)</f>
        <v>Prisión Preventiva</v>
      </c>
      <c r="S151" s="7"/>
      <c r="T151" s="68" t="str">
        <f>IF(G151=$J$1,"SI","NO")</f>
        <v>NO</v>
      </c>
      <c r="U151" s="68">
        <f>IF(H151="",0,MONTH(H151))</f>
        <v>4</v>
      </c>
      <c r="V151" s="7" t="str">
        <f ca="1">IF(color_Celda(E151)=12106214,"ROSA",IF(color_Celda(E151)=65535,"AMARILLO",IF(color_Celda(E151)=5296274,"VERDE",IF(color_Celda(E151)=16777215,"BLANCO","NO SE"))))</f>
        <v>ROSA</v>
      </c>
      <c r="W151" s="7"/>
      <c r="X151" s="7"/>
      <c r="Y151" s="7"/>
      <c r="Z151" s="68"/>
      <c r="AA151" s="68"/>
      <c r="AB151" s="68"/>
      <c r="AC151" s="324"/>
    </row>
    <row r="152" spans="1:29" ht="60" customHeight="1" outlineLevel="1">
      <c r="A152" s="7">
        <v>150</v>
      </c>
      <c r="B152" s="19">
        <v>45016</v>
      </c>
      <c r="C152" s="15">
        <v>0.33333333333333331</v>
      </c>
      <c r="D152" s="7" t="s">
        <v>556</v>
      </c>
      <c r="E152" s="40" t="s">
        <v>558</v>
      </c>
      <c r="F152" s="7">
        <v>4</v>
      </c>
      <c r="G152" s="7" t="s">
        <v>43</v>
      </c>
      <c r="H152" s="297">
        <v>45044</v>
      </c>
      <c r="I152" s="7" t="s">
        <v>73</v>
      </c>
      <c r="J152" s="19" t="s">
        <v>31</v>
      </c>
      <c r="K152" s="7">
        <f>IFERROR(VLOOKUP(J152,Jueces!$A$1:$B$11,2,FALSE),"")</f>
        <v>2</v>
      </c>
      <c r="L152" s="7" t="s">
        <v>380</v>
      </c>
      <c r="M152" s="7" t="s">
        <v>579</v>
      </c>
      <c r="N152" s="7" t="s">
        <v>681</v>
      </c>
      <c r="O152" s="47" t="str">
        <f ca="1">IF(H152&lt;&gt;"",IF(H152&lt;=TODAY(),"SI","NO"),"LIMBO")</f>
        <v>SI</v>
      </c>
      <c r="P152" s="47" t="str">
        <f>IF($P$1=H152,"DIASOL", "DIANOSOL")</f>
        <v>DIANOSOL</v>
      </c>
      <c r="Q152" s="7" t="s">
        <v>897</v>
      </c>
      <c r="R152" s="7" t="str">
        <f>VLOOKUP($Q152,Resultados!$A$1:$B$49,2,FALSE)</f>
        <v>Libertad</v>
      </c>
      <c r="S152" s="7"/>
      <c r="T152" s="68" t="str">
        <f>IF(G152=$J$1,"SI","NO")</f>
        <v>NO</v>
      </c>
      <c r="U152" s="68">
        <f>IF(H152="",0,MONTH(H152))</f>
        <v>4</v>
      </c>
      <c r="V152" s="7" t="str">
        <f ca="1">IF(color_Celda(E152)=12106214,"ROSA",IF(color_Celda(E152)=65535,"AMARILLO",IF(color_Celda(E152)=5296274,"VERDE",IF(color_Celda(E152)=16777215,"BLANCO","NO SE"))))</f>
        <v>ROSA</v>
      </c>
      <c r="W152" s="7"/>
      <c r="X152" s="7"/>
      <c r="Y152" s="7"/>
      <c r="Z152" s="68"/>
      <c r="AA152" s="68"/>
      <c r="AB152" s="68"/>
      <c r="AC152" s="324"/>
    </row>
    <row r="153" spans="1:29" ht="60" customHeight="1" outlineLevel="1">
      <c r="A153" s="7">
        <v>151</v>
      </c>
      <c r="B153" s="19">
        <v>45027</v>
      </c>
      <c r="C153" s="15">
        <v>0.33333333333333331</v>
      </c>
      <c r="D153" s="7" t="s">
        <v>623</v>
      </c>
      <c r="E153" s="40" t="s">
        <v>627</v>
      </c>
      <c r="F153" s="7">
        <v>4</v>
      </c>
      <c r="G153" s="7" t="s">
        <v>568</v>
      </c>
      <c r="H153" s="297">
        <v>45044</v>
      </c>
      <c r="I153" s="7" t="s">
        <v>73</v>
      </c>
      <c r="J153" s="19" t="s">
        <v>33</v>
      </c>
      <c r="K153" s="7">
        <f>IFERROR(VLOOKUP(J153,Jueces!$A$1:$B$11,2,FALSE),"")</f>
        <v>4</v>
      </c>
      <c r="L153" s="7" t="s">
        <v>413</v>
      </c>
      <c r="M153" s="7" t="s">
        <v>523</v>
      </c>
      <c r="N153" s="7" t="s">
        <v>859</v>
      </c>
      <c r="O153" s="47" t="str">
        <f ca="1">IF(H153&lt;&gt;"",IF(H153&lt;=TODAY(),"SI","NO"),"LIMBO")</f>
        <v>SI</v>
      </c>
      <c r="P153" s="47" t="str">
        <f>IF($P$1=H153,"DIASOL", "DIANOSOL")</f>
        <v>DIANOSOL</v>
      </c>
      <c r="Q153" s="7" t="s">
        <v>151</v>
      </c>
      <c r="R153" s="7" t="str">
        <f>VLOOKUP($Q153,Resultados!$A$1:$B$49,2,FALSE)</f>
        <v>Prisión Preventiva</v>
      </c>
      <c r="S153" s="7"/>
      <c r="T153" s="68" t="str">
        <f>IF(G153=$J$1,"SI","NO")</f>
        <v>NO</v>
      </c>
      <c r="U153" s="68">
        <f>IF(H153="",0,MONTH(H153))</f>
        <v>4</v>
      </c>
      <c r="V153" s="7" t="str">
        <f ca="1">IF(color_Celda(E153)=12106214,"ROSA",IF(color_Celda(E153)=65535,"AMARILLO",IF(color_Celda(E153)=5296274,"VERDE",IF(color_Celda(E153)=16777215,"BLANCO","NO SE"))))</f>
        <v>ROSA</v>
      </c>
      <c r="W153" s="7"/>
      <c r="X153" s="7"/>
      <c r="Y153" s="7"/>
      <c r="Z153" s="68"/>
      <c r="AA153" s="68"/>
      <c r="AB153" s="68"/>
      <c r="AC153" s="324"/>
    </row>
    <row r="154" spans="1:29" ht="60" customHeight="1" outlineLevel="1">
      <c r="A154" s="7">
        <v>152</v>
      </c>
      <c r="B154" s="19">
        <v>45033</v>
      </c>
      <c r="C154" s="15">
        <v>0.33819444444444446</v>
      </c>
      <c r="D154" s="7" t="s">
        <v>639</v>
      </c>
      <c r="E154" s="40" t="s">
        <v>672</v>
      </c>
      <c r="F154" s="7">
        <v>3</v>
      </c>
      <c r="G154" s="7" t="s">
        <v>568</v>
      </c>
      <c r="H154" s="297">
        <v>45048</v>
      </c>
      <c r="I154" s="7" t="s">
        <v>73</v>
      </c>
      <c r="J154" s="19" t="s">
        <v>35</v>
      </c>
      <c r="K154" s="7">
        <f>IFERROR(VLOOKUP(J154,Jueces!$A$1:$B$11,2,FALSE),"")</f>
        <v>3</v>
      </c>
      <c r="L154" s="7" t="s">
        <v>512</v>
      </c>
      <c r="M154" s="7" t="s">
        <v>694</v>
      </c>
      <c r="N154" s="7" t="s">
        <v>714</v>
      </c>
      <c r="O154" s="47" t="str">
        <f ca="1">IF(H154&lt;&gt;"",IF(H154&lt;=TODAY(),"SI","NO"),"LIMBO")</f>
        <v>SI</v>
      </c>
      <c r="P154" s="47" t="str">
        <f>IF($P$1=H154,"DIASOL", "DIANOSOL")</f>
        <v>DIANOSOL</v>
      </c>
      <c r="Q154" s="7" t="s">
        <v>151</v>
      </c>
      <c r="R154" s="7" t="str">
        <f>VLOOKUP($Q154,Resultados!$A$1:$B$49,2,FALSE)</f>
        <v>Prisión Preventiva</v>
      </c>
      <c r="S154" s="7"/>
      <c r="T154" s="68" t="str">
        <f>IF(G154=$J$1,"SI","NO")</f>
        <v>NO</v>
      </c>
      <c r="U154" s="68">
        <f>IF(H154="",0,MONTH(H154))</f>
        <v>5</v>
      </c>
      <c r="V154" s="7" t="str">
        <f ca="1">IF(color_Celda(E154)=12106214,"ROSA",IF(color_Celda(E154)=65535,"AMARILLO",IF(color_Celda(E154)=5296274,"VERDE",IF(color_Celda(E154)=16777215,"BLANCO","NO SE"))))</f>
        <v>ROSA</v>
      </c>
      <c r="W154" s="7"/>
      <c r="X154" s="7"/>
      <c r="Y154" s="7"/>
      <c r="Z154" s="68"/>
      <c r="AA154" s="68"/>
      <c r="AB154" s="68"/>
      <c r="AC154" s="324"/>
    </row>
    <row r="155" spans="1:29" ht="60" customHeight="1" outlineLevel="1">
      <c r="A155" s="7">
        <v>153</v>
      </c>
      <c r="B155" s="19">
        <v>45043</v>
      </c>
      <c r="C155" s="15" t="s">
        <v>679</v>
      </c>
      <c r="D155" s="7" t="s">
        <v>446</v>
      </c>
      <c r="E155" s="40" t="s">
        <v>354</v>
      </c>
      <c r="F155" s="7">
        <v>4</v>
      </c>
      <c r="G155" s="7" t="s">
        <v>34</v>
      </c>
      <c r="H155" s="297">
        <v>45048</v>
      </c>
      <c r="I155" s="7" t="s">
        <v>686</v>
      </c>
      <c r="J155" s="19" t="s">
        <v>35</v>
      </c>
      <c r="K155" s="7">
        <f>IFERROR(VLOOKUP(J155,Jueces!$A$1:$B$11,2,FALSE),"")</f>
        <v>3</v>
      </c>
      <c r="L155" s="7" t="s">
        <v>582</v>
      </c>
      <c r="M155" s="7" t="s">
        <v>680</v>
      </c>
      <c r="N155" s="7" t="s">
        <v>681</v>
      </c>
      <c r="O155" s="47" t="str">
        <f ca="1">IF(H155&lt;&gt;"",IF(H155&lt;=TODAY(),"SI","NO"),"LIMBO")</f>
        <v>SI</v>
      </c>
      <c r="P155" s="47" t="str">
        <f>IF($P$1=H155,"DIASOL", "DIANOSOL")</f>
        <v>DIANOSOL</v>
      </c>
      <c r="Q155" s="7" t="s">
        <v>897</v>
      </c>
      <c r="R155" s="7" t="str">
        <f>VLOOKUP($Q155,Resultados!$A$1:$B$49,2,FALSE)</f>
        <v>Libertad</v>
      </c>
      <c r="S155" s="7"/>
      <c r="T155" s="68" t="str">
        <f>IF(G155=$J$1,"SI","NO")</f>
        <v>NO</v>
      </c>
      <c r="U155" s="68">
        <f>IF(H155="",0,MONTH(H155))</f>
        <v>5</v>
      </c>
      <c r="V155" s="7" t="str">
        <f ca="1">IF(color_Celda(E155)=12106214,"ROSA",IF(color_Celda(E155)=65535,"AMARILLO",IF(color_Celda(E155)=5296274,"VERDE",IF(color_Celda(E155)=16777215,"BLANCO","NO SE"))))</f>
        <v>ROSA</v>
      </c>
      <c r="W155" s="7"/>
      <c r="X155" s="7"/>
      <c r="Y155" s="7"/>
      <c r="Z155" s="68"/>
      <c r="AA155" s="68"/>
      <c r="AB155" s="68"/>
      <c r="AC155" s="324"/>
    </row>
    <row r="156" spans="1:29" ht="60" customHeight="1" outlineLevel="1">
      <c r="A156" s="7">
        <v>154</v>
      </c>
      <c r="B156" s="19">
        <v>45044</v>
      </c>
      <c r="C156" s="15">
        <v>0.47916666666666669</v>
      </c>
      <c r="D156" s="7" t="s">
        <v>689</v>
      </c>
      <c r="E156" s="40" t="s">
        <v>685</v>
      </c>
      <c r="F156" s="7">
        <v>4</v>
      </c>
      <c r="G156" s="7" t="s">
        <v>43</v>
      </c>
      <c r="H156" s="297">
        <v>45054</v>
      </c>
      <c r="I156" s="7" t="s">
        <v>73</v>
      </c>
      <c r="J156" s="19" t="s">
        <v>33</v>
      </c>
      <c r="K156" s="7">
        <f>IFERROR(VLOOKUP(J156,Jueces!$A$1:$B$11,2,FALSE),"")</f>
        <v>4</v>
      </c>
      <c r="L156" s="7" t="s">
        <v>366</v>
      </c>
      <c r="M156" s="7" t="s">
        <v>691</v>
      </c>
      <c r="N156" s="7" t="s">
        <v>858</v>
      </c>
      <c r="O156" s="47" t="str">
        <f ca="1">IF(H156&lt;&gt;"",IF(H156&lt;=TODAY(),"SI","NO"),"LIMBO")</f>
        <v>SI</v>
      </c>
      <c r="P156" s="47" t="str">
        <f>IF($P$1=H156,"DIASOL", "DIANOSOL")</f>
        <v>DIANOSOL</v>
      </c>
      <c r="Q156" s="7" t="s">
        <v>902</v>
      </c>
      <c r="R156" s="7" t="str">
        <f>VLOOKUP($Q156,Resultados!$A$1:$B$49,2,FALSE)</f>
        <v>Juicio Abreviado</v>
      </c>
      <c r="S156" s="7"/>
      <c r="T156" s="68" t="str">
        <f>IF(G156=$J$1,"SI","NO")</f>
        <v>NO</v>
      </c>
      <c r="U156" s="68">
        <f>IF(H156="",0,MONTH(H156))</f>
        <v>5</v>
      </c>
      <c r="V156" s="7" t="str">
        <f ca="1">IF(color_Celda(E156)=12106214,"ROSA",IF(color_Celda(E156)=65535,"AMARILLO",IF(color_Celda(E156)=5296274,"VERDE",IF(color_Celda(E156)=16777215,"BLANCO","NO SE"))))</f>
        <v>ROSA</v>
      </c>
      <c r="W156" s="7"/>
      <c r="X156" s="7"/>
      <c r="Y156" s="7"/>
      <c r="Z156" s="68"/>
      <c r="AA156" s="68"/>
      <c r="AB156" s="68"/>
      <c r="AC156" s="324"/>
    </row>
    <row r="157" spans="1:29" ht="60" customHeight="1" outlineLevel="1">
      <c r="A157" s="7">
        <v>155</v>
      </c>
      <c r="B157" s="19">
        <v>45048</v>
      </c>
      <c r="C157" s="15">
        <v>0.37916666666666665</v>
      </c>
      <c r="D157" s="7" t="s">
        <v>687</v>
      </c>
      <c r="E157" s="40" t="s">
        <v>707</v>
      </c>
      <c r="F157" s="7">
        <v>3</v>
      </c>
      <c r="G157" s="7" t="s">
        <v>1433</v>
      </c>
      <c r="H157" s="297">
        <v>45055</v>
      </c>
      <c r="I157" s="7" t="s">
        <v>73</v>
      </c>
      <c r="J157" s="19" t="s">
        <v>35</v>
      </c>
      <c r="K157" s="7">
        <f>IFERROR(VLOOKUP(J157,Jueces!$A$1:$B$11,2,FALSE),"")</f>
        <v>3</v>
      </c>
      <c r="L157" s="7" t="s">
        <v>688</v>
      </c>
      <c r="M157" s="7" t="s">
        <v>715</v>
      </c>
      <c r="N157" s="7" t="s">
        <v>742</v>
      </c>
      <c r="O157" s="47" t="str">
        <f ca="1">IF(H157&lt;&gt;"",IF(H157&lt;=TODAY(),"SI","NO"),"LIMBO")</f>
        <v>SI</v>
      </c>
      <c r="P157" s="47" t="str">
        <f>IF($P$1=H157,"DIASOL", "DIANOSOL")</f>
        <v>DIANOSOL</v>
      </c>
      <c r="Q157" s="7" t="s">
        <v>903</v>
      </c>
      <c r="R157" s="7" t="str">
        <f>VLOOKUP($Q157,Resultados!$A$1:$B$49,2,FALSE)</f>
        <v>Juicio Abreviado</v>
      </c>
      <c r="S157" s="7"/>
      <c r="T157" s="68" t="str">
        <f>IF(G157=$J$1,"SI","NO")</f>
        <v>NO</v>
      </c>
      <c r="U157" s="68">
        <f>IF(H157="",0,MONTH(H157))</f>
        <v>5</v>
      </c>
      <c r="V157" s="7" t="str">
        <f ca="1">IF(color_Celda(E157)=12106214,"ROSA",IF(color_Celda(E157)=65535,"AMARILLO",IF(color_Celda(E157)=5296274,"VERDE",IF(color_Celda(E157)=16777215,"BLANCO","NO SE"))))</f>
        <v>ROSA</v>
      </c>
      <c r="W157" s="7"/>
      <c r="X157" s="7"/>
      <c r="Y157" s="7"/>
      <c r="Z157" s="68"/>
      <c r="AA157" s="68"/>
      <c r="AB157" s="68"/>
      <c r="AC157" s="324"/>
    </row>
    <row r="158" spans="1:29" ht="60" customHeight="1" outlineLevel="1">
      <c r="A158" s="7">
        <v>156</v>
      </c>
      <c r="B158" s="19">
        <v>45049</v>
      </c>
      <c r="C158" s="15">
        <v>0.35416666666666669</v>
      </c>
      <c r="D158" s="7" t="s">
        <v>708</v>
      </c>
      <c r="E158" s="40" t="s">
        <v>709</v>
      </c>
      <c r="F158" s="7">
        <v>8</v>
      </c>
      <c r="G158" s="7" t="s">
        <v>29</v>
      </c>
      <c r="H158" s="297">
        <v>45055</v>
      </c>
      <c r="I158" s="7" t="s">
        <v>73</v>
      </c>
      <c r="J158" s="19" t="s">
        <v>33</v>
      </c>
      <c r="K158" s="7">
        <f>IFERROR(VLOOKUP(J158,Jueces!$A$1:$B$11,2,FALSE),"")</f>
        <v>4</v>
      </c>
      <c r="L158" s="7" t="s">
        <v>184</v>
      </c>
      <c r="M158" s="7" t="s">
        <v>710</v>
      </c>
      <c r="N158" s="7" t="s">
        <v>741</v>
      </c>
      <c r="O158" s="47" t="str">
        <f ca="1">IF(H158&lt;&gt;"",IF(H158&lt;=TODAY(),"SI","NO"),"LIMBO")</f>
        <v>SI</v>
      </c>
      <c r="P158" s="47" t="str">
        <f>IF($P$1=H158,"DIASOL", "DIANOSOL")</f>
        <v>DIANOSOL</v>
      </c>
      <c r="Q158" s="7" t="s">
        <v>902</v>
      </c>
      <c r="R158" s="7" t="str">
        <f>VLOOKUP($Q158,Resultados!$A$1:$B$49,2,FALSE)</f>
        <v>Juicio Abreviado</v>
      </c>
      <c r="S158" s="7"/>
      <c r="T158" s="68" t="str">
        <f>IF(G158=$J$1,"SI","NO")</f>
        <v>NO</v>
      </c>
      <c r="U158" s="68">
        <f>IF(H158="",0,MONTH(H158))</f>
        <v>5</v>
      </c>
      <c r="V158" s="7" t="str">
        <f ca="1">IF(color_Celda(E158)=12106214,"ROSA",IF(color_Celda(E158)=65535,"AMARILLO",IF(color_Celda(E158)=5296274,"VERDE",IF(color_Celda(E158)=16777215,"BLANCO","NO SE"))))</f>
        <v>ROSA</v>
      </c>
      <c r="W158" s="7"/>
      <c r="X158" s="7"/>
      <c r="Y158" s="7"/>
      <c r="Z158" s="68"/>
      <c r="AA158" s="68"/>
      <c r="AB158" s="68"/>
      <c r="AC158" s="324"/>
    </row>
    <row r="159" spans="1:29" ht="60" customHeight="1" outlineLevel="1">
      <c r="A159" s="7">
        <v>157</v>
      </c>
      <c r="B159" s="19">
        <v>45051</v>
      </c>
      <c r="C159" s="15">
        <v>0.43402777777777773</v>
      </c>
      <c r="D159" s="7" t="s">
        <v>722</v>
      </c>
      <c r="E159" s="40" t="s">
        <v>721</v>
      </c>
      <c r="F159" s="7">
        <v>8</v>
      </c>
      <c r="G159" s="7" t="s">
        <v>34</v>
      </c>
      <c r="H159" s="297">
        <v>45056</v>
      </c>
      <c r="I159" s="7" t="s">
        <v>73</v>
      </c>
      <c r="J159" s="19" t="s">
        <v>35</v>
      </c>
      <c r="K159" s="7">
        <f>IFERROR(VLOOKUP(J159,Jueces!$A$1:$B$11,2,FALSE),"")</f>
        <v>3</v>
      </c>
      <c r="L159" s="7" t="s">
        <v>142</v>
      </c>
      <c r="M159" s="7" t="s">
        <v>710</v>
      </c>
      <c r="N159" s="7" t="s">
        <v>779</v>
      </c>
      <c r="O159" s="47" t="str">
        <f ca="1">IF(H159&lt;&gt;"",IF(H159&lt;=TODAY(),"SI","NO"),"LIMBO")</f>
        <v>SI</v>
      </c>
      <c r="P159" s="47" t="str">
        <f>IF($P$1=H159,"DIASOL", "DIANOSOL")</f>
        <v>DIANOSOL</v>
      </c>
      <c r="Q159" s="7" t="s">
        <v>902</v>
      </c>
      <c r="R159" s="7" t="str">
        <f>VLOOKUP($Q159,Resultados!$A$1:$B$49,2,FALSE)</f>
        <v>Juicio Abreviado</v>
      </c>
      <c r="S159" s="7"/>
      <c r="T159" s="68" t="str">
        <f>IF(G159=$J$1,"SI","NO")</f>
        <v>NO</v>
      </c>
      <c r="U159" s="68">
        <f>IF(H159="",0,MONTH(H159))</f>
        <v>5</v>
      </c>
      <c r="V159" s="7" t="str">
        <f ca="1">IF(color_Celda(E159)=12106214,"ROSA",IF(color_Celda(E159)=65535,"AMARILLO",IF(color_Celda(E159)=5296274,"VERDE",IF(color_Celda(E159)=16777215,"BLANCO","NO SE"))))</f>
        <v>ROSA</v>
      </c>
      <c r="W159" s="7"/>
      <c r="X159" s="7"/>
      <c r="Y159" s="7"/>
      <c r="Z159" s="68"/>
      <c r="AA159" s="68"/>
      <c r="AB159" s="68"/>
      <c r="AC159" s="324"/>
    </row>
    <row r="160" spans="1:29" ht="60" customHeight="1" outlineLevel="1">
      <c r="A160" s="7">
        <v>158</v>
      </c>
      <c r="B160" s="19">
        <v>45050</v>
      </c>
      <c r="C160" s="15">
        <v>0.5</v>
      </c>
      <c r="D160" s="7" t="s">
        <v>720</v>
      </c>
      <c r="E160" s="40" t="s">
        <v>724</v>
      </c>
      <c r="F160" s="7">
        <v>8</v>
      </c>
      <c r="G160" s="7" t="s">
        <v>283</v>
      </c>
      <c r="H160" s="297">
        <v>45057</v>
      </c>
      <c r="I160" s="7" t="s">
        <v>73</v>
      </c>
      <c r="J160" s="19" t="s">
        <v>31</v>
      </c>
      <c r="K160" s="7">
        <f>IFERROR(VLOOKUP(J160,Jueces!$A$1:$B$11,2,FALSE),"")</f>
        <v>2</v>
      </c>
      <c r="L160" s="7" t="s">
        <v>248</v>
      </c>
      <c r="M160" s="7" t="s">
        <v>710</v>
      </c>
      <c r="N160" s="7" t="s">
        <v>823</v>
      </c>
      <c r="O160" s="47" t="str">
        <f ca="1">IF(H160&lt;&gt;"",IF(H160&lt;=TODAY(),"SI","NO"),"LIMBO")</f>
        <v>SI</v>
      </c>
      <c r="P160" s="47" t="str">
        <f>IF($P$1=H160,"DIASOL", "DIANOSOL")</f>
        <v>DIANOSOL</v>
      </c>
      <c r="Q160" s="7" t="s">
        <v>902</v>
      </c>
      <c r="R160" s="7" t="str">
        <f>VLOOKUP($Q160,Resultados!$A$1:$B$49,2,FALSE)</f>
        <v>Juicio Abreviado</v>
      </c>
      <c r="S160" s="7"/>
      <c r="T160" s="68" t="str">
        <f>IF(G160=$J$1,"SI","NO")</f>
        <v>NO</v>
      </c>
      <c r="U160" s="68">
        <f>IF(H160="",0,MONTH(H160))</f>
        <v>5</v>
      </c>
      <c r="V160" s="7" t="str">
        <f ca="1">IF(color_Celda(E160)=12106214,"ROSA",IF(color_Celda(E160)=65535,"AMARILLO",IF(color_Celda(E160)=5296274,"VERDE",IF(color_Celda(E160)=16777215,"BLANCO","NO SE"))))</f>
        <v>ROSA</v>
      </c>
      <c r="W160" s="7"/>
      <c r="X160" s="7"/>
      <c r="Y160" s="7"/>
      <c r="Z160" s="68"/>
      <c r="AA160" s="68"/>
      <c r="AB160" s="68"/>
      <c r="AC160" s="324"/>
    </row>
    <row r="161" spans="1:29" ht="60" customHeight="1" outlineLevel="1">
      <c r="A161" s="7">
        <v>159</v>
      </c>
      <c r="B161" s="19">
        <v>45055</v>
      </c>
      <c r="C161" s="15">
        <v>0.33333333333333331</v>
      </c>
      <c r="D161" s="7" t="s">
        <v>764</v>
      </c>
      <c r="E161" s="40" t="s">
        <v>739</v>
      </c>
      <c r="F161" s="7">
        <v>8</v>
      </c>
      <c r="G161" s="7" t="s">
        <v>1433</v>
      </c>
      <c r="H161" s="297">
        <v>45058</v>
      </c>
      <c r="I161" s="7" t="s">
        <v>73</v>
      </c>
      <c r="J161" s="19" t="s">
        <v>31</v>
      </c>
      <c r="K161" s="7">
        <f>IFERROR(VLOOKUP(J161,Jueces!$A$1:$B$11,2,FALSE),"")</f>
        <v>2</v>
      </c>
      <c r="L161" s="7" t="s">
        <v>413</v>
      </c>
      <c r="M161" s="7" t="s">
        <v>710</v>
      </c>
      <c r="N161" s="7" t="s">
        <v>833</v>
      </c>
      <c r="O161" s="47" t="str">
        <f ca="1">IF(H161&lt;&gt;"",IF(H161&lt;=TODAY(),"SI","NO"),"LIMBO")</f>
        <v>SI</v>
      </c>
      <c r="P161" s="47" t="str">
        <f>IF($P$1=H161,"DIASOL", "DIANOSOL")</f>
        <v>DIANOSOL</v>
      </c>
      <c r="Q161" s="7" t="s">
        <v>902</v>
      </c>
      <c r="R161" s="7" t="str">
        <f>VLOOKUP($Q161,Resultados!$A$1:$B$49,2,FALSE)</f>
        <v>Juicio Abreviado</v>
      </c>
      <c r="S161" s="7"/>
      <c r="T161" s="68" t="str">
        <f>IF(G161=$J$1,"SI","NO")</f>
        <v>NO</v>
      </c>
      <c r="U161" s="68">
        <f>IF(H161="",0,MONTH(H161))</f>
        <v>5</v>
      </c>
      <c r="V161" s="7" t="str">
        <f ca="1">IF(color_Celda(E161)=12106214,"ROSA",IF(color_Celda(E161)=65535,"AMARILLO",IF(color_Celda(E161)=5296274,"VERDE",IF(color_Celda(E161)=16777215,"BLANCO","NO SE"))))</f>
        <v>ROSA</v>
      </c>
      <c r="W161" s="7"/>
      <c r="X161" s="7"/>
      <c r="Y161" s="7"/>
      <c r="Z161" s="68"/>
      <c r="AA161" s="68"/>
      <c r="AB161" s="68"/>
      <c r="AC161" s="324"/>
    </row>
    <row r="162" spans="1:29" ht="60" customHeight="1" outlineLevel="1">
      <c r="A162" s="7">
        <v>160</v>
      </c>
      <c r="B162" s="19">
        <v>45054</v>
      </c>
      <c r="C162" s="15">
        <v>0.5</v>
      </c>
      <c r="D162" s="7" t="s">
        <v>736</v>
      </c>
      <c r="E162" s="40" t="s">
        <v>738</v>
      </c>
      <c r="F162" s="7">
        <v>8</v>
      </c>
      <c r="G162" s="7" t="s">
        <v>32</v>
      </c>
      <c r="H162" s="297">
        <v>45058</v>
      </c>
      <c r="I162" s="7" t="s">
        <v>76</v>
      </c>
      <c r="J162" s="19" t="s">
        <v>33</v>
      </c>
      <c r="K162" s="7">
        <f>IFERROR(VLOOKUP(J162,Jueces!$A$1:$B$11,2,FALSE),"")</f>
        <v>4</v>
      </c>
      <c r="L162" s="7" t="s">
        <v>184</v>
      </c>
      <c r="M162" s="7" t="s">
        <v>710</v>
      </c>
      <c r="N162" s="7" t="s">
        <v>837</v>
      </c>
      <c r="O162" s="47" t="str">
        <f ca="1">IF(H162&lt;&gt;"",IF(H162&lt;=TODAY(),"SI","NO"),"LIMBO")</f>
        <v>SI</v>
      </c>
      <c r="P162" s="47" t="str">
        <f>IF($P$1=H162,"DIASOL", "DIANOSOL")</f>
        <v>DIANOSOL</v>
      </c>
      <c r="Q162" s="7" t="s">
        <v>151</v>
      </c>
      <c r="R162" s="7" t="str">
        <f>VLOOKUP($Q162,Resultados!$A$1:$B$49,2,FALSE)</f>
        <v>Prisión Preventiva</v>
      </c>
      <c r="S162" s="7"/>
      <c r="T162" s="68" t="str">
        <f>IF(G162=$J$1,"SI","NO")</f>
        <v>NO</v>
      </c>
      <c r="U162" s="68">
        <f>IF(H162="",0,MONTH(H162))</f>
        <v>5</v>
      </c>
      <c r="V162" s="7" t="str">
        <f ca="1">IF(color_Celda(E162)=12106214,"ROSA",IF(color_Celda(E162)=65535,"AMARILLO",IF(color_Celda(E162)=5296274,"VERDE",IF(color_Celda(E162)=16777215,"BLANCO","NO SE"))))</f>
        <v>ROSA</v>
      </c>
      <c r="W162" s="7"/>
      <c r="X162" s="7"/>
      <c r="Y162" s="7"/>
      <c r="Z162" s="68"/>
      <c r="AA162" s="68"/>
      <c r="AB162" s="68"/>
      <c r="AC162" s="324"/>
    </row>
    <row r="163" spans="1:29" ht="60" customHeight="1" outlineLevel="1">
      <c r="A163" s="7">
        <v>161</v>
      </c>
      <c r="B163" s="19">
        <v>45054</v>
      </c>
      <c r="C163" s="15">
        <v>0.5</v>
      </c>
      <c r="D163" s="7" t="s">
        <v>761</v>
      </c>
      <c r="E163" s="40" t="s">
        <v>737</v>
      </c>
      <c r="F163" s="7">
        <v>8</v>
      </c>
      <c r="G163" s="7" t="s">
        <v>568</v>
      </c>
      <c r="H163" s="297">
        <v>45061</v>
      </c>
      <c r="I163" s="7" t="s">
        <v>73</v>
      </c>
      <c r="J163" s="19" t="s">
        <v>35</v>
      </c>
      <c r="K163" s="7">
        <f>IFERROR(VLOOKUP(J163,Jueces!$A$1:$B$11,2,FALSE),"")</f>
        <v>3</v>
      </c>
      <c r="L163" s="7" t="s">
        <v>210</v>
      </c>
      <c r="M163" s="7" t="s">
        <v>710</v>
      </c>
      <c r="N163" s="7" t="s">
        <v>862</v>
      </c>
      <c r="O163" s="47" t="str">
        <f ca="1">IF(H163&lt;&gt;"",IF(H163&lt;=TODAY(),"SI","NO"),"LIMBO")</f>
        <v>SI</v>
      </c>
      <c r="P163" s="47" t="str">
        <f>IF($P$1=H163,"DIASOL", "DIANOSOL")</f>
        <v>DIANOSOL</v>
      </c>
      <c r="Q163" s="7" t="s">
        <v>902</v>
      </c>
      <c r="R163" s="7" t="str">
        <f>VLOOKUP($Q163,Resultados!$A$1:$B$49,2,FALSE)</f>
        <v>Juicio Abreviado</v>
      </c>
      <c r="S163" s="7"/>
      <c r="T163" s="68" t="str">
        <f>IF(G163=$J$1,"SI","NO")</f>
        <v>NO</v>
      </c>
      <c r="U163" s="68">
        <f>IF(H163="",0,MONTH(H163))</f>
        <v>5</v>
      </c>
      <c r="V163" s="7" t="str">
        <f ca="1">IF(color_Celda(E163)=12106214,"ROSA",IF(color_Celda(E163)=65535,"AMARILLO",IF(color_Celda(E163)=5296274,"VERDE",IF(color_Celda(E163)=16777215,"BLANCO","NO SE"))))</f>
        <v>ROSA</v>
      </c>
      <c r="W163" s="7"/>
      <c r="X163" s="7"/>
      <c r="Y163" s="7"/>
      <c r="Z163" s="68"/>
      <c r="AA163" s="68"/>
      <c r="AB163" s="68"/>
      <c r="AC163" s="324"/>
    </row>
    <row r="164" spans="1:29" ht="60" customHeight="1" outlineLevel="1">
      <c r="A164" s="7">
        <v>162</v>
      </c>
      <c r="B164" s="19">
        <v>45055</v>
      </c>
      <c r="C164" s="15">
        <v>0.33333333333333331</v>
      </c>
      <c r="D164" s="7" t="s">
        <v>766</v>
      </c>
      <c r="E164" s="40" t="s">
        <v>762</v>
      </c>
      <c r="F164" s="7">
        <v>8</v>
      </c>
      <c r="G164" s="7" t="s">
        <v>283</v>
      </c>
      <c r="H164" s="297">
        <v>45061</v>
      </c>
      <c r="I164" s="7" t="s">
        <v>73</v>
      </c>
      <c r="J164" s="19" t="s">
        <v>33</v>
      </c>
      <c r="K164" s="7">
        <f>IFERROR(VLOOKUP(J164,Jueces!$A$1:$B$11,2,FALSE),"")</f>
        <v>4</v>
      </c>
      <c r="L164" s="7" t="s">
        <v>248</v>
      </c>
      <c r="M164" s="7" t="s">
        <v>767</v>
      </c>
      <c r="N164" s="7" t="s">
        <v>861</v>
      </c>
      <c r="O164" s="47" t="str">
        <f ca="1">IF(H164&lt;&gt;"",IF(H164&lt;=TODAY(),"SI","NO"),"LIMBO")</f>
        <v>SI</v>
      </c>
      <c r="P164" s="47" t="str">
        <f>IF($P$1=H164,"DIASOL", "DIANOSOL")</f>
        <v>DIANOSOL</v>
      </c>
      <c r="Q164" s="7" t="s">
        <v>902</v>
      </c>
      <c r="R164" s="7" t="str">
        <f>VLOOKUP($Q164,Resultados!$A$1:$B$49,2,FALSE)</f>
        <v>Juicio Abreviado</v>
      </c>
      <c r="S164" s="7"/>
      <c r="T164" s="68" t="str">
        <f>IF(G164=$J$1,"SI","NO")</f>
        <v>NO</v>
      </c>
      <c r="U164" s="68">
        <f>IF(H164="",0,MONTH(H164))</f>
        <v>5</v>
      </c>
      <c r="V164" s="7" t="str">
        <f ca="1">IF(color_Celda(E164)=12106214,"ROSA",IF(color_Celda(E164)=65535,"AMARILLO",IF(color_Celda(E164)=5296274,"VERDE",IF(color_Celda(E164)=16777215,"BLANCO","NO SE"))))</f>
        <v>ROSA</v>
      </c>
      <c r="W164" s="7"/>
      <c r="X164" s="7"/>
      <c r="Y164" s="7"/>
      <c r="Z164" s="68"/>
      <c r="AA164" s="68"/>
      <c r="AB164" s="68"/>
      <c r="AC164" s="324"/>
    </row>
    <row r="165" spans="1:29" ht="60" customHeight="1" outlineLevel="1">
      <c r="A165" s="7">
        <v>163</v>
      </c>
      <c r="B165" s="19">
        <v>45055</v>
      </c>
      <c r="C165" s="15">
        <v>0.33333333333333331</v>
      </c>
      <c r="D165" s="7" t="s">
        <v>765</v>
      </c>
      <c r="E165" s="40" t="s">
        <v>740</v>
      </c>
      <c r="F165" s="7">
        <v>8</v>
      </c>
      <c r="G165" s="7" t="s">
        <v>43</v>
      </c>
      <c r="H165" s="297">
        <v>45062</v>
      </c>
      <c r="I165" s="7" t="s">
        <v>73</v>
      </c>
      <c r="J165" s="19" t="s">
        <v>35</v>
      </c>
      <c r="K165" s="7">
        <f>IFERROR(VLOOKUP(J165,Jueces!$A$1:$B$11,2,FALSE),"")</f>
        <v>3</v>
      </c>
      <c r="L165" s="7" t="s">
        <v>248</v>
      </c>
      <c r="M165" s="7" t="s">
        <v>710</v>
      </c>
      <c r="N165" s="7" t="s">
        <v>846</v>
      </c>
      <c r="O165" s="47" t="str">
        <f ca="1">IF(H165&lt;&gt;"",IF(H165&lt;=TODAY(),"SI","NO"),"LIMBO")</f>
        <v>SI</v>
      </c>
      <c r="P165" s="47" t="str">
        <f>IF($P$1=H165,"DIASOL", "DIANOSOL")</f>
        <v>DIANOSOL</v>
      </c>
      <c r="Q165" s="7" t="s">
        <v>902</v>
      </c>
      <c r="R165" s="7" t="str">
        <f>VLOOKUP($Q165,Resultados!$A$1:$B$49,2,FALSE)</f>
        <v>Juicio Abreviado</v>
      </c>
      <c r="S165" s="7"/>
      <c r="T165" s="68" t="str">
        <f>IF(G165=$J$1,"SI","NO")</f>
        <v>NO</v>
      </c>
      <c r="U165" s="68">
        <f>IF(H165="",0,MONTH(H165))</f>
        <v>5</v>
      </c>
      <c r="V165" s="7" t="str">
        <f ca="1">IF(color_Celda(E165)=12106214,"ROSA",IF(color_Celda(E165)=65535,"AMARILLO",IF(color_Celda(E165)=5296274,"VERDE",IF(color_Celda(E165)=16777215,"BLANCO","NO SE"))))</f>
        <v>ROSA</v>
      </c>
      <c r="W165" s="7"/>
      <c r="X165" s="7"/>
      <c r="Y165" s="7"/>
      <c r="Z165" s="68"/>
      <c r="AA165" s="68"/>
      <c r="AB165" s="68"/>
      <c r="AC165" s="324"/>
    </row>
    <row r="166" spans="1:29" ht="60" customHeight="1" outlineLevel="1">
      <c r="A166" s="7">
        <v>164</v>
      </c>
      <c r="B166" s="19">
        <v>45055</v>
      </c>
      <c r="C166" s="15">
        <v>0.5</v>
      </c>
      <c r="D166" s="7" t="s">
        <v>819</v>
      </c>
      <c r="E166" s="40" t="s">
        <v>780</v>
      </c>
      <c r="F166" s="7">
        <v>8</v>
      </c>
      <c r="G166" s="7" t="s">
        <v>1433</v>
      </c>
      <c r="H166" s="297">
        <v>45062</v>
      </c>
      <c r="I166" s="7" t="s">
        <v>1083</v>
      </c>
      <c r="J166" s="19" t="s">
        <v>31</v>
      </c>
      <c r="K166" s="7">
        <f>IFERROR(VLOOKUP(J166,Jueces!$A$1:$B$11,2,FALSE),"")</f>
        <v>2</v>
      </c>
      <c r="L166" s="7" t="s">
        <v>184</v>
      </c>
      <c r="M166" s="7" t="s">
        <v>723</v>
      </c>
      <c r="N166" s="7" t="s">
        <v>857</v>
      </c>
      <c r="O166" s="47" t="str">
        <f ca="1">IF(H166&lt;&gt;"",IF(H166&lt;=TODAY(),"SI","NO"),"LIMBO")</f>
        <v>SI</v>
      </c>
      <c r="P166" s="47" t="str">
        <f>IF($P$1=H166,"DIASOL", "DIANOSOL")</f>
        <v>DIANOSOL</v>
      </c>
      <c r="Q166" s="7" t="s">
        <v>902</v>
      </c>
      <c r="R166" s="7" t="str">
        <f>VLOOKUP($Q166,Resultados!$A$1:$B$49,2,FALSE)</f>
        <v>Juicio Abreviado</v>
      </c>
      <c r="S166" s="7"/>
      <c r="T166" s="68" t="str">
        <f>IF(G166=$J$1,"SI","NO")</f>
        <v>NO</v>
      </c>
      <c r="U166" s="68">
        <f>IF(H166="",0,MONTH(H166))</f>
        <v>5</v>
      </c>
      <c r="V166" s="7" t="str">
        <f ca="1">IF(color_Celda(E166)=12106214,"ROSA",IF(color_Celda(E166)=65535,"AMARILLO",IF(color_Celda(E166)=5296274,"VERDE",IF(color_Celda(E166)=16777215,"BLANCO","NO SE"))))</f>
        <v>ROSA</v>
      </c>
      <c r="W166" s="7"/>
      <c r="X166" s="7"/>
      <c r="Y166" s="7"/>
      <c r="Z166" s="68"/>
      <c r="AA166" s="68"/>
      <c r="AB166" s="68"/>
      <c r="AC166" s="324"/>
    </row>
    <row r="167" spans="1:29" ht="60" customHeight="1" outlineLevel="1">
      <c r="A167" s="7">
        <v>165</v>
      </c>
      <c r="B167" s="19">
        <v>45055</v>
      </c>
      <c r="C167" s="15">
        <v>0.45833333333333331</v>
      </c>
      <c r="D167" s="7" t="s">
        <v>768</v>
      </c>
      <c r="E167" s="40" t="s">
        <v>763</v>
      </c>
      <c r="F167" s="7">
        <v>8</v>
      </c>
      <c r="G167" s="7" t="s">
        <v>29</v>
      </c>
      <c r="H167" s="297">
        <v>45063</v>
      </c>
      <c r="I167" s="7" t="s">
        <v>73</v>
      </c>
      <c r="J167" s="19" t="s">
        <v>33</v>
      </c>
      <c r="K167" s="7">
        <f>IFERROR(VLOOKUP(J167,Jueces!$A$1:$B$11,2,FALSE),"")</f>
        <v>4</v>
      </c>
      <c r="L167" s="7" t="s">
        <v>803</v>
      </c>
      <c r="M167" s="7" t="s">
        <v>710</v>
      </c>
      <c r="N167" s="7" t="s">
        <v>872</v>
      </c>
      <c r="O167" s="47" t="str">
        <f ca="1">IF(H167&lt;&gt;"",IF(H167&lt;=TODAY(),"SI","NO"),"LIMBO")</f>
        <v>SI</v>
      </c>
      <c r="P167" s="47" t="str">
        <f>IF($P$1=H167,"DIASOL", "DIANOSOL")</f>
        <v>DIANOSOL</v>
      </c>
      <c r="Q167" s="7" t="s">
        <v>911</v>
      </c>
      <c r="R167" s="7" t="str">
        <f>VLOOKUP($Q167,Resultados!$A$1:$B$49,2,FALSE)</f>
        <v>Prision domiciliaria</v>
      </c>
      <c r="S167" s="7"/>
      <c r="T167" s="68" t="str">
        <f>IF(G167=$J$1,"SI","NO")</f>
        <v>NO</v>
      </c>
      <c r="U167" s="68">
        <f>IF(H167="",0,MONTH(H167))</f>
        <v>5</v>
      </c>
      <c r="V167" s="7" t="str">
        <f ca="1">IF(color_Celda(E167)=12106214,"ROSA",IF(color_Celda(E167)=65535,"AMARILLO",IF(color_Celda(E167)=5296274,"VERDE",IF(color_Celda(E167)=16777215,"BLANCO","NO SE"))))</f>
        <v>ROSA</v>
      </c>
      <c r="W167" s="7"/>
      <c r="X167" s="7"/>
      <c r="Y167" s="7"/>
      <c r="Z167" s="68"/>
      <c r="AA167" s="68"/>
      <c r="AB167" s="68"/>
      <c r="AC167" s="324"/>
    </row>
    <row r="168" spans="1:29" ht="60" customHeight="1" outlineLevel="1">
      <c r="A168" s="7">
        <v>166</v>
      </c>
      <c r="B168" s="19">
        <v>45056</v>
      </c>
      <c r="C168" s="15">
        <v>0.54166666666666663</v>
      </c>
      <c r="D168" s="7" t="s">
        <v>820</v>
      </c>
      <c r="E168" s="40" t="s">
        <v>784</v>
      </c>
      <c r="F168" s="7">
        <v>8</v>
      </c>
      <c r="G168" s="7" t="s">
        <v>43</v>
      </c>
      <c r="H168" s="297">
        <v>45063</v>
      </c>
      <c r="I168" s="7" t="s">
        <v>73</v>
      </c>
      <c r="J168" s="19" t="s">
        <v>35</v>
      </c>
      <c r="K168" s="7">
        <f>IFERROR(VLOOKUP(J168,Jueces!$A$1:$B$11,2,FALSE),"")</f>
        <v>3</v>
      </c>
      <c r="L168" s="7" t="s">
        <v>412</v>
      </c>
      <c r="M168" s="7" t="s">
        <v>767</v>
      </c>
      <c r="N168" s="7" t="s">
        <v>873</v>
      </c>
      <c r="O168" s="47" t="str">
        <f ca="1">IF(H168&lt;&gt;"",IF(H168&lt;=TODAY(),"SI","NO"),"LIMBO")</f>
        <v>SI</v>
      </c>
      <c r="P168" s="47" t="str">
        <f>IF($P$1=H168,"DIASOL", "DIANOSOL")</f>
        <v>DIANOSOL</v>
      </c>
      <c r="Q168" s="7" t="s">
        <v>902</v>
      </c>
      <c r="R168" s="7" t="str">
        <f>VLOOKUP($Q168,Resultados!$A$1:$B$49,2,FALSE)</f>
        <v>Juicio Abreviado</v>
      </c>
      <c r="S168" s="7"/>
      <c r="T168" s="68" t="str">
        <f>IF(G168=$J$1,"SI","NO")</f>
        <v>NO</v>
      </c>
      <c r="U168" s="68">
        <f>IF(H168="",0,MONTH(H168))</f>
        <v>5</v>
      </c>
      <c r="V168" s="7" t="str">
        <f ca="1">IF(color_Celda(E168)=12106214,"ROSA",IF(color_Celda(E168)=65535,"AMARILLO",IF(color_Celda(E168)=5296274,"VERDE",IF(color_Celda(E168)=16777215,"BLANCO","NO SE"))))</f>
        <v>ROSA</v>
      </c>
      <c r="W168" s="7"/>
      <c r="X168" s="7"/>
      <c r="Y168" s="7"/>
      <c r="Z168" s="68"/>
      <c r="AA168" s="68"/>
      <c r="AB168" s="68"/>
      <c r="AC168" s="324"/>
    </row>
    <row r="169" spans="1:29" ht="60" customHeight="1" outlineLevel="1">
      <c r="A169" s="7">
        <v>167</v>
      </c>
      <c r="B169" s="19">
        <v>45056</v>
      </c>
      <c r="C169" s="15">
        <v>0.33333333333333331</v>
      </c>
      <c r="D169" s="7" t="s">
        <v>781</v>
      </c>
      <c r="E169" s="40" t="s">
        <v>769</v>
      </c>
      <c r="F169" s="7">
        <v>8</v>
      </c>
      <c r="G169" s="7" t="s">
        <v>32</v>
      </c>
      <c r="H169" s="297">
        <v>45064</v>
      </c>
      <c r="I169" s="7" t="s">
        <v>73</v>
      </c>
      <c r="J169" s="19" t="s">
        <v>78</v>
      </c>
      <c r="K169" s="7">
        <f>IFERROR(VLOOKUP(J169,Jueces!$A$1:$B$11,2,FALSE),"")</f>
        <v>8</v>
      </c>
      <c r="L169" s="7" t="s">
        <v>642</v>
      </c>
      <c r="M169" s="7" t="s">
        <v>710</v>
      </c>
      <c r="N169" s="7" t="s">
        <v>896</v>
      </c>
      <c r="O169" s="47" t="str">
        <f ca="1">IF(H169&lt;&gt;"",IF(H169&lt;=TODAY(),"SI","NO"),"LIMBO")</f>
        <v>SI</v>
      </c>
      <c r="P169" s="47" t="str">
        <f>IF($P$1=H169,"DIASOL", "DIANOSOL")</f>
        <v>DIANOSOL</v>
      </c>
      <c r="Q169" s="7" t="s">
        <v>903</v>
      </c>
      <c r="R169" s="7" t="str">
        <f>VLOOKUP($Q169,Resultados!$A$1:$B$49,2,FALSE)</f>
        <v>Juicio Abreviado</v>
      </c>
      <c r="S169" s="7"/>
      <c r="T169" s="68" t="str">
        <f>IF(G169=$J$1,"SI","NO")</f>
        <v>NO</v>
      </c>
      <c r="U169" s="68">
        <f>IF(H169="",0,MONTH(H169))</f>
        <v>5</v>
      </c>
      <c r="V169" s="7" t="str">
        <f ca="1">IF(color_Celda(E169)=12106214,"ROSA",IF(color_Celda(E169)=65535,"AMARILLO",IF(color_Celda(E169)=5296274,"VERDE",IF(color_Celda(E169)=16777215,"BLANCO","NO SE"))))</f>
        <v>ROSA</v>
      </c>
      <c r="W169" s="7"/>
      <c r="X169" s="7"/>
      <c r="Y169" s="7"/>
      <c r="Z169" s="68"/>
      <c r="AA169" s="68"/>
      <c r="AB169" s="68"/>
      <c r="AC169" s="324"/>
    </row>
    <row r="170" spans="1:29" ht="60" customHeight="1" outlineLevel="1">
      <c r="A170" s="7">
        <v>168</v>
      </c>
      <c r="B170" s="19">
        <v>45056</v>
      </c>
      <c r="C170" s="15">
        <v>0.41666666666666669</v>
      </c>
      <c r="D170" s="7" t="s">
        <v>821</v>
      </c>
      <c r="E170" s="40" t="s">
        <v>830</v>
      </c>
      <c r="F170" s="7">
        <v>8</v>
      </c>
      <c r="G170" s="7" t="s">
        <v>34</v>
      </c>
      <c r="H170" s="297">
        <v>45064</v>
      </c>
      <c r="I170" s="7" t="s">
        <v>73</v>
      </c>
      <c r="J170" s="19" t="s">
        <v>33</v>
      </c>
      <c r="K170" s="7">
        <f>IFERROR(VLOOKUP(J170,Jueces!$A$1:$B$11,2,FALSE),"")</f>
        <v>4</v>
      </c>
      <c r="L170" s="7" t="s">
        <v>105</v>
      </c>
      <c r="M170" s="7" t="s">
        <v>711</v>
      </c>
      <c r="N170" s="7" t="s">
        <v>897</v>
      </c>
      <c r="O170" s="47" t="str">
        <f ca="1">IF(H170&lt;&gt;"",IF(H170&lt;=TODAY(),"SI","NO"),"LIMBO")</f>
        <v>SI</v>
      </c>
      <c r="P170" s="47" t="str">
        <f>IF($P$1=H170,"DIASOL", "DIANOSOL")</f>
        <v>DIANOSOL</v>
      </c>
      <c r="Q170" s="7" t="s">
        <v>897</v>
      </c>
      <c r="R170" s="7" t="str">
        <f>VLOOKUP($Q170,Resultados!$A$1:$B$49,2,FALSE)</f>
        <v>Libertad</v>
      </c>
      <c r="S170" s="7"/>
      <c r="T170" s="68" t="str">
        <f>IF(G170=$J$1,"SI","NO")</f>
        <v>NO</v>
      </c>
      <c r="U170" s="68">
        <f>IF(H170="",0,MONTH(H170))</f>
        <v>5</v>
      </c>
      <c r="V170" s="7" t="str">
        <f ca="1">IF(color_Celda(E170)=12106214,"ROSA",IF(color_Celda(E170)=65535,"AMARILLO",IF(color_Celda(E170)=5296274,"VERDE",IF(color_Celda(E170)=16777215,"BLANCO","NO SE"))))</f>
        <v>ROSA</v>
      </c>
      <c r="W170" s="7"/>
      <c r="X170" s="7"/>
      <c r="Y170" s="7"/>
      <c r="Z170" s="68"/>
      <c r="AA170" s="68"/>
      <c r="AB170" s="68"/>
      <c r="AC170" s="324"/>
    </row>
    <row r="171" spans="1:29" ht="60" customHeight="1" outlineLevel="1">
      <c r="A171" s="7">
        <v>169</v>
      </c>
      <c r="B171" s="19">
        <v>45063</v>
      </c>
      <c r="C171" s="15">
        <v>0.33333333333333331</v>
      </c>
      <c r="D171" s="7" t="s">
        <v>863</v>
      </c>
      <c r="E171" s="40" t="s">
        <v>867</v>
      </c>
      <c r="F171" s="7">
        <v>8</v>
      </c>
      <c r="G171" s="7" t="s">
        <v>43</v>
      </c>
      <c r="H171" s="297">
        <v>45064</v>
      </c>
      <c r="I171" s="7" t="s">
        <v>686</v>
      </c>
      <c r="J171" s="19" t="s">
        <v>31</v>
      </c>
      <c r="K171" s="7">
        <f>IFERROR(VLOOKUP(J171,Jueces!$A$1:$B$11,2,FALSE),"")</f>
        <v>2</v>
      </c>
      <c r="L171" s="7" t="s">
        <v>798</v>
      </c>
      <c r="M171" s="7" t="s">
        <v>767</v>
      </c>
      <c r="N171" s="7" t="s">
        <v>900</v>
      </c>
      <c r="O171" s="47" t="str">
        <f ca="1">IF(H171&lt;&gt;"",IF(H171&lt;=TODAY(),"SI","NO"),"LIMBO")</f>
        <v>SI</v>
      </c>
      <c r="P171" s="47" t="str">
        <f>IF($P$1=H171,"DIASOL", "DIANOSOL")</f>
        <v>DIANOSOL</v>
      </c>
      <c r="Q171" s="7" t="s">
        <v>900</v>
      </c>
      <c r="R171" s="7" t="str">
        <f>VLOOKUP($Q171,Resultados!$A$1:$B$49,2,FALSE)</f>
        <v>Libertad</v>
      </c>
      <c r="S171" s="7"/>
      <c r="T171" s="68" t="str">
        <f>IF(G171=$J$1,"SI","NO")</f>
        <v>NO</v>
      </c>
      <c r="U171" s="68">
        <f>IF(H171="",0,MONTH(H171))</f>
        <v>5</v>
      </c>
      <c r="V171" s="7" t="str">
        <f ca="1">IF(color_Celda(E171)=12106214,"ROSA",IF(color_Celda(E171)=65535,"AMARILLO",IF(color_Celda(E171)=5296274,"VERDE",IF(color_Celda(E171)=16777215,"BLANCO","NO SE"))))</f>
        <v>ROSA</v>
      </c>
      <c r="W171" s="7"/>
      <c r="X171" s="7"/>
      <c r="Y171" s="7"/>
      <c r="Z171" s="68"/>
      <c r="AA171" s="68"/>
      <c r="AB171" s="68"/>
      <c r="AC171" s="324"/>
    </row>
    <row r="172" spans="1:29" ht="60" customHeight="1" outlineLevel="1">
      <c r="A172" s="7">
        <v>171</v>
      </c>
      <c r="B172" s="19">
        <v>45056</v>
      </c>
      <c r="C172" s="15">
        <v>0.54166666666666663</v>
      </c>
      <c r="D172" s="7" t="s">
        <v>822</v>
      </c>
      <c r="E172" s="40" t="s">
        <v>787</v>
      </c>
      <c r="F172" s="7">
        <v>8</v>
      </c>
      <c r="G172" s="7" t="s">
        <v>568</v>
      </c>
      <c r="H172" s="297">
        <v>45065</v>
      </c>
      <c r="I172" s="7" t="s">
        <v>73</v>
      </c>
      <c r="J172" s="19" t="s">
        <v>78</v>
      </c>
      <c r="K172" s="7">
        <f>IFERROR(VLOOKUP(J172,Jueces!$A$1:$B$11,2,FALSE),"")</f>
        <v>8</v>
      </c>
      <c r="L172" s="7" t="s">
        <v>262</v>
      </c>
      <c r="M172" s="7" t="s">
        <v>710</v>
      </c>
      <c r="N172" s="7" t="s">
        <v>577</v>
      </c>
      <c r="O172" s="7" t="str">
        <f ca="1">IF(H172&lt;&gt;"",IF(H172&lt;=TODAY(),"SI","NO"),"LIMBO")</f>
        <v>SI</v>
      </c>
      <c r="P172" s="7" t="str">
        <f>IF($P$1=H172,"DIASOL", "DIANOSOL")</f>
        <v>DIANOSOL</v>
      </c>
      <c r="Q172" s="7" t="s">
        <v>151</v>
      </c>
      <c r="R172" s="7" t="str">
        <f>VLOOKUP($Q172,Resultados!$A$1:$B$49,2,FALSE)</f>
        <v>Prisión Preventiva</v>
      </c>
      <c r="S172" s="7"/>
      <c r="T172" s="68" t="str">
        <f>IF(G172=$J$1,"SI","NO")</f>
        <v>NO</v>
      </c>
      <c r="U172" s="68">
        <f>IF(H172="",0,MONTH(H172))</f>
        <v>5</v>
      </c>
      <c r="V172" s="7" t="str">
        <f ca="1">IF(color_Celda(E172)=12106214,"ROSA",IF(color_Celda(E172)=65535,"AMARILLO",IF(color_Celda(E172)=5296274,"VERDE",IF(color_Celda(E172)=16777215,"BLANCO","NO SE"))))</f>
        <v>ROSA</v>
      </c>
      <c r="W172" s="7"/>
      <c r="X172" s="7"/>
      <c r="Y172" s="7"/>
      <c r="Z172" s="68"/>
      <c r="AA172" s="68"/>
      <c r="AB172" s="68"/>
      <c r="AC172" s="324"/>
    </row>
    <row r="173" spans="1:29" ht="60" customHeight="1" outlineLevel="1">
      <c r="A173" s="7">
        <v>170</v>
      </c>
      <c r="B173" s="19">
        <v>45058</v>
      </c>
      <c r="C173" s="15">
        <v>0.55347222222222225</v>
      </c>
      <c r="D173" s="7" t="s">
        <v>841</v>
      </c>
      <c r="E173" s="40" t="s">
        <v>840</v>
      </c>
      <c r="F173" s="7">
        <v>8</v>
      </c>
      <c r="G173" s="7" t="s">
        <v>34</v>
      </c>
      <c r="H173" s="297">
        <v>45065</v>
      </c>
      <c r="I173" s="7" t="s">
        <v>73</v>
      </c>
      <c r="J173" s="19" t="s">
        <v>35</v>
      </c>
      <c r="K173" s="7">
        <f>IFERROR(VLOOKUP(J173,Jueces!$A$1:$B$11,2,FALSE),"")</f>
        <v>3</v>
      </c>
      <c r="L173" s="7" t="s">
        <v>809</v>
      </c>
      <c r="M173" s="7" t="s">
        <v>767</v>
      </c>
      <c r="N173" s="7" t="s">
        <v>466</v>
      </c>
      <c r="O173" s="7" t="str">
        <f ca="1">IF(H173&lt;&gt;"",IF(H173&lt;=TODAY(),"SI","NO"),"LIMBO")</f>
        <v>SI</v>
      </c>
      <c r="P173" s="7" t="str">
        <f>IF($P$1=H173,"DIASOL", "DIANOSOL")</f>
        <v>DIANOSOL</v>
      </c>
      <c r="Q173" s="7" t="s">
        <v>900</v>
      </c>
      <c r="R173" s="7" t="str">
        <f>VLOOKUP($Q173,Resultados!$A$1:$B$49,2,FALSE)</f>
        <v>Libertad</v>
      </c>
      <c r="S173" s="7"/>
      <c r="T173" s="68" t="str">
        <f>IF(G173=$J$1,"SI","NO")</f>
        <v>NO</v>
      </c>
      <c r="U173" s="68">
        <f>IF(H173="",0,MONTH(H173))</f>
        <v>5</v>
      </c>
      <c r="V173" s="7" t="str">
        <f ca="1">IF(color_Celda(E173)=12106214,"ROSA",IF(color_Celda(E173)=65535,"AMARILLO",IF(color_Celda(E173)=5296274,"VERDE",IF(color_Celda(E173)=16777215,"BLANCO","NO SE"))))</f>
        <v>ROSA</v>
      </c>
      <c r="W173" s="7"/>
      <c r="X173" s="7"/>
      <c r="Y173" s="7"/>
      <c r="Z173" s="68"/>
      <c r="AA173" s="68"/>
      <c r="AB173" s="68"/>
      <c r="AC173" s="324"/>
    </row>
    <row r="174" spans="1:29" ht="60" customHeight="1" outlineLevel="1">
      <c r="A174" s="7">
        <v>172</v>
      </c>
      <c r="B174" s="19">
        <v>45062</v>
      </c>
      <c r="C174" s="15">
        <v>0.33333333333333331</v>
      </c>
      <c r="D174" s="7" t="s">
        <v>854</v>
      </c>
      <c r="E174" s="40" t="s">
        <v>849</v>
      </c>
      <c r="F174" s="7">
        <v>8</v>
      </c>
      <c r="G174" s="7" t="s">
        <v>1433</v>
      </c>
      <c r="H174" s="297">
        <v>45065</v>
      </c>
      <c r="I174" s="7" t="s">
        <v>686</v>
      </c>
      <c r="J174" s="19" t="s">
        <v>78</v>
      </c>
      <c r="K174" s="7">
        <f>IFERROR(VLOOKUP(J174,Jueces!$A$1:$B$11,2,FALSE),"")</f>
        <v>8</v>
      </c>
      <c r="L174" s="7" t="s">
        <v>807</v>
      </c>
      <c r="M174" s="7" t="s">
        <v>767</v>
      </c>
      <c r="N174" s="7" t="s">
        <v>922</v>
      </c>
      <c r="O174" s="47" t="str">
        <f ca="1">IF(H174&lt;&gt;"",IF(H174&lt;=TODAY(),"SI","NO"),"LIMBO")</f>
        <v>SI</v>
      </c>
      <c r="P174" s="47" t="str">
        <f>IF($P$1=H174,"DIASOL", "DIANOSOL")</f>
        <v>DIANOSOL</v>
      </c>
      <c r="Q174" s="7" t="s">
        <v>902</v>
      </c>
      <c r="R174" s="7" t="str">
        <f>VLOOKUP($Q174,Resultados!$A$1:$B$49,2,FALSE)</f>
        <v>Juicio Abreviado</v>
      </c>
      <c r="S174" s="7"/>
      <c r="T174" s="68" t="str">
        <f>IF(G174=$J$1,"SI","NO")</f>
        <v>NO</v>
      </c>
      <c r="U174" s="68">
        <f>IF(H174="",0,MONTH(H174))</f>
        <v>5</v>
      </c>
      <c r="V174" s="7" t="str">
        <f ca="1">IF(color_Celda(E174)=12106214,"ROSA",IF(color_Celda(E174)=65535,"AMARILLO",IF(color_Celda(E174)=5296274,"VERDE",IF(color_Celda(E174)=16777215,"BLANCO","NO SE"))))</f>
        <v>ROSA</v>
      </c>
      <c r="W174" s="7"/>
      <c r="X174" s="7"/>
      <c r="Y174" s="7"/>
      <c r="Z174" s="68"/>
      <c r="AA174" s="68"/>
      <c r="AB174" s="68"/>
      <c r="AC174" s="324"/>
    </row>
    <row r="175" spans="1:29" ht="60" customHeight="1" outlineLevel="1">
      <c r="A175" s="7">
        <v>174</v>
      </c>
      <c r="B175" s="19">
        <v>45057</v>
      </c>
      <c r="C175" s="7" t="s">
        <v>73</v>
      </c>
      <c r="D175" s="7" t="s">
        <v>824</v>
      </c>
      <c r="E175" s="40" t="s">
        <v>813</v>
      </c>
      <c r="F175" s="7">
        <v>8</v>
      </c>
      <c r="G175" s="7" t="s">
        <v>29</v>
      </c>
      <c r="H175" s="297">
        <v>45068</v>
      </c>
      <c r="I175" s="7" t="s">
        <v>73</v>
      </c>
      <c r="J175" s="19" t="s">
        <v>78</v>
      </c>
      <c r="K175" s="7">
        <f>IFERROR(VLOOKUP(J175,Jueces!$A$1:$B$11,2,FALSE),"")</f>
        <v>8</v>
      </c>
      <c r="L175" s="7" t="s">
        <v>807</v>
      </c>
      <c r="M175" s="7" t="s">
        <v>767</v>
      </c>
      <c r="N175" s="7" t="s">
        <v>923</v>
      </c>
      <c r="O175" s="47" t="str">
        <f ca="1">IF(H175&lt;&gt;"",IF(H175&lt;=TODAY(),"SI","NO"),"LIMBO")</f>
        <v>SI</v>
      </c>
      <c r="P175" s="47" t="str">
        <f>IF($P$1=H175,"DIASOL", "DIANOSOL")</f>
        <v>DIANOSOL</v>
      </c>
      <c r="Q175" s="7" t="s">
        <v>902</v>
      </c>
      <c r="R175" s="7" t="str">
        <f>VLOOKUP($Q175,Resultados!$A$1:$B$49,2,FALSE)</f>
        <v>Juicio Abreviado</v>
      </c>
      <c r="S175" s="7"/>
      <c r="T175" s="68" t="str">
        <f>IF(G175=$J$1,"SI","NO")</f>
        <v>NO</v>
      </c>
      <c r="U175" s="68">
        <f>IF(H175="",0,MONTH(H175))</f>
        <v>5</v>
      </c>
      <c r="V175" s="7" t="str">
        <f ca="1">IF(color_Celda(E175)=12106214,"ROSA",IF(color_Celda(E175)=65535,"AMARILLO",IF(color_Celda(E175)=5296274,"VERDE",IF(color_Celda(E175)=16777215,"BLANCO","NO SE"))))</f>
        <v>ROSA</v>
      </c>
      <c r="W175" s="7"/>
      <c r="X175" s="7"/>
      <c r="Y175" s="7"/>
      <c r="Z175" s="68"/>
      <c r="AA175" s="68"/>
      <c r="AB175" s="68"/>
      <c r="AC175" s="324"/>
    </row>
    <row r="176" spans="1:29" ht="60" customHeight="1" outlineLevel="1">
      <c r="A176" s="7">
        <v>173</v>
      </c>
      <c r="B176" s="19">
        <v>45058</v>
      </c>
      <c r="C176" s="15">
        <v>0.35416666666666669</v>
      </c>
      <c r="D176" s="7" t="s">
        <v>838</v>
      </c>
      <c r="E176" s="40" t="s">
        <v>832</v>
      </c>
      <c r="F176" s="7">
        <v>8</v>
      </c>
      <c r="G176" s="297" t="s">
        <v>568</v>
      </c>
      <c r="H176" s="297">
        <v>45068</v>
      </c>
      <c r="I176" s="7" t="s">
        <v>73</v>
      </c>
      <c r="J176" s="19" t="s">
        <v>33</v>
      </c>
      <c r="K176" s="7">
        <f>IFERROR(VLOOKUP(J176,Jueces!$A$1:$B$11,2,FALSE),"")</f>
        <v>4</v>
      </c>
      <c r="L176" s="7" t="s">
        <v>792</v>
      </c>
      <c r="M176" s="7" t="s">
        <v>723</v>
      </c>
      <c r="N176" s="7" t="s">
        <v>930</v>
      </c>
      <c r="O176" s="7" t="str">
        <f ca="1">IF(H176&lt;&gt;"",IF(H176&lt;=TODAY(),"SI","NO"),"LIMBO")</f>
        <v>SI</v>
      </c>
      <c r="P176" s="7" t="str">
        <f>IF($P$1=H176,"DIASOL", "DIANOSOL")</f>
        <v>DIANOSOL</v>
      </c>
      <c r="Q176" s="7" t="s">
        <v>948</v>
      </c>
      <c r="R176" s="7" t="str">
        <f>VLOOKUP($Q176,Resultados!$A$1:$B$49,2,FALSE)</f>
        <v>Prision domiciliaria</v>
      </c>
      <c r="S176" s="7"/>
      <c r="T176" s="68" t="str">
        <f>IF(G176=$J$1,"SI","NO")</f>
        <v>NO</v>
      </c>
      <c r="U176" s="68">
        <f>IF(H176="",0,MONTH(H176))</f>
        <v>5</v>
      </c>
      <c r="V176" s="7" t="str">
        <f ca="1">IF(color_Celda(E176)=12106214,"ROSA",IF(color_Celda(E176)=65535,"AMARILLO",IF(color_Celda(E176)=5296274,"VERDE",IF(color_Celda(E176)=16777215,"BLANCO","NO SE"))))</f>
        <v>ROSA</v>
      </c>
      <c r="W176" s="7"/>
      <c r="X176" s="7"/>
      <c r="Y176" s="7"/>
      <c r="Z176" s="68"/>
      <c r="AA176" s="68"/>
      <c r="AB176" s="68"/>
      <c r="AC176" s="324"/>
    </row>
    <row r="177" spans="1:29" ht="60" customHeight="1" outlineLevel="1">
      <c r="A177" s="7">
        <v>175</v>
      </c>
      <c r="B177" s="19">
        <v>45057</v>
      </c>
      <c r="C177" s="15">
        <v>0.41666666666666669</v>
      </c>
      <c r="D177" s="7" t="s">
        <v>826</v>
      </c>
      <c r="E177" s="40" t="s">
        <v>892</v>
      </c>
      <c r="F177" s="7">
        <v>8</v>
      </c>
      <c r="G177" s="7" t="s">
        <v>1433</v>
      </c>
      <c r="H177" s="297">
        <v>45068</v>
      </c>
      <c r="I177" s="7" t="s">
        <v>686</v>
      </c>
      <c r="J177" s="19" t="s">
        <v>78</v>
      </c>
      <c r="K177" s="7">
        <f>IFERROR(VLOOKUP(J177,Jueces!$A$1:$B$11,2,FALSE),"")</f>
        <v>8</v>
      </c>
      <c r="L177" s="7" t="s">
        <v>803</v>
      </c>
      <c r="M177" s="7" t="s">
        <v>767</v>
      </c>
      <c r="N177" s="7" t="s">
        <v>924</v>
      </c>
      <c r="O177" s="47" t="str">
        <f ca="1">IF(H177&lt;&gt;"",IF(H177&lt;=TODAY(),"SI","NO"),"LIMBO")</f>
        <v>SI</v>
      </c>
      <c r="P177" s="47" t="str">
        <f>IF($P$1=H177,"DIASOL", "DIANOSOL")</f>
        <v>DIANOSOL</v>
      </c>
      <c r="Q177" s="7" t="s">
        <v>151</v>
      </c>
      <c r="R177" s="7" t="str">
        <f>VLOOKUP($Q177,Resultados!$A$1:$B$49,2,FALSE)</f>
        <v>Prisión Preventiva</v>
      </c>
      <c r="S177" s="7"/>
      <c r="T177" s="68" t="str">
        <f>IF(G177=$J$1,"SI","NO")</f>
        <v>NO</v>
      </c>
      <c r="U177" s="68">
        <f>IF(H177="",0,MONTH(H177))</f>
        <v>5</v>
      </c>
      <c r="V177" s="7" t="str">
        <f ca="1">IF(color_Celda(E177)=12106214,"ROSA",IF(color_Celda(E177)=65535,"AMARILLO",IF(color_Celda(E177)=5296274,"VERDE",IF(color_Celda(E177)=16777215,"BLANCO","NO SE"))))</f>
        <v>ROSA</v>
      </c>
      <c r="W177" s="7"/>
      <c r="X177" s="7"/>
      <c r="Y177" s="7"/>
      <c r="Z177" s="68"/>
      <c r="AA177" s="68"/>
      <c r="AB177" s="68"/>
      <c r="AC177" s="324"/>
    </row>
    <row r="178" spans="1:29" ht="60" customHeight="1" outlineLevel="1">
      <c r="A178" s="7">
        <v>176</v>
      </c>
      <c r="B178" s="19">
        <v>45063</v>
      </c>
      <c r="C178" s="15">
        <v>0.33333333333333331</v>
      </c>
      <c r="D178" s="7" t="s">
        <v>876</v>
      </c>
      <c r="E178" s="40" t="s">
        <v>865</v>
      </c>
      <c r="F178" s="7">
        <v>8</v>
      </c>
      <c r="G178" s="7" t="s">
        <v>32</v>
      </c>
      <c r="H178" s="297">
        <v>45068</v>
      </c>
      <c r="I178" s="7" t="s">
        <v>686</v>
      </c>
      <c r="J178" s="19" t="s">
        <v>33</v>
      </c>
      <c r="K178" s="7">
        <f>IFERROR(VLOOKUP(J178,Jueces!$A$1:$B$11,2,FALSE),"")</f>
        <v>4</v>
      </c>
      <c r="L178" s="7" t="s">
        <v>807</v>
      </c>
      <c r="M178" s="7" t="s">
        <v>723</v>
      </c>
      <c r="N178" s="7" t="s">
        <v>897</v>
      </c>
      <c r="O178" s="47" t="str">
        <f ca="1">IF(H178&lt;&gt;"",IF(H178&lt;=TODAY(),"SI","NO"),"LIMBO")</f>
        <v>SI</v>
      </c>
      <c r="P178" s="47" t="str">
        <f>IF($P$1=H178,"DIASOL", "DIANOSOL")</f>
        <v>DIANOSOL</v>
      </c>
      <c r="Q178" s="7" t="s">
        <v>897</v>
      </c>
      <c r="R178" s="7" t="str">
        <f>VLOOKUP($Q178,Resultados!$A$1:$B$49,2,FALSE)</f>
        <v>Libertad</v>
      </c>
      <c r="S178" s="7"/>
      <c r="T178" s="68" t="str">
        <f>IF(G178=$J$1,"SI","NO")</f>
        <v>NO</v>
      </c>
      <c r="U178" s="68">
        <f>IF(H178="",0,MONTH(H178))</f>
        <v>5</v>
      </c>
      <c r="V178" s="7" t="str">
        <f ca="1">IF(color_Celda(E178)=12106214,"ROSA",IF(color_Celda(E178)=65535,"AMARILLO",IF(color_Celda(E178)=5296274,"VERDE",IF(color_Celda(E178)=16777215,"BLANCO","NO SE"))))</f>
        <v>ROSA</v>
      </c>
      <c r="W178" s="7"/>
      <c r="X178" s="7"/>
      <c r="Y178" s="7"/>
      <c r="Z178" s="68"/>
      <c r="AA178" s="68"/>
      <c r="AB178" s="68"/>
      <c r="AC178" s="324"/>
    </row>
    <row r="179" spans="1:29" ht="60" customHeight="1" outlineLevel="1">
      <c r="A179" s="7">
        <v>177</v>
      </c>
      <c r="B179" s="19">
        <v>45057</v>
      </c>
      <c r="C179" s="15">
        <v>0.41666666666666669</v>
      </c>
      <c r="D179" s="7" t="s">
        <v>825</v>
      </c>
      <c r="E179" s="40" t="s">
        <v>818</v>
      </c>
      <c r="F179" s="7">
        <v>8</v>
      </c>
      <c r="G179" s="7" t="s">
        <v>283</v>
      </c>
      <c r="H179" s="297">
        <v>45069</v>
      </c>
      <c r="I179" s="7" t="s">
        <v>73</v>
      </c>
      <c r="J179" s="19" t="s">
        <v>31</v>
      </c>
      <c r="K179" s="7">
        <f>IFERROR(VLOOKUP(J179,Jueces!$A$1:$B$11,2,FALSE),"")</f>
        <v>2</v>
      </c>
      <c r="L179" s="581" t="s">
        <v>828</v>
      </c>
      <c r="M179" s="7" t="s">
        <v>767</v>
      </c>
      <c r="N179" s="7" t="s">
        <v>941</v>
      </c>
      <c r="O179" s="47" t="str">
        <f ca="1">IF(H179&lt;&gt;"",IF(H179&lt;=TODAY(),"SI","NO"),"LIMBO")</f>
        <v>SI</v>
      </c>
      <c r="P179" s="47" t="str">
        <f>IF($P$1=H179,"DIASOL", "DIANOSOL")</f>
        <v>DIANOSOL</v>
      </c>
      <c r="Q179" s="7" t="s">
        <v>151</v>
      </c>
      <c r="R179" s="7" t="str">
        <f>VLOOKUP($Q179,Resultados!$A$1:$B$49,2,FALSE)</f>
        <v>Prisión Preventiva</v>
      </c>
      <c r="S179" s="7"/>
      <c r="T179" s="68" t="str">
        <f>IF(G179=$J$1,"SI","NO")</f>
        <v>NO</v>
      </c>
      <c r="U179" s="68">
        <f>IF(H179="",0,MONTH(H179))</f>
        <v>5</v>
      </c>
      <c r="V179" s="7" t="str">
        <f ca="1">IF(color_Celda(E179)=12106214,"ROSA",IF(color_Celda(E179)=65535,"AMARILLO",IF(color_Celda(E179)=5296274,"VERDE",IF(color_Celda(E179)=16777215,"BLANCO","NO SE"))))</f>
        <v>ROSA</v>
      </c>
      <c r="W179" s="7"/>
      <c r="X179" s="7"/>
      <c r="Y179" s="7"/>
      <c r="Z179" s="68"/>
      <c r="AA179" s="68"/>
      <c r="AB179" s="68"/>
      <c r="AC179" s="324"/>
    </row>
    <row r="180" spans="1:29" ht="60" customHeight="1" outlineLevel="1">
      <c r="A180" s="7">
        <v>178</v>
      </c>
      <c r="B180" s="19">
        <v>45062</v>
      </c>
      <c r="C180" s="15">
        <v>0.33333333333333331</v>
      </c>
      <c r="D180" s="7" t="s">
        <v>847</v>
      </c>
      <c r="E180" s="40" t="s">
        <v>848</v>
      </c>
      <c r="F180" s="7">
        <v>8</v>
      </c>
      <c r="G180" s="7" t="s">
        <v>43</v>
      </c>
      <c r="H180" s="297">
        <v>45069</v>
      </c>
      <c r="I180" s="7" t="s">
        <v>73</v>
      </c>
      <c r="J180" s="19" t="s">
        <v>35</v>
      </c>
      <c r="K180" s="7">
        <f>IFERROR(VLOOKUP(J180,Jueces!$A$1:$B$11,2,FALSE),"")</f>
        <v>3</v>
      </c>
      <c r="L180" s="7" t="s">
        <v>569</v>
      </c>
      <c r="M180" s="7" t="s">
        <v>783</v>
      </c>
      <c r="N180" s="7" t="s">
        <v>939</v>
      </c>
      <c r="O180" s="47" t="str">
        <f ca="1">IF(H180&lt;&gt;"",IF(H180&lt;=TODAY(),"SI","NO"),"LIMBO")</f>
        <v>SI</v>
      </c>
      <c r="P180" s="47" t="str">
        <f>IF($P$1=H180,"DIASOL", "DIANOSOL")</f>
        <v>DIANOSOL</v>
      </c>
      <c r="Q180" s="7" t="s">
        <v>151</v>
      </c>
      <c r="R180" s="7" t="str">
        <f>VLOOKUP($Q180,Resultados!$A$1:$B$49,2,FALSE)</f>
        <v>Prisión Preventiva</v>
      </c>
      <c r="S180" s="7"/>
      <c r="T180" s="68" t="str">
        <f>IF(G180=$J$1,"SI","NO")</f>
        <v>NO</v>
      </c>
      <c r="U180" s="68">
        <f>IF(H180="",0,MONTH(H180))</f>
        <v>5</v>
      </c>
      <c r="V180" s="7" t="str">
        <f ca="1">IF(color_Celda(E180)=12106214,"ROSA",IF(color_Celda(E180)=65535,"AMARILLO",IF(color_Celda(E180)=5296274,"VERDE",IF(color_Celda(E180)=16777215,"BLANCO","NO SE"))))</f>
        <v>ROSA</v>
      </c>
      <c r="W180" s="7"/>
      <c r="X180" s="7"/>
      <c r="Y180" s="7"/>
      <c r="Z180" s="68"/>
      <c r="AA180" s="68"/>
      <c r="AB180" s="68"/>
      <c r="AC180" s="324"/>
    </row>
    <row r="181" spans="1:29" ht="60" customHeight="1" outlineLevel="1">
      <c r="A181" s="7">
        <v>179</v>
      </c>
      <c r="B181" s="19">
        <v>45063</v>
      </c>
      <c r="C181" s="15">
        <v>0.33333333333333331</v>
      </c>
      <c r="D181" s="7" t="s">
        <v>877</v>
      </c>
      <c r="E181" s="40" t="s">
        <v>866</v>
      </c>
      <c r="F181" s="7">
        <v>8</v>
      </c>
      <c r="G181" s="7" t="s">
        <v>29</v>
      </c>
      <c r="H181" s="297">
        <v>45069</v>
      </c>
      <c r="I181" s="7" t="s">
        <v>73</v>
      </c>
      <c r="J181" s="19" t="s">
        <v>33</v>
      </c>
      <c r="K181" s="7">
        <f>IFERROR(VLOOKUP(J181,Jueces!$A$1:$B$11,2,FALSE),"")</f>
        <v>4</v>
      </c>
      <c r="L181" s="7" t="s">
        <v>811</v>
      </c>
      <c r="M181" s="7" t="s">
        <v>723</v>
      </c>
      <c r="N181" s="7" t="s">
        <v>938</v>
      </c>
      <c r="O181" s="47" t="str">
        <f ca="1">IF(H181&lt;&gt;"",IF(H181&lt;=TODAY(),"SI","NO"),"LIMBO")</f>
        <v>SI</v>
      </c>
      <c r="P181" s="47" t="str">
        <f>IF($P$1=H181,"DIASOL", "DIANOSOL")</f>
        <v>DIANOSOL</v>
      </c>
      <c r="Q181" s="7" t="s">
        <v>151</v>
      </c>
      <c r="R181" s="7" t="str">
        <f>VLOOKUP($Q181,Resultados!$A$1:$B$49,2,FALSE)</f>
        <v>Prisión Preventiva</v>
      </c>
      <c r="S181" s="7"/>
      <c r="T181" s="68" t="str">
        <f>IF(G181=$J$1,"SI","NO")</f>
        <v>NO</v>
      </c>
      <c r="U181" s="68">
        <f>IF(H181="",0,MONTH(H181))</f>
        <v>5</v>
      </c>
      <c r="V181" s="7" t="str">
        <f ca="1">IF(color_Celda(E181)=12106214,"ROSA",IF(color_Celda(E181)=65535,"AMARILLO",IF(color_Celda(E181)=5296274,"VERDE",IF(color_Celda(E181)=16777215,"BLANCO","NO SE"))))</f>
        <v>ROSA</v>
      </c>
      <c r="W181" s="7"/>
      <c r="X181" s="7"/>
      <c r="Y181" s="7"/>
      <c r="Z181" s="68"/>
      <c r="AA181" s="68"/>
      <c r="AB181" s="68"/>
      <c r="AC181" s="324"/>
    </row>
    <row r="182" spans="1:29" ht="60" customHeight="1" outlineLevel="1">
      <c r="A182" s="7">
        <v>180</v>
      </c>
      <c r="B182" s="19">
        <v>45061</v>
      </c>
      <c r="C182" s="15">
        <v>0.5625</v>
      </c>
      <c r="D182" s="7" t="s">
        <v>853</v>
      </c>
      <c r="E182" s="40" t="s">
        <v>844</v>
      </c>
      <c r="F182" s="7">
        <v>8</v>
      </c>
      <c r="G182" s="7" t="s">
        <v>32</v>
      </c>
      <c r="H182" s="297">
        <v>45069</v>
      </c>
      <c r="I182" s="7" t="s">
        <v>686</v>
      </c>
      <c r="J182" s="19" t="s">
        <v>31</v>
      </c>
      <c r="K182" s="7">
        <f>IFERROR(VLOOKUP(J182,Jueces!$A$1:$B$11,2,FALSE),"")</f>
        <v>2</v>
      </c>
      <c r="L182" s="7" t="s">
        <v>810</v>
      </c>
      <c r="M182" s="7" t="s">
        <v>767</v>
      </c>
      <c r="N182" s="7" t="s">
        <v>940</v>
      </c>
      <c r="O182" s="47" t="str">
        <f ca="1">IF(H182&lt;&gt;"",IF(H182&lt;=TODAY(),"SI","NO"),"LIMBO")</f>
        <v>SI</v>
      </c>
      <c r="P182" s="47" t="str">
        <f>IF($P$1=H182,"DIASOL", "DIANOSOL")</f>
        <v>DIANOSOL</v>
      </c>
      <c r="Q182" s="7" t="s">
        <v>903</v>
      </c>
      <c r="R182" s="7" t="str">
        <f>VLOOKUP($Q182,Resultados!$A$1:$B$49,2,FALSE)</f>
        <v>Juicio Abreviado</v>
      </c>
      <c r="S182" s="7"/>
      <c r="T182" s="68" t="str">
        <f>IF(G182=$J$1,"SI","NO")</f>
        <v>NO</v>
      </c>
      <c r="U182" s="68">
        <f>IF(H182="",0,MONTH(H182))</f>
        <v>5</v>
      </c>
      <c r="V182" s="7" t="str">
        <f ca="1">IF(color_Celda(E182)=12106214,"ROSA",IF(color_Celda(E182)=65535,"AMARILLO",IF(color_Celda(E182)=5296274,"VERDE",IF(color_Celda(E182)=16777215,"BLANCO","NO SE"))))</f>
        <v>ROSA</v>
      </c>
      <c r="W182" s="7"/>
      <c r="X182" s="7"/>
      <c r="Y182" s="7"/>
      <c r="Z182" s="68"/>
      <c r="AA182" s="68"/>
      <c r="AB182" s="68"/>
      <c r="AC182" s="324"/>
    </row>
    <row r="183" spans="1:29" ht="60" customHeight="1" outlineLevel="1">
      <c r="A183" s="7">
        <v>182</v>
      </c>
      <c r="B183" s="19">
        <v>45057</v>
      </c>
      <c r="C183" s="7" t="s">
        <v>73</v>
      </c>
      <c r="D183" s="7" t="s">
        <v>829</v>
      </c>
      <c r="E183" s="40" t="s">
        <v>814</v>
      </c>
      <c r="F183" s="7">
        <v>8</v>
      </c>
      <c r="G183" s="7" t="s">
        <v>34</v>
      </c>
      <c r="H183" s="297">
        <v>45070</v>
      </c>
      <c r="I183" s="7" t="s">
        <v>73</v>
      </c>
      <c r="J183" s="19" t="s">
        <v>78</v>
      </c>
      <c r="K183" s="7">
        <f>IFERROR(VLOOKUP(J183,Jueces!$A$1:$B$11,2,FALSE),"")</f>
        <v>8</v>
      </c>
      <c r="L183" s="7" t="s">
        <v>807</v>
      </c>
      <c r="M183" s="7" t="s">
        <v>767</v>
      </c>
      <c r="N183" s="7" t="s">
        <v>897</v>
      </c>
      <c r="O183" s="47" t="str">
        <f ca="1">IF(H183&lt;&gt;"",IF(H183&lt;=TODAY(),"SI","NO"),"LIMBO")</f>
        <v>SI</v>
      </c>
      <c r="P183" s="47" t="str">
        <f>IF($P$1=H183,"DIASOL", "DIANOSOL")</f>
        <v>DIANOSOL</v>
      </c>
      <c r="Q183" s="7" t="s">
        <v>897</v>
      </c>
      <c r="R183" s="7" t="str">
        <f>VLOOKUP($Q183,Resultados!$A$1:$B$49,2,FALSE)</f>
        <v>Libertad</v>
      </c>
      <c r="S183" s="7"/>
      <c r="T183" s="68" t="str">
        <f>IF(G183=$J$1,"SI","NO")</f>
        <v>NO</v>
      </c>
      <c r="U183" s="68">
        <f>IF(H183="",0,MONTH(H183))</f>
        <v>5</v>
      </c>
      <c r="V183" s="7" t="str">
        <f ca="1">IF(color_Celda(E183)=12106214,"ROSA",IF(color_Celda(E183)=65535,"AMARILLO",IF(color_Celda(E183)=5296274,"VERDE",IF(color_Celda(E183)=16777215,"BLANCO","NO SE"))))</f>
        <v>ROSA</v>
      </c>
      <c r="W183" s="7"/>
      <c r="X183" s="7"/>
      <c r="Y183" s="7"/>
      <c r="Z183" s="68"/>
      <c r="AA183" s="68"/>
      <c r="AB183" s="68"/>
      <c r="AC183" s="324"/>
    </row>
    <row r="184" spans="1:29" ht="60" customHeight="1" outlineLevel="1">
      <c r="A184" s="7">
        <v>181</v>
      </c>
      <c r="B184" s="19">
        <v>45061</v>
      </c>
      <c r="C184" s="15">
        <v>0.45763888888888887</v>
      </c>
      <c r="D184" s="7" t="s">
        <v>894</v>
      </c>
      <c r="E184" s="40" t="s">
        <v>842</v>
      </c>
      <c r="F184" s="7">
        <v>8</v>
      </c>
      <c r="G184" s="7" t="s">
        <v>568</v>
      </c>
      <c r="H184" s="297">
        <v>45070</v>
      </c>
      <c r="I184" s="7" t="s">
        <v>73</v>
      </c>
      <c r="J184" s="19" t="s">
        <v>31</v>
      </c>
      <c r="K184" s="7">
        <f>IFERROR(VLOOKUP(J184,Jueces!$A$1:$B$11,2,FALSE),"")</f>
        <v>2</v>
      </c>
      <c r="L184" s="7" t="s">
        <v>828</v>
      </c>
      <c r="M184" s="7" t="s">
        <v>723</v>
      </c>
      <c r="N184" s="7" t="s">
        <v>952</v>
      </c>
      <c r="O184" s="47" t="str">
        <f ca="1">IF(H184&lt;&gt;"",IF(H184&lt;=TODAY(),"SI","NO"),"LIMBO")</f>
        <v>SI</v>
      </c>
      <c r="P184" s="47" t="str">
        <f>IF($P$1=H184,"DIASOL", "DIANOSOL")</f>
        <v>DIANOSOL</v>
      </c>
      <c r="Q184" s="7" t="s">
        <v>903</v>
      </c>
      <c r="R184" s="7" t="str">
        <f>VLOOKUP($Q184,Resultados!$A$1:$B$49,2,FALSE)</f>
        <v>Juicio Abreviado</v>
      </c>
      <c r="S184" s="7"/>
      <c r="T184" s="68" t="str">
        <f>IF(G184=$J$1,"SI","NO")</f>
        <v>NO</v>
      </c>
      <c r="U184" s="68">
        <f>IF(H184="",0,MONTH(H184))</f>
        <v>5</v>
      </c>
      <c r="V184" s="7" t="str">
        <f ca="1">IF(color_Celda(E184)=12106214,"ROSA",IF(color_Celda(E184)=65535,"AMARILLO",IF(color_Celda(E184)=5296274,"VERDE",IF(color_Celda(E184)=16777215,"BLANCO","NO SE"))))</f>
        <v>ROSA</v>
      </c>
      <c r="W184" s="7"/>
      <c r="X184" s="7"/>
      <c r="Y184" s="7"/>
      <c r="Z184" s="68"/>
      <c r="AA184" s="68"/>
      <c r="AB184" s="68"/>
      <c r="AC184" s="324"/>
    </row>
    <row r="185" spans="1:29" ht="60" customHeight="1" outlineLevel="1">
      <c r="A185" s="7">
        <v>183</v>
      </c>
      <c r="B185" s="19">
        <v>45061</v>
      </c>
      <c r="C185" s="15">
        <v>0.5625</v>
      </c>
      <c r="D185" s="7" t="s">
        <v>852</v>
      </c>
      <c r="E185" s="40" t="s">
        <v>845</v>
      </c>
      <c r="F185" s="7">
        <v>8</v>
      </c>
      <c r="G185" s="7" t="s">
        <v>29</v>
      </c>
      <c r="H185" s="297">
        <v>45070</v>
      </c>
      <c r="I185" s="7" t="s">
        <v>686</v>
      </c>
      <c r="J185" s="19" t="s">
        <v>31</v>
      </c>
      <c r="K185" s="7">
        <f>IFERROR(VLOOKUP(J185,Jueces!$A$1:$B$11,2,FALSE),"")</f>
        <v>2</v>
      </c>
      <c r="L185" s="7" t="s">
        <v>789</v>
      </c>
      <c r="M185" s="7" t="s">
        <v>767</v>
      </c>
      <c r="N185" s="7" t="s">
        <v>951</v>
      </c>
      <c r="O185" s="47" t="str">
        <f ca="1">IF(H185&lt;&gt;"",IF(H185&lt;=TODAY(),"SI","NO"),"LIMBO")</f>
        <v>SI</v>
      </c>
      <c r="P185" s="47" t="str">
        <f>IF($P$1=H185,"DIASOL", "DIANOSOL")</f>
        <v>DIANOSOL</v>
      </c>
      <c r="Q185" s="7" t="s">
        <v>907</v>
      </c>
      <c r="R185" s="7" t="str">
        <f>VLOOKUP($Q185,Resultados!$A$1:$B$49,2,FALSE)</f>
        <v>Suspensión de juicio a prueba</v>
      </c>
      <c r="S185" s="7"/>
      <c r="T185" s="68" t="str">
        <f>IF(G185=$J$1,"SI","NO")</f>
        <v>NO</v>
      </c>
      <c r="U185" s="68">
        <f>IF(H185="",0,MONTH(H185))</f>
        <v>5</v>
      </c>
      <c r="V185" s="7" t="str">
        <f ca="1">IF(color_Celda(E185)=12106214,"ROSA",IF(color_Celda(E185)=65535,"AMARILLO",IF(color_Celda(E185)=5296274,"VERDE",IF(color_Celda(E185)=16777215,"BLANCO","NO SE"))))</f>
        <v>ROSA</v>
      </c>
      <c r="W185" s="7"/>
      <c r="X185" s="7"/>
      <c r="Y185" s="7"/>
      <c r="Z185" s="68"/>
      <c r="AA185" s="68"/>
      <c r="AB185" s="68"/>
      <c r="AC185" s="324"/>
    </row>
    <row r="186" spans="1:29" ht="60" customHeight="1" outlineLevel="1">
      <c r="A186" s="7">
        <v>184</v>
      </c>
      <c r="B186" s="19">
        <v>45062</v>
      </c>
      <c r="C186" s="15">
        <v>0.54166666666666663</v>
      </c>
      <c r="D186" s="7" t="s">
        <v>874</v>
      </c>
      <c r="E186" s="40" t="s">
        <v>875</v>
      </c>
      <c r="F186" s="7">
        <v>8</v>
      </c>
      <c r="G186" s="7" t="s">
        <v>1433</v>
      </c>
      <c r="H186" s="297">
        <v>45070</v>
      </c>
      <c r="I186" s="7" t="s">
        <v>686</v>
      </c>
      <c r="J186" s="19" t="s">
        <v>78</v>
      </c>
      <c r="K186" s="7">
        <f>IFERROR(VLOOKUP(J186,Jueces!$A$1:$B$11,2,FALSE),"")</f>
        <v>8</v>
      </c>
      <c r="L186" s="7" t="s">
        <v>827</v>
      </c>
      <c r="M186" s="7" t="s">
        <v>885</v>
      </c>
      <c r="N186" s="7" t="s">
        <v>950</v>
      </c>
      <c r="O186" s="47" t="str">
        <f ca="1">IF(H186&lt;&gt;"",IF(H186&lt;=TODAY(),"SI","NO"),"LIMBO")</f>
        <v>SI</v>
      </c>
      <c r="P186" s="47" t="str">
        <f>IF($P$1=H186,"DIASOL", "DIANOSOL")</f>
        <v>DIANOSOL</v>
      </c>
      <c r="Q186" s="7" t="s">
        <v>151</v>
      </c>
      <c r="R186" s="7" t="str">
        <f>VLOOKUP($Q186,Resultados!$A$1:$B$49,2,FALSE)</f>
        <v>Prisión Preventiva</v>
      </c>
      <c r="S186" s="7"/>
      <c r="T186" s="68" t="str">
        <f>IF(G186=$J$1,"SI","NO")</f>
        <v>NO</v>
      </c>
      <c r="U186" s="68">
        <f>IF(H186="",0,MONTH(H186))</f>
        <v>5</v>
      </c>
      <c r="V186" s="7" t="str">
        <f ca="1">IF(color_Celda(E186)=12106214,"ROSA",IF(color_Celda(E186)=65535,"AMARILLO",IF(color_Celda(E186)=5296274,"VERDE",IF(color_Celda(E186)=16777215,"BLANCO","NO SE"))))</f>
        <v>ROSA</v>
      </c>
      <c r="W186" s="7"/>
      <c r="X186" s="7"/>
      <c r="Y186" s="7"/>
      <c r="Z186" s="68"/>
      <c r="AA186" s="68"/>
      <c r="AB186" s="68"/>
      <c r="AC186" s="324"/>
    </row>
    <row r="187" spans="1:29" ht="60" customHeight="1" outlineLevel="1">
      <c r="A187" s="7">
        <v>185</v>
      </c>
      <c r="B187" s="19">
        <v>45065</v>
      </c>
      <c r="C187" s="15">
        <v>0.54166666666666663</v>
      </c>
      <c r="D187" s="7" t="s">
        <v>931</v>
      </c>
      <c r="E187" s="40" t="s">
        <v>921</v>
      </c>
      <c r="F187" s="7">
        <v>8</v>
      </c>
      <c r="G187" s="7" t="s">
        <v>1433</v>
      </c>
      <c r="H187" s="297">
        <v>45070</v>
      </c>
      <c r="I187" s="7" t="s">
        <v>76</v>
      </c>
      <c r="J187" s="19" t="s">
        <v>78</v>
      </c>
      <c r="K187" s="7">
        <f>IFERROR(VLOOKUP(J187,Jueces!$A$1:$B$11,2,FALSE),"")</f>
        <v>8</v>
      </c>
      <c r="L187" s="7" t="s">
        <v>401</v>
      </c>
      <c r="M187" s="7" t="s">
        <v>885</v>
      </c>
      <c r="N187" s="7"/>
      <c r="O187" s="7" t="str">
        <f ca="1">IF(H187&lt;&gt;"",IF(H187&lt;=TODAY(),"SI","NO"),"LIMBO")</f>
        <v>SI</v>
      </c>
      <c r="P187" s="7" t="str">
        <f>IF($P$1=H187,"DIASOL", "DIANOSOL")</f>
        <v>DIANOSOL</v>
      </c>
      <c r="Q187" s="7" t="s">
        <v>903</v>
      </c>
      <c r="R187" s="7" t="str">
        <f>VLOOKUP($Q187,Resultados!$A$1:$B$49,2,FALSE)</f>
        <v>Juicio Abreviado</v>
      </c>
      <c r="S187" s="7"/>
      <c r="T187" s="68" t="str">
        <f>IF(G187=$J$1,"SI","NO")</f>
        <v>NO</v>
      </c>
      <c r="U187" s="68">
        <f>IF(H187="",0,MONTH(H187))</f>
        <v>5</v>
      </c>
      <c r="V187" s="7" t="str">
        <f ca="1">IF(color_Celda(E187)=12106214,"ROSA",IF(color_Celda(E187)=65535,"AMARILLO",IF(color_Celda(E187)=5296274,"VERDE",IF(color_Celda(E187)=16777215,"BLANCO","NO SE"))))</f>
        <v>ROSA</v>
      </c>
      <c r="W187" s="7"/>
      <c r="X187" s="7"/>
      <c r="Y187" s="7"/>
      <c r="Z187" s="68"/>
      <c r="AA187" s="68"/>
      <c r="AB187" s="68"/>
      <c r="AC187" s="324"/>
    </row>
    <row r="188" spans="1:29" ht="60" customHeight="1" outlineLevel="1">
      <c r="A188" s="7">
        <v>188</v>
      </c>
      <c r="B188" s="19">
        <v>45058</v>
      </c>
      <c r="C188" s="15">
        <v>0.51736111111111105</v>
      </c>
      <c r="D188" s="7" t="s">
        <v>871</v>
      </c>
      <c r="E188" s="40" t="s">
        <v>851</v>
      </c>
      <c r="F188" s="7">
        <v>8</v>
      </c>
      <c r="G188" s="7" t="s">
        <v>1433</v>
      </c>
      <c r="H188" s="297">
        <v>45075</v>
      </c>
      <c r="I188" s="7" t="s">
        <v>73</v>
      </c>
      <c r="J188" s="19" t="s">
        <v>31</v>
      </c>
      <c r="K188" s="7">
        <f>IFERROR(VLOOKUP(J188,Jueces!$A$1:$B$11,2,FALSE),"")</f>
        <v>2</v>
      </c>
      <c r="L188" s="7" t="s">
        <v>1030</v>
      </c>
      <c r="M188" s="7" t="s">
        <v>1029</v>
      </c>
      <c r="N188" s="7" t="s">
        <v>955</v>
      </c>
      <c r="O188" s="7" t="str">
        <f ca="1">IF(H188&lt;&gt;"",IF(H188&lt;=TODAY(),"SI","NO"),"LIMBO")</f>
        <v>SI</v>
      </c>
      <c r="P188" s="7" t="str">
        <f>IF($P$1=H188,"DIASOL", "DIANOSOL")</f>
        <v>DIANOSOL</v>
      </c>
      <c r="Q188" s="7" t="s">
        <v>151</v>
      </c>
      <c r="R188" s="7" t="str">
        <f>VLOOKUP($Q188,Resultados!$A$1:$B$49,2,FALSE)</f>
        <v>Prisión Preventiva</v>
      </c>
      <c r="S188" s="7"/>
      <c r="T188" s="68" t="str">
        <f>IF(G188=$J$1,"SI","NO")</f>
        <v>NO</v>
      </c>
      <c r="U188" s="68">
        <f>IF(H188="",0,MONTH(H188))</f>
        <v>5</v>
      </c>
      <c r="V188" s="7" t="str">
        <f ca="1">IF(color_Celda(E188)=12106214,"ROSA",IF(color_Celda(E188)=65535,"AMARILLO",IF(color_Celda(E188)=5296274,"VERDE",IF(color_Celda(E188)=16777215,"BLANCO","NO SE"))))</f>
        <v>ROSA</v>
      </c>
      <c r="W188" s="7"/>
      <c r="X188" s="7"/>
      <c r="Y188" s="7"/>
      <c r="Z188" s="68"/>
      <c r="AA188" s="68"/>
      <c r="AB188" s="68"/>
      <c r="AC188" s="324"/>
    </row>
    <row r="189" spans="1:29" ht="60" customHeight="1" outlineLevel="1">
      <c r="A189" s="7">
        <v>187</v>
      </c>
      <c r="B189" s="19">
        <v>45062</v>
      </c>
      <c r="C189" s="7" t="s">
        <v>77</v>
      </c>
      <c r="D189" s="7" t="s">
        <v>882</v>
      </c>
      <c r="E189" s="40" t="s">
        <v>883</v>
      </c>
      <c r="F189" s="7">
        <v>8</v>
      </c>
      <c r="G189" s="7" t="s">
        <v>568</v>
      </c>
      <c r="H189" s="297">
        <v>45075</v>
      </c>
      <c r="I189" s="7" t="s">
        <v>73</v>
      </c>
      <c r="J189" s="19" t="s">
        <v>33</v>
      </c>
      <c r="K189" s="7">
        <f>IFERROR(VLOOKUP(J189,Jueces!$A$1:$B$11,2,FALSE),"")</f>
        <v>4</v>
      </c>
      <c r="L189" s="7" t="s">
        <v>805</v>
      </c>
      <c r="M189" s="7" t="s">
        <v>884</v>
      </c>
      <c r="N189" s="7" t="s">
        <v>960</v>
      </c>
      <c r="O189" s="7" t="str">
        <f ca="1">IF(H189&lt;&gt;"",IF(H189&lt;=TODAY(),"SI","NO"),"LIMBO")</f>
        <v>SI</v>
      </c>
      <c r="P189" s="7" t="str">
        <f>IF($P$1=H189,"DIASOL", "DIANOSOL")</f>
        <v>DIANOSOL</v>
      </c>
      <c r="Q189" s="7" t="s">
        <v>903</v>
      </c>
      <c r="R189" s="7" t="str">
        <f>VLOOKUP($Q189,Resultados!$A$1:$B$49,2,FALSE)</f>
        <v>Juicio Abreviado</v>
      </c>
      <c r="S189" s="7"/>
      <c r="T189" s="68" t="str">
        <f>IF(G189=$J$1,"SI","NO")</f>
        <v>NO</v>
      </c>
      <c r="U189" s="68">
        <f>IF(H189="",0,MONTH(H189))</f>
        <v>5</v>
      </c>
      <c r="V189" s="7" t="str">
        <f ca="1">IF(color_Celda(E189)=12106214,"ROSA",IF(color_Celda(E189)=65535,"AMARILLO",IF(color_Celda(E189)=5296274,"VERDE",IF(color_Celda(E189)=16777215,"BLANCO","NO SE"))))</f>
        <v>ROSA</v>
      </c>
      <c r="W189" s="7"/>
      <c r="X189" s="7"/>
      <c r="Y189" s="7"/>
      <c r="Z189" s="68"/>
      <c r="AA189" s="68"/>
      <c r="AB189" s="68"/>
      <c r="AC189" s="324"/>
    </row>
    <row r="190" spans="1:29" ht="60" customHeight="1" outlineLevel="1">
      <c r="A190" s="7">
        <v>186</v>
      </c>
      <c r="B190" s="19">
        <v>45063</v>
      </c>
      <c r="C190" s="15">
        <v>0.54166666666666663</v>
      </c>
      <c r="D190" s="7" t="s">
        <v>899</v>
      </c>
      <c r="E190" s="40" t="s">
        <v>893</v>
      </c>
      <c r="F190" s="7">
        <v>8</v>
      </c>
      <c r="G190" s="7" t="s">
        <v>32</v>
      </c>
      <c r="H190" s="297">
        <v>45075</v>
      </c>
      <c r="I190" s="15" t="s">
        <v>73</v>
      </c>
      <c r="J190" s="19" t="s">
        <v>35</v>
      </c>
      <c r="K190" s="7">
        <f>IFERROR(VLOOKUP(J190,Jueces!$A$1:$B$11,2,FALSE),"")</f>
        <v>3</v>
      </c>
      <c r="L190" s="7" t="s">
        <v>796</v>
      </c>
      <c r="M190" s="7" t="s">
        <v>895</v>
      </c>
      <c r="N190" s="7" t="s">
        <v>953</v>
      </c>
      <c r="O190" s="7" t="str">
        <f ca="1">IF(H190&lt;&gt;"",IF(H190&lt;=TODAY(),"SI","NO"),"LIMBO")</f>
        <v>SI</v>
      </c>
      <c r="P190" s="7" t="str">
        <f>IF($P$1=H190,"DIASOL", "DIANOSOL")</f>
        <v>DIANOSOL</v>
      </c>
      <c r="Q190" s="7" t="s">
        <v>903</v>
      </c>
      <c r="R190" s="7" t="str">
        <f>VLOOKUP($Q190,Resultados!$A$1:$B$49,2,FALSE)</f>
        <v>Juicio Abreviado</v>
      </c>
      <c r="S190" s="7"/>
      <c r="T190" s="68" t="str">
        <f>IF(G190=$J$1,"SI","NO")</f>
        <v>NO</v>
      </c>
      <c r="U190" s="68">
        <f>IF(H190="",0,MONTH(H190))</f>
        <v>5</v>
      </c>
      <c r="V190" s="7" t="str">
        <f ca="1">IF(color_Celda(E190)=12106214,"ROSA",IF(color_Celda(E190)=65535,"AMARILLO",IF(color_Celda(E190)=5296274,"VERDE",IF(color_Celda(E190)=16777215,"BLANCO","NO SE"))))</f>
        <v>ROSA</v>
      </c>
      <c r="W190" s="7"/>
      <c r="X190" s="7"/>
      <c r="Y190" s="7"/>
      <c r="Z190" s="68"/>
      <c r="AA190" s="68"/>
      <c r="AB190" s="68"/>
      <c r="AC190" s="324"/>
    </row>
    <row r="191" spans="1:29" ht="60" customHeight="1" outlineLevel="1">
      <c r="A191" s="7">
        <v>189</v>
      </c>
      <c r="B191" s="19">
        <v>45063</v>
      </c>
      <c r="C191" s="15">
        <v>0.5</v>
      </c>
      <c r="D191" s="7" t="s">
        <v>887</v>
      </c>
      <c r="E191" s="40" t="s">
        <v>888</v>
      </c>
      <c r="F191" s="7">
        <v>8</v>
      </c>
      <c r="G191" s="7" t="s">
        <v>1433</v>
      </c>
      <c r="H191" s="297">
        <v>45075</v>
      </c>
      <c r="I191" s="7" t="s">
        <v>686</v>
      </c>
      <c r="J191" s="19" t="s">
        <v>78</v>
      </c>
      <c r="K191" s="7">
        <f>IFERROR(VLOOKUP(J191,Jueces!$A$1:$B$11,2,FALSE),"")</f>
        <v>8</v>
      </c>
      <c r="L191" s="7" t="s">
        <v>804</v>
      </c>
      <c r="M191" s="7" t="s">
        <v>891</v>
      </c>
      <c r="N191" s="7" t="s">
        <v>954</v>
      </c>
      <c r="O191" s="7" t="str">
        <f ca="1">IF(H191&lt;&gt;"",IF(H191&lt;=TODAY(),"SI","NO"),"LIMBO")</f>
        <v>SI</v>
      </c>
      <c r="P191" s="7" t="str">
        <f>IF($P$1=H191,"DIASOL", "DIANOSOL")</f>
        <v>DIANOSOL</v>
      </c>
      <c r="Q191" s="7" t="s">
        <v>903</v>
      </c>
      <c r="R191" s="7" t="str">
        <f>VLOOKUP($Q191,Resultados!$A$1:$B$49,2,FALSE)</f>
        <v>Juicio Abreviado</v>
      </c>
      <c r="S191" s="7"/>
      <c r="T191" s="68" t="str">
        <f>IF(G191=$J$1,"SI","NO")</f>
        <v>NO</v>
      </c>
      <c r="U191" s="68">
        <f>IF(H191="",0,MONTH(H191))</f>
        <v>5</v>
      </c>
      <c r="V191" s="7" t="str">
        <f ca="1">IF(color_Celda(E191)=12106214,"ROSA",IF(color_Celda(E191)=65535,"AMARILLO",IF(color_Celda(E191)=5296274,"VERDE",IF(color_Celda(E191)=16777215,"BLANCO","NO SE"))))</f>
        <v>ROSA</v>
      </c>
      <c r="W191" s="7"/>
      <c r="X191" s="7"/>
      <c r="Y191" s="7"/>
      <c r="Z191" s="68"/>
      <c r="AA191" s="68"/>
      <c r="AB191" s="68"/>
      <c r="AC191" s="324"/>
    </row>
    <row r="192" spans="1:29" ht="60" customHeight="1" outlineLevel="1">
      <c r="A192" s="7">
        <v>190</v>
      </c>
      <c r="B192" s="19">
        <v>45063</v>
      </c>
      <c r="C192" s="15">
        <v>0.33333333333333331</v>
      </c>
      <c r="D192" s="7" t="s">
        <v>880</v>
      </c>
      <c r="E192" s="40" t="s">
        <v>869</v>
      </c>
      <c r="F192" s="7">
        <v>8</v>
      </c>
      <c r="G192" s="7" t="s">
        <v>283</v>
      </c>
      <c r="H192" s="297">
        <v>45075</v>
      </c>
      <c r="I192" s="7" t="s">
        <v>686</v>
      </c>
      <c r="J192" s="19" t="s">
        <v>35</v>
      </c>
      <c r="K192" s="7">
        <f>IFERROR(VLOOKUP(J192,Jueces!$A$1:$B$11,2,FALSE),"")</f>
        <v>3</v>
      </c>
      <c r="L192" s="7" t="s">
        <v>789</v>
      </c>
      <c r="M192" s="7" t="s">
        <v>712</v>
      </c>
      <c r="N192" s="7" t="s">
        <v>577</v>
      </c>
      <c r="O192" s="7" t="str">
        <f ca="1">IF(H192&lt;&gt;"",IF(H192&lt;=TODAY(),"SI","NO"),"LIMBO")</f>
        <v>SI</v>
      </c>
      <c r="P192" s="7" t="str">
        <f>IF($P$1=H192,"DIASOL", "DIANOSOL")</f>
        <v>DIANOSOL</v>
      </c>
      <c r="Q192" s="7" t="s">
        <v>900</v>
      </c>
      <c r="R192" s="7" t="str">
        <f>VLOOKUP($Q192,Resultados!$A$1:$B$49,2,FALSE)</f>
        <v>Libertad</v>
      </c>
      <c r="S192" s="7"/>
      <c r="T192" s="68" t="str">
        <f>IF(G192=$J$1,"SI","NO")</f>
        <v>NO</v>
      </c>
      <c r="U192" s="68">
        <f>IF(H192="",0,MONTH(H192))</f>
        <v>5</v>
      </c>
      <c r="V192" s="7" t="str">
        <f ca="1">IF(color_Celda(E192)=12106214,"ROSA",IF(color_Celda(E192)=65535,"AMARILLO",IF(color_Celda(E192)=5296274,"VERDE",IF(color_Celda(E192)=16777215,"BLANCO","NO SE"))))</f>
        <v>ROSA</v>
      </c>
      <c r="W192" s="7"/>
      <c r="X192" s="7"/>
      <c r="Y192" s="7"/>
      <c r="Z192" s="68"/>
      <c r="AA192" s="68"/>
      <c r="AB192" s="68"/>
      <c r="AC192" s="324"/>
    </row>
    <row r="193" spans="1:29" ht="60" customHeight="1" outlineLevel="1">
      <c r="A193" s="7">
        <v>191</v>
      </c>
      <c r="B193" s="19">
        <v>45069</v>
      </c>
      <c r="C193" s="15">
        <v>0.45833333333333331</v>
      </c>
      <c r="D193" s="7" t="s">
        <v>942</v>
      </c>
      <c r="E193" s="40" t="s">
        <v>944</v>
      </c>
      <c r="F193" s="7">
        <v>2</v>
      </c>
      <c r="G193" s="7" t="s">
        <v>43</v>
      </c>
      <c r="H193" s="297">
        <v>45076</v>
      </c>
      <c r="I193" s="7" t="s">
        <v>73</v>
      </c>
      <c r="J193" s="19" t="s">
        <v>35</v>
      </c>
      <c r="K193" s="7">
        <f>IFERROR(VLOOKUP(J193,Jueces!$A$1:$B$11,2,FALSE),"")</f>
        <v>3</v>
      </c>
      <c r="L193" s="7" t="s">
        <v>191</v>
      </c>
      <c r="M193" s="7" t="s">
        <v>975</v>
      </c>
      <c r="N193" s="7" t="s">
        <v>971</v>
      </c>
      <c r="O193" s="7" t="str">
        <f ca="1">IF(H193&lt;&gt;"",IF(H193&lt;=TODAY(),"SI","NO"),"LIMBO")</f>
        <v>SI</v>
      </c>
      <c r="P193" s="7" t="str">
        <f>IF($P$1=H193,"DIASOL", "DIANOSOL")</f>
        <v>DIANOSOL</v>
      </c>
      <c r="Q193" s="7" t="s">
        <v>911</v>
      </c>
      <c r="R193" s="7" t="str">
        <f>VLOOKUP($Q193,Resultados!$A$1:$B$49,2,FALSE)</f>
        <v>Prision domiciliaria</v>
      </c>
      <c r="S193" s="7"/>
      <c r="T193" s="68" t="str">
        <f>IF(G193=$J$1,"SI","NO")</f>
        <v>NO</v>
      </c>
      <c r="U193" s="68">
        <f>IF(H193="",0,MONTH(H193))</f>
        <v>5</v>
      </c>
      <c r="V193" s="7" t="str">
        <f ca="1">IF(color_Celda(E193)=12106214,"ROSA",IF(color_Celda(E193)=65535,"AMARILLO",IF(color_Celda(E193)=5296274,"VERDE",IF(color_Celda(E193)=16777215,"BLANCO","NO SE"))))</f>
        <v>ROSA</v>
      </c>
      <c r="W193" s="7"/>
      <c r="X193" s="7"/>
      <c r="Y193" s="7"/>
      <c r="Z193" s="68"/>
      <c r="AA193" s="68"/>
      <c r="AB193" s="68"/>
      <c r="AC193" s="324"/>
    </row>
    <row r="194" spans="1:29" ht="60" customHeight="1" outlineLevel="1">
      <c r="A194" s="7">
        <v>192</v>
      </c>
      <c r="B194" s="19">
        <v>45062</v>
      </c>
      <c r="C194" s="15">
        <v>0.54166666666666663</v>
      </c>
      <c r="D194" s="7" t="s">
        <v>912</v>
      </c>
      <c r="E194" s="40" t="s">
        <v>856</v>
      </c>
      <c r="F194" s="7">
        <v>8</v>
      </c>
      <c r="G194" s="7" t="s">
        <v>34</v>
      </c>
      <c r="H194" s="297">
        <v>45077</v>
      </c>
      <c r="I194" s="7" t="s">
        <v>73</v>
      </c>
      <c r="J194" s="19" t="s">
        <v>33</v>
      </c>
      <c r="K194" s="7">
        <f>IFERROR(VLOOKUP(J194,Jueces!$A$1:$B$11,2,FALSE),"")</f>
        <v>4</v>
      </c>
      <c r="L194" s="7" t="s">
        <v>810</v>
      </c>
      <c r="M194" s="7" t="s">
        <v>885</v>
      </c>
      <c r="N194" s="7" t="s">
        <v>151</v>
      </c>
      <c r="O194" s="7" t="str">
        <f ca="1">IF(H194&lt;&gt;"",IF(H194&lt;=TODAY(),"SI","NO"),"LIMBO")</f>
        <v>SI</v>
      </c>
      <c r="P194" s="7" t="str">
        <f>IF($P$1=H194,"DIASOL", "DIANOSOL")</f>
        <v>DIANOSOL</v>
      </c>
      <c r="Q194" s="7" t="s">
        <v>151</v>
      </c>
      <c r="R194" s="7" t="str">
        <f>VLOOKUP($Q194,Resultados!$A$1:$B$49,2,FALSE)</f>
        <v>Prisión Preventiva</v>
      </c>
      <c r="S194" s="7"/>
      <c r="T194" s="68" t="str">
        <f>IF(G194=$J$1,"SI","NO")</f>
        <v>NO</v>
      </c>
      <c r="U194" s="68">
        <f>IF(H194="",0,MONTH(H194))</f>
        <v>5</v>
      </c>
      <c r="V194" s="7" t="str">
        <f ca="1">IF(color_Celda(E194)=12106214,"ROSA",IF(color_Celda(E194)=65535,"AMARILLO",IF(color_Celda(E194)=5296274,"VERDE",IF(color_Celda(E194)=16777215,"BLANCO","NO SE"))))</f>
        <v>ROSA</v>
      </c>
      <c r="W194" s="7"/>
      <c r="X194" s="7"/>
      <c r="Y194" s="7"/>
      <c r="Z194" s="68"/>
      <c r="AA194" s="68"/>
      <c r="AB194" s="68"/>
      <c r="AC194" s="324"/>
    </row>
    <row r="195" spans="1:29" ht="60" customHeight="1" outlineLevel="1">
      <c r="A195" s="7">
        <v>193</v>
      </c>
      <c r="B195" s="19">
        <v>45064</v>
      </c>
      <c r="C195" s="7"/>
      <c r="D195" s="7" t="s">
        <v>904</v>
      </c>
      <c r="E195" s="40" t="s">
        <v>915</v>
      </c>
      <c r="F195" s="7">
        <v>8</v>
      </c>
      <c r="G195" s="7" t="s">
        <v>43</v>
      </c>
      <c r="H195" s="297">
        <v>45077</v>
      </c>
      <c r="I195" s="7" t="s">
        <v>73</v>
      </c>
      <c r="J195" s="19" t="s">
        <v>31</v>
      </c>
      <c r="K195" s="7">
        <f>IFERROR(VLOOKUP(J195,Jueces!$A$1:$B$11,2,FALSE),"")</f>
        <v>2</v>
      </c>
      <c r="L195" s="7" t="s">
        <v>262</v>
      </c>
      <c r="M195" s="7" t="s">
        <v>723</v>
      </c>
      <c r="N195" s="7" t="s">
        <v>978</v>
      </c>
      <c r="O195" s="7" t="str">
        <f ca="1">IF(H195&lt;&gt;"",IF(H195&lt;=TODAY(),"SI","NO"),"LIMBO")</f>
        <v>SI</v>
      </c>
      <c r="P195" s="7" t="str">
        <f>IF($P$1=H195,"DIASOL", "DIANOSOL")</f>
        <v>DIANOSOL</v>
      </c>
      <c r="Q195" s="7" t="s">
        <v>903</v>
      </c>
      <c r="R195" s="7" t="str">
        <f>VLOOKUP($Q195,Resultados!$A$1:$B$49,2,FALSE)</f>
        <v>Juicio Abreviado</v>
      </c>
      <c r="S195" s="7"/>
      <c r="T195" s="68" t="str">
        <f>IF(G195=$J$1,"SI","NO")</f>
        <v>NO</v>
      </c>
      <c r="U195" s="68">
        <f>IF(H195="",0,MONTH(H195))</f>
        <v>5</v>
      </c>
      <c r="V195" s="7" t="str">
        <f ca="1">IF(color_Celda(E195)=12106214,"ROSA",IF(color_Celda(E195)=65535,"AMARILLO",IF(color_Celda(E195)=5296274,"VERDE",IF(color_Celda(E195)=16777215,"BLANCO","NO SE"))))</f>
        <v>ROSA</v>
      </c>
      <c r="W195" s="7"/>
      <c r="X195" s="7"/>
      <c r="Y195" s="7"/>
      <c r="Z195" s="68"/>
      <c r="AA195" s="68"/>
      <c r="AB195" s="68"/>
      <c r="AC195" s="324"/>
    </row>
    <row r="196" spans="1:29" ht="60" customHeight="1" outlineLevel="1">
      <c r="A196" s="7">
        <v>194</v>
      </c>
      <c r="B196" s="19">
        <v>45064</v>
      </c>
      <c r="C196" s="15">
        <v>0.34375</v>
      </c>
      <c r="D196" s="7" t="s">
        <v>913</v>
      </c>
      <c r="E196" s="40" t="s">
        <v>890</v>
      </c>
      <c r="F196" s="7">
        <v>8</v>
      </c>
      <c r="G196" s="7" t="s">
        <v>32</v>
      </c>
      <c r="H196" s="297">
        <v>45077</v>
      </c>
      <c r="I196" s="7" t="s">
        <v>686</v>
      </c>
      <c r="J196" s="19" t="s">
        <v>78</v>
      </c>
      <c r="K196" s="7">
        <f>IFERROR(VLOOKUP(J196,Jueces!$A$1:$B$11,2,FALSE),"")</f>
        <v>8</v>
      </c>
      <c r="L196" s="7" t="s">
        <v>805</v>
      </c>
      <c r="M196" s="7" t="s">
        <v>723</v>
      </c>
      <c r="N196" s="7" t="s">
        <v>982</v>
      </c>
      <c r="O196" s="7" t="str">
        <f ca="1">IF(H196&lt;&gt;"",IF(H196&lt;=TODAY(),"SI","NO"),"LIMBO")</f>
        <v>SI</v>
      </c>
      <c r="P196" s="7" t="str">
        <f>IF($P$1=H196,"DIASOL", "DIANOSOL")</f>
        <v>DIANOSOL</v>
      </c>
      <c r="Q196" s="7" t="s">
        <v>903</v>
      </c>
      <c r="R196" s="7" t="str">
        <f>VLOOKUP($Q196,Resultados!$A$1:$B$49,2,FALSE)</f>
        <v>Juicio Abreviado</v>
      </c>
      <c r="S196" s="7"/>
      <c r="T196" s="68" t="str">
        <f>IF(G196=$J$1,"SI","NO")</f>
        <v>NO</v>
      </c>
      <c r="U196" s="68">
        <f>IF(H196="",0,MONTH(H196))</f>
        <v>5</v>
      </c>
      <c r="V196" s="7" t="str">
        <f ca="1">IF(color_Celda(E196)=12106214,"ROSA",IF(color_Celda(E196)=65535,"AMARILLO",IF(color_Celda(E196)=5296274,"VERDE",IF(color_Celda(E196)=16777215,"BLANCO","NO SE"))))</f>
        <v>ROSA</v>
      </c>
      <c r="W196" s="7"/>
      <c r="X196" s="7"/>
      <c r="Y196" s="7"/>
      <c r="Z196" s="68"/>
      <c r="AA196" s="68"/>
      <c r="AB196" s="68"/>
      <c r="AC196" s="324"/>
    </row>
    <row r="197" spans="1:29" ht="60" customHeight="1" outlineLevel="1">
      <c r="A197" s="7">
        <v>195</v>
      </c>
      <c r="B197" s="19">
        <v>45064</v>
      </c>
      <c r="C197" s="15">
        <v>0.5</v>
      </c>
      <c r="D197" s="7" t="s">
        <v>943</v>
      </c>
      <c r="E197" s="40" t="s">
        <v>976</v>
      </c>
      <c r="F197" s="7">
        <v>8</v>
      </c>
      <c r="G197" s="7" t="s">
        <v>29</v>
      </c>
      <c r="H197" s="297">
        <v>45077</v>
      </c>
      <c r="I197" s="7" t="s">
        <v>228</v>
      </c>
      <c r="J197" s="19" t="s">
        <v>31</v>
      </c>
      <c r="K197" s="7">
        <f>IFERROR(VLOOKUP(J197,Jueces!$A$1:$B$11,2,FALSE),"")</f>
        <v>2</v>
      </c>
      <c r="L197" s="7" t="s">
        <v>326</v>
      </c>
      <c r="M197" s="7" t="s">
        <v>885</v>
      </c>
      <c r="N197" s="7" t="s">
        <v>986</v>
      </c>
      <c r="O197" s="7" t="str">
        <f ca="1">IF(H197&lt;&gt;"",IF(H197&lt;=TODAY(),"SI","NO"),"LIMBO")</f>
        <v>SI</v>
      </c>
      <c r="P197" s="7" t="str">
        <f>IF($P$1=H197,"DIASOL", "DIANOSOL")</f>
        <v>DIANOSOL</v>
      </c>
      <c r="Q197" s="7" t="s">
        <v>902</v>
      </c>
      <c r="R197" s="7" t="str">
        <f>VLOOKUP($Q197,Resultados!$A$1:$B$49,2,FALSE)</f>
        <v>Juicio Abreviado</v>
      </c>
      <c r="S197" s="7"/>
      <c r="T197" s="68" t="str">
        <f>IF(G197=$J$1,"SI","NO")</f>
        <v>NO</v>
      </c>
      <c r="U197" s="68">
        <f>IF(H197="",0,MONTH(H197))</f>
        <v>5</v>
      </c>
      <c r="V197" s="7" t="str">
        <f ca="1">IF(color_Celda(E197)=12106214,"ROSA",IF(color_Celda(E197)=65535,"AMARILLO",IF(color_Celda(E197)=5296274,"VERDE",IF(color_Celda(E197)=16777215,"BLANCO","NO SE"))))</f>
        <v>ROSA</v>
      </c>
      <c r="W197" s="7"/>
      <c r="X197" s="7"/>
      <c r="Y197" s="7"/>
      <c r="Z197" s="68"/>
      <c r="AA197" s="68"/>
      <c r="AB197" s="68"/>
      <c r="AC197" s="324"/>
    </row>
    <row r="198" spans="1:29" ht="60" customHeight="1" outlineLevel="1">
      <c r="A198" s="7">
        <v>196</v>
      </c>
      <c r="B198" s="19">
        <v>45057</v>
      </c>
      <c r="C198" s="15">
        <v>0.33333333333333331</v>
      </c>
      <c r="D198" s="7" t="s">
        <v>786</v>
      </c>
      <c r="E198" s="40" t="s">
        <v>992</v>
      </c>
      <c r="F198" s="7">
        <v>8</v>
      </c>
      <c r="G198" s="7" t="s">
        <v>32</v>
      </c>
      <c r="H198" s="297">
        <v>45078</v>
      </c>
      <c r="I198" s="7" t="s">
        <v>73</v>
      </c>
      <c r="J198" s="19" t="s">
        <v>33</v>
      </c>
      <c r="K198" s="7">
        <f>IFERROR(VLOOKUP(J198,Jueces!$A$1:$B$11,2,FALSE),"")</f>
        <v>4</v>
      </c>
      <c r="L198" s="7" t="s">
        <v>804</v>
      </c>
      <c r="M198" s="7" t="s">
        <v>835</v>
      </c>
      <c r="N198" s="7" t="s">
        <v>991</v>
      </c>
      <c r="O198" s="7" t="str">
        <f ca="1">IF(H198&lt;&gt;"",IF(H198&lt;=TODAY(),"SI","NO"),"LIMBO")</f>
        <v>SI</v>
      </c>
      <c r="P198" s="7" t="str">
        <f>IF($P$1=H198,"DIASOL", "DIANOSOL")</f>
        <v>DIANOSOL</v>
      </c>
      <c r="Q198" s="7" t="s">
        <v>903</v>
      </c>
      <c r="R198" s="7" t="str">
        <f>VLOOKUP($Q198,Resultados!$A$1:$B$49,2,FALSE)</f>
        <v>Juicio Abreviado</v>
      </c>
      <c r="S198" s="7"/>
      <c r="T198" s="68" t="str">
        <f>IF(G198=$J$1,"SI","NO")</f>
        <v>NO</v>
      </c>
      <c r="U198" s="68">
        <f>IF(H198="",0,MONTH(H198))</f>
        <v>6</v>
      </c>
      <c r="V198" s="7" t="str">
        <f ca="1">IF(color_Celda(E198)=12106214,"ROSA",IF(color_Celda(E198)=65535,"AMARILLO",IF(color_Celda(E198)=5296274,"VERDE",IF(color_Celda(E198)=16777215,"BLANCO","NO SE"))))</f>
        <v>ROSA</v>
      </c>
      <c r="W198" s="7"/>
      <c r="X198" s="7"/>
      <c r="Y198" s="7"/>
      <c r="Z198" s="68"/>
      <c r="AA198" s="68"/>
      <c r="AB198" s="68"/>
      <c r="AC198" s="324"/>
    </row>
    <row r="199" spans="1:29" ht="60" customHeight="1" outlineLevel="1">
      <c r="A199" s="7">
        <v>197</v>
      </c>
      <c r="B199" s="19">
        <v>45063</v>
      </c>
      <c r="C199" s="15">
        <v>0.33333333333333331</v>
      </c>
      <c r="D199" s="7" t="s">
        <v>864</v>
      </c>
      <c r="E199" s="40" t="s">
        <v>868</v>
      </c>
      <c r="F199" s="7">
        <v>8</v>
      </c>
      <c r="G199" s="7" t="s">
        <v>43</v>
      </c>
      <c r="H199" s="297">
        <v>45078</v>
      </c>
      <c r="I199" s="7" t="s">
        <v>73</v>
      </c>
      <c r="J199" s="19" t="s">
        <v>35</v>
      </c>
      <c r="K199" s="7">
        <f>IFERROR(VLOOKUP(J199,Jueces!$A$1:$B$11,2,FALSE),"")</f>
        <v>3</v>
      </c>
      <c r="L199" s="7" t="s">
        <v>801</v>
      </c>
      <c r="M199" s="7" t="s">
        <v>881</v>
      </c>
      <c r="N199" s="7" t="s">
        <v>151</v>
      </c>
      <c r="O199" s="7" t="str">
        <f ca="1">IF(H199&lt;&gt;"",IF(H199&lt;=TODAY(),"SI","NO"),"LIMBO")</f>
        <v>SI</v>
      </c>
      <c r="P199" s="7" t="str">
        <f>IF($P$1=H199,"DIASOL", "DIANOSOL")</f>
        <v>DIANOSOL</v>
      </c>
      <c r="Q199" s="7" t="s">
        <v>151</v>
      </c>
      <c r="R199" s="7" t="str">
        <f>VLOOKUP($Q199,Resultados!$A$1:$B$49,2,FALSE)</f>
        <v>Prisión Preventiva</v>
      </c>
      <c r="S199" s="15" t="s">
        <v>1242</v>
      </c>
      <c r="T199" s="68" t="str">
        <f>IF(G199=$J$1,"SI","NO")</f>
        <v>NO</v>
      </c>
      <c r="U199" s="68">
        <f>IF(H199="",0,MONTH(H199))</f>
        <v>6</v>
      </c>
      <c r="V199" s="7" t="str">
        <f ca="1">IF(color_Celda(E199)=12106214,"ROSA",IF(color_Celda(E199)=65535,"AMARILLO",IF(color_Celda(E199)=5296274,"VERDE",IF(color_Celda(E199)=16777215,"BLANCO","NO SE"))))</f>
        <v>ROSA</v>
      </c>
      <c r="W199" s="7"/>
      <c r="X199" s="7" t="s">
        <v>993</v>
      </c>
      <c r="Y199" s="7"/>
      <c r="Z199" s="68"/>
      <c r="AA199" s="68"/>
      <c r="AB199" s="68"/>
      <c r="AC199" s="324"/>
    </row>
    <row r="200" spans="1:29" ht="60" customHeight="1" outlineLevel="1">
      <c r="A200" s="7">
        <v>198</v>
      </c>
      <c r="B200" s="19">
        <v>45075</v>
      </c>
      <c r="C200" s="15">
        <v>0.39583333333333331</v>
      </c>
      <c r="D200" s="7" t="s">
        <v>956</v>
      </c>
      <c r="E200" s="40" t="s">
        <v>957</v>
      </c>
      <c r="F200" s="7">
        <v>8</v>
      </c>
      <c r="G200" s="7" t="s">
        <v>1433</v>
      </c>
      <c r="H200" s="297">
        <v>45078</v>
      </c>
      <c r="I200" s="7" t="s">
        <v>73</v>
      </c>
      <c r="J200" s="19" t="s">
        <v>78</v>
      </c>
      <c r="K200" s="7">
        <f>IFERROR(VLOOKUP(J200,Jueces!$A$1:$B$11,2,FALSE),"")</f>
        <v>8</v>
      </c>
      <c r="L200" s="7" t="s">
        <v>805</v>
      </c>
      <c r="M200" s="7" t="s">
        <v>1028</v>
      </c>
      <c r="N200" s="7" t="s">
        <v>989</v>
      </c>
      <c r="O200" s="7" t="str">
        <f ca="1">IF(H200&lt;&gt;"",IF(H200&lt;=TODAY(),"SI","NO"),"LIMBO")</f>
        <v>SI</v>
      </c>
      <c r="P200" s="7" t="str">
        <f>IF($P$1=H200,"DIASOL", "DIANOSOL")</f>
        <v>DIANOSOL</v>
      </c>
      <c r="Q200" s="7" t="s">
        <v>907</v>
      </c>
      <c r="R200" s="7" t="str">
        <f>VLOOKUP($Q200,Resultados!$A$1:$B$49,2,FALSE)</f>
        <v>Suspensión de juicio a prueba</v>
      </c>
      <c r="S200" s="7"/>
      <c r="T200" s="68" t="str">
        <f>IF(G200=$J$1,"SI","NO")</f>
        <v>NO</v>
      </c>
      <c r="U200" s="68">
        <f>IF(H200="",0,MONTH(H200))</f>
        <v>6</v>
      </c>
      <c r="V200" s="7" t="str">
        <f ca="1">IF(color_Celda(E200)=12106214,"ROSA",IF(color_Celda(E200)=65535,"AMARILLO",IF(color_Celda(E200)=5296274,"VERDE",IF(color_Celda(E200)=16777215,"BLANCO","NO SE"))))</f>
        <v>ROSA</v>
      </c>
      <c r="W200" s="7"/>
      <c r="X200" s="7"/>
      <c r="Y200" s="7"/>
      <c r="Z200" s="68"/>
      <c r="AA200" s="68"/>
      <c r="AB200" s="68"/>
      <c r="AC200" s="324"/>
    </row>
    <row r="201" spans="1:29" ht="60" customHeight="1" outlineLevel="1">
      <c r="A201" s="7">
        <v>199</v>
      </c>
      <c r="B201" s="19">
        <v>45061</v>
      </c>
      <c r="C201" s="15">
        <v>0.41666666666666669</v>
      </c>
      <c r="D201" s="7" t="s">
        <v>843</v>
      </c>
      <c r="E201" s="40" t="s">
        <v>850</v>
      </c>
      <c r="F201" s="7">
        <v>8</v>
      </c>
      <c r="G201" s="7" t="s">
        <v>283</v>
      </c>
      <c r="H201" s="297">
        <v>45078</v>
      </c>
      <c r="I201" s="7" t="s">
        <v>686</v>
      </c>
      <c r="J201" s="19" t="s">
        <v>78</v>
      </c>
      <c r="K201" s="7">
        <f>IFERROR(VLOOKUP(J201,Jueces!$A$1:$B$11,2,FALSE),"")</f>
        <v>8</v>
      </c>
      <c r="L201" s="7" t="s">
        <v>809</v>
      </c>
      <c r="M201" s="7" t="s">
        <v>767</v>
      </c>
      <c r="N201" s="7" t="s">
        <v>947</v>
      </c>
      <c r="O201" s="7" t="str">
        <f ca="1">IF(H201&lt;&gt;"",IF(H201&lt;=TODAY(),"SI","NO"),"LIMBO")</f>
        <v>SI</v>
      </c>
      <c r="P201" s="7" t="str">
        <f>IF($P$1=H201,"DIASOL", "DIANOSOL")</f>
        <v>DIANOSOL</v>
      </c>
      <c r="Q201" s="7" t="s">
        <v>910</v>
      </c>
      <c r="R201" s="7" t="str">
        <f>VLOOKUP($Q201,Resultados!$A$1:$B$49,2,FALSE)</f>
        <v>Suspendida</v>
      </c>
      <c r="S201" s="7"/>
      <c r="T201" s="68" t="str">
        <f>IF(G201=$J$1,"SI","NO")</f>
        <v>NO</v>
      </c>
      <c r="U201" s="68">
        <f>IF(H201="",0,MONTH(H201))</f>
        <v>6</v>
      </c>
      <c r="V201" s="7" t="str">
        <f ca="1">IF(color_Celda(E201)=12106214,"ROSA",IF(color_Celda(E201)=65535,"AMARILLO",IF(color_Celda(E201)=5296274,"VERDE",IF(color_Celda(E201)=16777215,"BLANCO","NO SE"))))</f>
        <v>ROSA</v>
      </c>
      <c r="W201" s="7"/>
      <c r="X201" s="7"/>
      <c r="Y201" s="7"/>
      <c r="Z201" s="68"/>
      <c r="AA201" s="68"/>
      <c r="AB201" s="68"/>
      <c r="AC201" s="324"/>
    </row>
    <row r="202" spans="1:29" ht="60" customHeight="1" outlineLevel="1">
      <c r="A202" s="7">
        <v>200</v>
      </c>
      <c r="B202" s="65">
        <v>45062</v>
      </c>
      <c r="C202" s="70">
        <v>0.51041666666666663</v>
      </c>
      <c r="D202" s="63" t="s">
        <v>879</v>
      </c>
      <c r="E202" s="64" t="s">
        <v>878</v>
      </c>
      <c r="F202" s="63">
        <v>8</v>
      </c>
      <c r="G202" s="63" t="s">
        <v>29</v>
      </c>
      <c r="H202" s="208">
        <v>45078</v>
      </c>
      <c r="I202" s="63" t="s">
        <v>686</v>
      </c>
      <c r="J202" s="65" t="s">
        <v>33</v>
      </c>
      <c r="K202" s="7">
        <f>IFERROR(VLOOKUP(J202,Jueces!$A$1:$B$11,2,FALSE),"")</f>
        <v>4</v>
      </c>
      <c r="L202" s="63" t="s">
        <v>808</v>
      </c>
      <c r="M202" s="63" t="s">
        <v>885</v>
      </c>
      <c r="N202" s="63" t="s">
        <v>990</v>
      </c>
      <c r="O202" s="7" t="str">
        <f ca="1">IF(H202&lt;&gt;"",IF(H202&lt;=TODAY(),"SI","NO"),"LIMBO")</f>
        <v>SI</v>
      </c>
      <c r="P202" s="7" t="str">
        <f>IF($P$1=H202,"DIASOL", "DIANOSOL")</f>
        <v>DIANOSOL</v>
      </c>
      <c r="Q202" s="7" t="s">
        <v>903</v>
      </c>
      <c r="R202" s="7" t="str">
        <f>VLOOKUP($Q202,Resultados!$A$1:$B$49,2,FALSE)</f>
        <v>Juicio Abreviado</v>
      </c>
      <c r="S202" s="7"/>
      <c r="T202" s="68" t="str">
        <f>IF(G202=$J$1,"SI","NO")</f>
        <v>NO</v>
      </c>
      <c r="U202" s="68">
        <f>IF(H202="",0,MONTH(H202))</f>
        <v>6</v>
      </c>
      <c r="V202" s="7" t="str">
        <f ca="1">IF(color_Celda(E202)=12106214,"ROSA",IF(color_Celda(E202)=65535,"AMARILLO",IF(color_Celda(E202)=5296274,"VERDE",IF(color_Celda(E202)=16777215,"BLANCO","NO SE"))))</f>
        <v>ROSA</v>
      </c>
      <c r="W202" s="7"/>
      <c r="X202" s="7"/>
      <c r="Y202" s="7"/>
      <c r="Z202" s="68"/>
      <c r="AA202" s="68"/>
      <c r="AB202" s="68"/>
      <c r="AC202" s="324"/>
    </row>
    <row r="203" spans="1:29" ht="60" customHeight="1" outlineLevel="1">
      <c r="A203" s="7">
        <v>201</v>
      </c>
      <c r="B203" s="65">
        <v>45075</v>
      </c>
      <c r="C203" s="70">
        <v>0.39583333333333331</v>
      </c>
      <c r="D203" s="63" t="s">
        <v>958</v>
      </c>
      <c r="E203" s="64" t="s">
        <v>959</v>
      </c>
      <c r="F203" s="63">
        <v>8</v>
      </c>
      <c r="G203" s="63" t="s">
        <v>568</v>
      </c>
      <c r="H203" s="208">
        <v>45078</v>
      </c>
      <c r="I203" s="63" t="s">
        <v>77</v>
      </c>
      <c r="J203" s="65" t="s">
        <v>78</v>
      </c>
      <c r="K203" s="7">
        <f>IFERROR(VLOOKUP(J203,Jueces!$A$1:$B$11,2,FALSE),"")</f>
        <v>8</v>
      </c>
      <c r="L203" s="63" t="s">
        <v>798</v>
      </c>
      <c r="M203" s="63" t="s">
        <v>86</v>
      </c>
      <c r="N203" s="63" t="s">
        <v>621</v>
      </c>
      <c r="O203" s="66" t="str">
        <f ca="1">IF(H203&lt;&gt;"",IF(H203&lt;=TODAY(),"SI","NO"),"LIMBO")</f>
        <v>SI</v>
      </c>
      <c r="P203" s="7" t="str">
        <f>IF($P$1=H203,"DIASOL", "DIANOSOL")</f>
        <v>DIANOSOL</v>
      </c>
      <c r="Q203" s="7" t="s">
        <v>151</v>
      </c>
      <c r="R203" s="7" t="str">
        <f>VLOOKUP($Q203,Resultados!$A$1:$B$49,2,FALSE)</f>
        <v>Prisión Preventiva</v>
      </c>
      <c r="S203" s="15" t="s">
        <v>987</v>
      </c>
      <c r="T203" s="68" t="str">
        <f>IF(G203=$J$1,"SI","NO")</f>
        <v>NO</v>
      </c>
      <c r="U203" s="68">
        <f>IF(H203="",0,MONTH(H203))</f>
        <v>6</v>
      </c>
      <c r="V203" s="7" t="str">
        <f ca="1">IF(color_Celda(E203)=12106214,"ROSA",IF(color_Celda(E203)=65535,"AMARILLO",IF(color_Celda(E203)=5296274,"VERDE",IF(color_Celda(E203)=16777215,"BLANCO","NO SE"))))</f>
        <v>ROSA</v>
      </c>
      <c r="W203" s="15" t="s">
        <v>1203</v>
      </c>
      <c r="X203" s="7" t="s">
        <v>996</v>
      </c>
      <c r="Y203" s="7"/>
      <c r="Z203" s="68"/>
      <c r="AA203" s="68"/>
      <c r="AB203" s="68"/>
      <c r="AC203" s="324"/>
    </row>
    <row r="204" spans="1:29" ht="60" customHeight="1" outlineLevel="1">
      <c r="A204" s="7">
        <v>202</v>
      </c>
      <c r="B204" s="65">
        <v>45077</v>
      </c>
      <c r="C204" s="70">
        <v>0.54166666666666663</v>
      </c>
      <c r="D204" s="63" t="s">
        <v>984</v>
      </c>
      <c r="E204" s="64" t="s">
        <v>985</v>
      </c>
      <c r="F204" s="63">
        <v>3</v>
      </c>
      <c r="G204" s="63" t="s">
        <v>43</v>
      </c>
      <c r="H204" s="208">
        <v>45078</v>
      </c>
      <c r="I204" s="63" t="s">
        <v>987</v>
      </c>
      <c r="J204" s="65" t="s">
        <v>35</v>
      </c>
      <c r="K204" s="7">
        <f>IFERROR(VLOOKUP(J204,Jueces!$A$1:$B$11,2,FALSE),"")</f>
        <v>3</v>
      </c>
      <c r="L204" s="63" t="s">
        <v>181</v>
      </c>
      <c r="M204" s="63" t="s">
        <v>1028</v>
      </c>
      <c r="N204" s="63" t="s">
        <v>900</v>
      </c>
      <c r="O204" s="69" t="str">
        <f ca="1">IF(H204&lt;&gt;"",IF(H204&lt;=TODAY(),"SI","NO"),"LIMBO")</f>
        <v>SI</v>
      </c>
      <c r="P204" s="63" t="str">
        <f>IF($P$1=H204,"DIASOL", "DIANOSOL")</f>
        <v>DIANOSOL</v>
      </c>
      <c r="Q204" s="7" t="s">
        <v>900</v>
      </c>
      <c r="R204" s="7" t="str">
        <f>VLOOKUP($Q204,Resultados!$A$1:$B$49,2,FALSE)</f>
        <v>Libertad</v>
      </c>
      <c r="S204" s="15" t="s">
        <v>1240</v>
      </c>
      <c r="T204" s="68" t="str">
        <f>IF(G204=$J$1,"SI","NO")</f>
        <v>NO</v>
      </c>
      <c r="U204" s="68"/>
      <c r="V204" s="7" t="str">
        <f ca="1">IF(color_Celda(E204)=12106214,"ROSA",IF(color_Celda(E204)=65535,"AMARILLO",IF(color_Celda(E204)=5296274,"VERDE",IF(color_Celda(E204)=16777215,"BLANCO","NO SE"))))</f>
        <v>ROSA</v>
      </c>
      <c r="W204" s="15" t="s">
        <v>1241</v>
      </c>
      <c r="X204" s="7"/>
      <c r="Y204" s="7"/>
      <c r="Z204" s="68"/>
      <c r="AA204" s="68"/>
      <c r="AB204" s="68"/>
      <c r="AC204" s="324"/>
    </row>
    <row r="205" spans="1:29" ht="60" customHeight="1" outlineLevel="1">
      <c r="A205" s="7">
        <v>204</v>
      </c>
      <c r="B205" s="65">
        <v>45058</v>
      </c>
      <c r="C205" s="70">
        <v>0.40972222222222227</v>
      </c>
      <c r="D205" s="63" t="s">
        <v>834</v>
      </c>
      <c r="E205" s="64" t="s">
        <v>836</v>
      </c>
      <c r="F205" s="63">
        <v>8</v>
      </c>
      <c r="G205" s="63" t="s">
        <v>1433</v>
      </c>
      <c r="H205" s="208">
        <v>45079</v>
      </c>
      <c r="I205" s="63" t="s">
        <v>73</v>
      </c>
      <c r="J205" s="65" t="s">
        <v>35</v>
      </c>
      <c r="K205" s="7">
        <f>IFERROR(VLOOKUP(J205,Jueces!$A$1:$B$11,2,FALSE),"")</f>
        <v>3</v>
      </c>
      <c r="L205" s="63" t="s">
        <v>798</v>
      </c>
      <c r="M205" s="63" t="s">
        <v>711</v>
      </c>
      <c r="N205" s="63" t="s">
        <v>621</v>
      </c>
      <c r="O205" s="63" t="str">
        <f ca="1">IF(H205&lt;&gt;"",IF(H205&lt;=TODAY(),"SI","NO"),"LIMBO")</f>
        <v>SI</v>
      </c>
      <c r="P205" s="63" t="str">
        <f>IF($P$1=H205,"DIASOL", "DIANOSOL")</f>
        <v>DIANOSOL</v>
      </c>
      <c r="Q205" s="7" t="s">
        <v>151</v>
      </c>
      <c r="R205" s="7" t="str">
        <f>VLOOKUP($Q205,Resultados!$A$1:$B$49,2,FALSE)</f>
        <v>Prisión Preventiva</v>
      </c>
      <c r="S205" s="7" t="s">
        <v>1012</v>
      </c>
      <c r="T205" s="68" t="str">
        <f>IF(G205=$J$1,"SI","NO")</f>
        <v>NO</v>
      </c>
      <c r="U205" s="68">
        <f>IF(H205="",0,MONTH(H205))</f>
        <v>6</v>
      </c>
      <c r="V205" s="7" t="str">
        <f ca="1">IF(color_Celda(E205)=12106214,"ROSA",IF(color_Celda(E205)=65535,"AMARILLO",IF(color_Celda(E205)=5296274,"VERDE",IF(color_Celda(E205)=16777215,"BLANCO","NO SE"))))</f>
        <v>ROSA</v>
      </c>
      <c r="W205" s="7" t="s">
        <v>1013</v>
      </c>
      <c r="X205" s="7"/>
      <c r="Y205" s="7"/>
      <c r="Z205" s="68"/>
      <c r="AA205" s="299"/>
      <c r="AB205" s="68"/>
      <c r="AC205" s="324"/>
    </row>
    <row r="206" spans="1:29" ht="60" customHeight="1" outlineLevel="1">
      <c r="A206" s="7">
        <v>203</v>
      </c>
      <c r="B206" s="19">
        <v>45064</v>
      </c>
      <c r="C206" s="15">
        <v>0.33333333333333331</v>
      </c>
      <c r="D206" s="7" t="s">
        <v>889</v>
      </c>
      <c r="E206" s="40" t="s">
        <v>977</v>
      </c>
      <c r="F206" s="7">
        <v>8</v>
      </c>
      <c r="G206" s="7" t="s">
        <v>29</v>
      </c>
      <c r="H206" s="297">
        <v>45079</v>
      </c>
      <c r="I206" s="7" t="s">
        <v>73</v>
      </c>
      <c r="J206" s="19" t="s">
        <v>78</v>
      </c>
      <c r="K206" s="7">
        <f>IFERROR(VLOOKUP(J206,Jueces!$A$1:$B$11,2,FALSE),"")</f>
        <v>8</v>
      </c>
      <c r="L206" s="7" t="s">
        <v>801</v>
      </c>
      <c r="M206" s="7" t="s">
        <v>914</v>
      </c>
      <c r="N206" s="7" t="s">
        <v>1009</v>
      </c>
      <c r="O206" s="7" t="str">
        <f ca="1">IF(H206&lt;&gt;"",IF(H206&lt;=TODAY(),"SI","NO"),"LIMBO")</f>
        <v>SI</v>
      </c>
      <c r="P206" s="7" t="str">
        <f>IF($P$1=H206,"DIASOL", "DIANOSOL")</f>
        <v>DIANOSOL</v>
      </c>
      <c r="Q206" s="7" t="s">
        <v>1010</v>
      </c>
      <c r="R206" s="7" t="str">
        <f>VLOOKUP($Q206,Resultados!$A$1:$B$49,2,FALSE)</f>
        <v>Suspendida</v>
      </c>
      <c r="S206" s="7"/>
      <c r="T206" s="68" t="str">
        <f>IF(G206=$J$1,"SI","NO")</f>
        <v>NO</v>
      </c>
      <c r="U206" s="68">
        <f>IF(H206="",0,MONTH(H206))</f>
        <v>6</v>
      </c>
      <c r="V206" s="7" t="str">
        <f ca="1">IF(color_Celda(E206)=12106214,"ROSA",IF(color_Celda(E206)=65535,"AMARILLO",IF(color_Celda(E206)=5296274,"VERDE",IF(color_Celda(E206)=16777215,"BLANCO","NO SE"))))</f>
        <v>ROSA</v>
      </c>
      <c r="W206" s="7"/>
      <c r="X206" s="7" t="s">
        <v>1011</v>
      </c>
      <c r="Y206" s="7"/>
      <c r="Z206" s="68"/>
      <c r="AA206" s="299"/>
      <c r="AB206" s="68"/>
      <c r="AC206" s="324"/>
    </row>
    <row r="207" spans="1:29" ht="60" customHeight="1" outlineLevel="1">
      <c r="A207" s="7">
        <v>205</v>
      </c>
      <c r="B207" s="65">
        <v>45063</v>
      </c>
      <c r="C207" s="70">
        <v>0.36874999999999997</v>
      </c>
      <c r="D207" s="63" t="s">
        <v>898</v>
      </c>
      <c r="E207" s="64" t="s">
        <v>870</v>
      </c>
      <c r="F207" s="63">
        <v>8</v>
      </c>
      <c r="G207" s="63" t="s">
        <v>283</v>
      </c>
      <c r="H207" s="208">
        <v>45079</v>
      </c>
      <c r="I207" s="63" t="s">
        <v>686</v>
      </c>
      <c r="J207" s="65" t="s">
        <v>78</v>
      </c>
      <c r="K207" s="7">
        <f>IFERROR(VLOOKUP(J207,Jueces!$A$1:$B$11,2,FALSE),"")</f>
        <v>8</v>
      </c>
      <c r="L207" s="63" t="s">
        <v>326</v>
      </c>
      <c r="M207" s="63" t="s">
        <v>767</v>
      </c>
      <c r="N207" s="63" t="s">
        <v>577</v>
      </c>
      <c r="O207" s="63" t="str">
        <f ca="1">IF(H207&lt;&gt;"",IF(H207&lt;=TODAY(),"SI","NO"),"LIMBO")</f>
        <v>SI</v>
      </c>
      <c r="P207" s="63" t="str">
        <f>IF($P$1=H207,"DIASOL", "DIANOSOL")</f>
        <v>DIANOSOL</v>
      </c>
      <c r="Q207" s="7" t="s">
        <v>151</v>
      </c>
      <c r="R207" s="7" t="str">
        <f>VLOOKUP($Q207,Resultados!$A$1:$B$49,2,FALSE)</f>
        <v>Prisión Preventiva</v>
      </c>
      <c r="S207" s="15" t="s">
        <v>1002</v>
      </c>
      <c r="T207" s="68" t="str">
        <f>IF(G207=$J$1,"SI","NO")</f>
        <v>NO</v>
      </c>
      <c r="U207" s="68">
        <f>IF(H207="",0,MONTH(H207))</f>
        <v>6</v>
      </c>
      <c r="V207" s="7" t="str">
        <f ca="1">IF(color_Celda(E207)=12106214,"ROSA",IF(color_Celda(E207)=65535,"AMARILLO",IF(color_Celda(E207)=5296274,"VERDE",IF(color_Celda(E207)=16777215,"BLANCO","NO SE"))))</f>
        <v>ROSA</v>
      </c>
      <c r="W207" s="15" t="s">
        <v>1003</v>
      </c>
      <c r="X207" s="7" t="s">
        <v>999</v>
      </c>
      <c r="Y207" s="7"/>
      <c r="Z207" s="68"/>
      <c r="AA207" s="299"/>
      <c r="AB207" s="68"/>
      <c r="AC207" s="324"/>
    </row>
    <row r="208" spans="1:29" ht="60" customHeight="1" outlineLevel="1">
      <c r="A208" s="7">
        <v>206</v>
      </c>
      <c r="B208" s="65">
        <v>45065</v>
      </c>
      <c r="C208" s="70">
        <v>0.34791666666666665</v>
      </c>
      <c r="D208" s="63" t="s">
        <v>936</v>
      </c>
      <c r="E208" s="64" t="s">
        <v>937</v>
      </c>
      <c r="F208" s="63">
        <v>8</v>
      </c>
      <c r="G208" s="63" t="s">
        <v>568</v>
      </c>
      <c r="H208" s="208">
        <v>45079</v>
      </c>
      <c r="I208" s="63" t="s">
        <v>686</v>
      </c>
      <c r="J208" s="65" t="s">
        <v>33</v>
      </c>
      <c r="K208" s="7">
        <f>IFERROR(VLOOKUP(J208,Jueces!$A$1:$B$11,2,FALSE),"")</f>
        <v>4</v>
      </c>
      <c r="L208" s="63" t="s">
        <v>801</v>
      </c>
      <c r="M208" s="63" t="s">
        <v>1005</v>
      </c>
      <c r="N208" s="63" t="s">
        <v>900</v>
      </c>
      <c r="O208" s="63" t="str">
        <f ca="1">IF(H208&lt;&gt;"",IF(H208&lt;=TODAY(),"SI","NO"),"LIMBO")</f>
        <v>SI</v>
      </c>
      <c r="P208" s="63" t="str">
        <f>IF($P$1=H208,"DIASOL", "DIANOSOL")</f>
        <v>DIANOSOL</v>
      </c>
      <c r="Q208" s="7" t="s">
        <v>897</v>
      </c>
      <c r="R208" s="7" t="str">
        <f>VLOOKUP($Q208,Resultados!$A$1:$B$49,2,FALSE)</f>
        <v>Libertad</v>
      </c>
      <c r="S208" s="15" t="s">
        <v>1006</v>
      </c>
      <c r="T208" s="68" t="str">
        <f>IF(G208=$J$1,"SI","NO")</f>
        <v>NO</v>
      </c>
      <c r="U208" s="68">
        <f>IF(H208="",0,MONTH(H208))</f>
        <v>6</v>
      </c>
      <c r="V208" s="7" t="str">
        <f ca="1">IF(color_Celda(E208)=12106214,"ROSA",IF(color_Celda(E208)=65535,"AMARILLO",IF(color_Celda(E208)=5296274,"VERDE",IF(color_Celda(E208)=16777215,"BLANCO","NO SE"))))</f>
        <v>ROSA</v>
      </c>
      <c r="W208" s="7" t="s">
        <v>1007</v>
      </c>
      <c r="X208" s="7" t="s">
        <v>1008</v>
      </c>
      <c r="Y208" s="7"/>
      <c r="Z208" s="68"/>
      <c r="AA208" s="299"/>
      <c r="AB208" s="68"/>
      <c r="AC208" s="324"/>
    </row>
    <row r="209" spans="1:29" ht="60" customHeight="1" outlineLevel="1">
      <c r="A209" s="7">
        <v>207</v>
      </c>
      <c r="B209" s="65">
        <v>45065</v>
      </c>
      <c r="C209" s="70">
        <v>0.54166666666666663</v>
      </c>
      <c r="D209" s="63" t="s">
        <v>933</v>
      </c>
      <c r="E209" s="64" t="s">
        <v>920</v>
      </c>
      <c r="F209" s="63">
        <v>8</v>
      </c>
      <c r="G209" s="63" t="s">
        <v>34</v>
      </c>
      <c r="H209" s="208">
        <v>45079</v>
      </c>
      <c r="I209" s="63" t="s">
        <v>686</v>
      </c>
      <c r="J209" s="65" t="s">
        <v>35</v>
      </c>
      <c r="K209" s="7">
        <f>IFERROR(VLOOKUP(J209,Jueces!$A$1:$B$11,2,FALSE),"")</f>
        <v>3</v>
      </c>
      <c r="L209" s="63" t="s">
        <v>277</v>
      </c>
      <c r="M209" s="63" t="s">
        <v>710</v>
      </c>
      <c r="N209" s="63" t="s">
        <v>1000</v>
      </c>
      <c r="O209" s="63" t="str">
        <f ca="1">IF(H209&lt;&gt;"",IF(H209&lt;=TODAY(),"SI","NO"),"LIMBO")</f>
        <v>SI</v>
      </c>
      <c r="P209" s="63" t="str">
        <f>IF($P$1=H209,"DIASOL", "DIANOSOL")</f>
        <v>DIANOSOL</v>
      </c>
      <c r="Q209" s="63" t="s">
        <v>902</v>
      </c>
      <c r="R209" s="7" t="str">
        <f>VLOOKUP($Q209,Resultados!$A$1:$B$49,2,FALSE)</f>
        <v>Juicio Abreviado</v>
      </c>
      <c r="S209" s="15" t="s">
        <v>1004</v>
      </c>
      <c r="T209" s="68" t="str">
        <f>IF(G209=$J$1,"SI","NO")</f>
        <v>NO</v>
      </c>
      <c r="U209" s="68">
        <f>IF(H209="",0,MONTH(H209))</f>
        <v>6</v>
      </c>
      <c r="V209" s="7" t="str">
        <f ca="1">IF(color_Celda(E209)=12106214,"ROSA",IF(color_Celda(E209)=65535,"AMARILLO",IF(color_Celda(E209)=5296274,"VERDE",IF(color_Celda(E209)=16777215,"BLANCO","NO SE"))))</f>
        <v>ROSA</v>
      </c>
      <c r="W209" s="7" t="s">
        <v>1001</v>
      </c>
      <c r="X209" s="7"/>
      <c r="Y209" s="7"/>
      <c r="Z209" s="68"/>
      <c r="AA209" s="299"/>
      <c r="AB209" s="68"/>
      <c r="AC209" s="324"/>
    </row>
    <row r="210" spans="1:29" ht="60" customHeight="1" outlineLevel="1">
      <c r="A210" s="7">
        <v>208</v>
      </c>
      <c r="B210" s="19">
        <v>45065</v>
      </c>
      <c r="C210" s="15">
        <v>0.54166666666666663</v>
      </c>
      <c r="D210" s="7" t="s">
        <v>919</v>
      </c>
      <c r="E210" s="40" t="s">
        <v>1034</v>
      </c>
      <c r="F210" s="7">
        <v>8</v>
      </c>
      <c r="G210" s="7" t="s">
        <v>568</v>
      </c>
      <c r="H210" s="297">
        <v>45082</v>
      </c>
      <c r="I210" s="7" t="s">
        <v>73</v>
      </c>
      <c r="J210" s="19" t="s">
        <v>33</v>
      </c>
      <c r="K210" s="7">
        <f>IFERROR(VLOOKUP(J210,Jueces!$A$1:$B$11,2,FALSE),"")</f>
        <v>4</v>
      </c>
      <c r="L210" s="7" t="s">
        <v>406</v>
      </c>
      <c r="M210" s="7" t="s">
        <v>767</v>
      </c>
      <c r="N210" s="7" t="s">
        <v>1018</v>
      </c>
      <c r="O210" s="7" t="str">
        <f ca="1">IF(H210&lt;&gt;"",IF(H210&lt;=TODAY(),"SI","NO"),"LIMBO")</f>
        <v>SI</v>
      </c>
      <c r="P210" s="7" t="str">
        <f>IF($P$1=H210,"DIASOL", "DIANOSOL")</f>
        <v>DIANOSOL</v>
      </c>
      <c r="Q210" s="7" t="s">
        <v>903</v>
      </c>
      <c r="R210" s="7" t="str">
        <f>VLOOKUP($Q210,Resultados!$A$1:$B$49,2,FALSE)</f>
        <v>Juicio Abreviado</v>
      </c>
      <c r="S210" s="15" t="s">
        <v>1031</v>
      </c>
      <c r="T210" s="68" t="str">
        <f>IF(G210=$J$1,"SI","NO")</f>
        <v>NO</v>
      </c>
      <c r="U210" s="68">
        <f>IF(H210="",0,MONTH(H210))</f>
        <v>6</v>
      </c>
      <c r="V210" s="7" t="str">
        <f ca="1">IF(color_Celda(E210)=12106214,"ROSA",IF(color_Celda(E210)=65535,"AMARILLO",IF(color_Celda(E210)=5296274,"VERDE",IF(color_Celda(E210)=16777215,"BLANCO","NO SE"))))</f>
        <v>ROSA</v>
      </c>
      <c r="W210" s="15" t="s">
        <v>1006</v>
      </c>
      <c r="X210" s="7"/>
      <c r="Y210" s="7"/>
      <c r="Z210" s="68"/>
      <c r="AA210" s="68"/>
      <c r="AB210" s="68"/>
      <c r="AC210" s="324"/>
    </row>
    <row r="211" spans="1:29" ht="60" customHeight="1" outlineLevel="1">
      <c r="A211" s="7">
        <v>209</v>
      </c>
      <c r="B211" s="19">
        <v>45076</v>
      </c>
      <c r="C211" s="15">
        <v>0.40972222222222227</v>
      </c>
      <c r="D211" s="7" t="s">
        <v>968</v>
      </c>
      <c r="E211" s="40" t="s">
        <v>969</v>
      </c>
      <c r="F211" s="7">
        <v>8</v>
      </c>
      <c r="G211" s="7" t="s">
        <v>1433</v>
      </c>
      <c r="H211" s="297">
        <v>45082</v>
      </c>
      <c r="I211" s="7" t="s">
        <v>73</v>
      </c>
      <c r="J211" s="19" t="s">
        <v>78</v>
      </c>
      <c r="K211" s="7">
        <f>IFERROR(VLOOKUP(J211,Jueces!$A$1:$B$11,2,FALSE),"")</f>
        <v>8</v>
      </c>
      <c r="L211" s="7" t="s">
        <v>569</v>
      </c>
      <c r="M211" s="7" t="s">
        <v>970</v>
      </c>
      <c r="N211" s="7" t="s">
        <v>1014</v>
      </c>
      <c r="O211" s="7" t="str">
        <f ca="1">IF(H211&lt;&gt;"",IF(H211&lt;=TODAY(),"SI","NO"),"LIMBO")</f>
        <v>SI</v>
      </c>
      <c r="P211" s="7" t="str">
        <f>IF($P$1=H211,"DIASOL", "DIANOSOL")</f>
        <v>DIANOSOL</v>
      </c>
      <c r="Q211" s="7" t="s">
        <v>903</v>
      </c>
      <c r="R211" s="7" t="str">
        <f>VLOOKUP($Q211,Resultados!$A$1:$B$49,2,FALSE)</f>
        <v>Juicio Abreviado</v>
      </c>
      <c r="S211" s="15" t="s">
        <v>1015</v>
      </c>
      <c r="T211" s="68" t="str">
        <f>IF(G211=$J$1,"SI","NO")</f>
        <v>NO</v>
      </c>
      <c r="U211" s="68">
        <f>IF(H211="",0,MONTH(H211))</f>
        <v>6</v>
      </c>
      <c r="V211" s="7" t="str">
        <f ca="1">IF(color_Celda(E211)=12106214,"ROSA",IF(color_Celda(E211)=65535,"AMARILLO",IF(color_Celda(E211)=5296274,"VERDE",IF(color_Celda(E211)=16777215,"BLANCO","NO SE"))))</f>
        <v>ROSA</v>
      </c>
      <c r="W211" s="15" t="s">
        <v>1016</v>
      </c>
      <c r="X211" s="7" t="s">
        <v>1017</v>
      </c>
      <c r="Y211" s="7"/>
      <c r="Z211" s="68"/>
      <c r="AA211" s="68"/>
      <c r="AB211" s="68"/>
      <c r="AC211" s="324"/>
    </row>
    <row r="212" spans="1:29" ht="60" customHeight="1" outlineLevel="1">
      <c r="A212" s="7">
        <v>210</v>
      </c>
      <c r="B212" s="65">
        <v>45068</v>
      </c>
      <c r="C212" s="70">
        <v>0.40277777777777773</v>
      </c>
      <c r="D212" s="63" t="s">
        <v>925</v>
      </c>
      <c r="E212" s="64" t="s">
        <v>926</v>
      </c>
      <c r="F212" s="63">
        <v>8</v>
      </c>
      <c r="G212" s="63" t="s">
        <v>32</v>
      </c>
      <c r="H212" s="208">
        <v>45082</v>
      </c>
      <c r="I212" s="63" t="s">
        <v>686</v>
      </c>
      <c r="J212" s="65" t="s">
        <v>33</v>
      </c>
      <c r="K212" s="7">
        <f>IFERROR(VLOOKUP(J212,Jueces!$A$1:$B$11,2,FALSE),"")</f>
        <v>4</v>
      </c>
      <c r="L212" s="63" t="s">
        <v>792</v>
      </c>
      <c r="M212" s="63" t="s">
        <v>767</v>
      </c>
      <c r="N212" s="63" t="s">
        <v>1032</v>
      </c>
      <c r="O212" s="63" t="str">
        <f ca="1">IF(H212&lt;&gt;"",IF(H212&lt;=TODAY(),"SI","NO"),"LIMBO")</f>
        <v>SI</v>
      </c>
      <c r="P212" s="63" t="str">
        <f>IF($P$1=H212,"DIASOL", "DIANOSOL")</f>
        <v>DIANOSOL</v>
      </c>
      <c r="Q212" s="63" t="s">
        <v>902</v>
      </c>
      <c r="R212" s="7" t="str">
        <f>VLOOKUP($Q212,Resultados!$A$1:$B$49,2,FALSE)</f>
        <v>Juicio Abreviado</v>
      </c>
      <c r="S212" s="15" t="s">
        <v>1033</v>
      </c>
      <c r="T212" s="68" t="str">
        <f>IF(G212=$J$1,"SI","NO")</f>
        <v>NO</v>
      </c>
      <c r="U212" s="68">
        <f>IF(H212="",0,MONTH(H212))</f>
        <v>6</v>
      </c>
      <c r="V212" s="7" t="str">
        <f ca="1">IF(color_Celda(E212)=12106214,"ROSA",IF(color_Celda(E212)=65535,"AMARILLO",IF(color_Celda(E212)=5296274,"VERDE",IF(color_Celda(E212)=16777215,"BLANCO","NO SE"))))</f>
        <v>ROSA</v>
      </c>
      <c r="W212" s="15">
        <v>0.4145833333333333</v>
      </c>
      <c r="X212" s="7"/>
      <c r="Y212" s="7"/>
      <c r="Z212" s="68"/>
      <c r="AA212" s="68"/>
      <c r="AB212" s="68"/>
      <c r="AC212" s="324"/>
    </row>
    <row r="213" spans="1:29" ht="60" customHeight="1" outlineLevel="1">
      <c r="A213" s="7">
        <v>211</v>
      </c>
      <c r="B213" s="65">
        <v>45075</v>
      </c>
      <c r="C213" s="70">
        <v>0.53125</v>
      </c>
      <c r="D213" s="63" t="s">
        <v>973</v>
      </c>
      <c r="E213" s="64" t="s">
        <v>965</v>
      </c>
      <c r="F213" s="63">
        <v>8</v>
      </c>
      <c r="G213" s="63" t="s">
        <v>283</v>
      </c>
      <c r="H213" s="208">
        <v>45082</v>
      </c>
      <c r="I213" s="63" t="s">
        <v>228</v>
      </c>
      <c r="J213" s="65" t="s">
        <v>78</v>
      </c>
      <c r="K213" s="7">
        <f>IFERROR(VLOOKUP(J213,Jueces!$A$1:$B$11,2,FALSE),"")</f>
        <v>8</v>
      </c>
      <c r="L213" s="63" t="s">
        <v>793</v>
      </c>
      <c r="M213" s="63" t="s">
        <v>1299</v>
      </c>
      <c r="N213" s="63" t="s">
        <v>1035</v>
      </c>
      <c r="O213" s="63" t="str">
        <f ca="1">IF(H213&lt;&gt;"",IF(H213&lt;=TODAY(),"SI","NO"),"LIMBO")</f>
        <v>SI</v>
      </c>
      <c r="P213" s="63" t="str">
        <f>IF($P$1=H213,"DIASOL", "DIANOSOL")</f>
        <v>DIANOSOL</v>
      </c>
      <c r="Q213" s="7" t="s">
        <v>902</v>
      </c>
      <c r="R213" s="7" t="str">
        <f>VLOOKUP($Q213,Resultados!$A$1:$B$49,2,FALSE)</f>
        <v>Juicio Abreviado</v>
      </c>
      <c r="S213" s="7" t="s">
        <v>1036</v>
      </c>
      <c r="T213" s="68" t="str">
        <f>IF(G213=$J$1,"SI","NO")</f>
        <v>NO</v>
      </c>
      <c r="U213" s="68">
        <f>IF(H213="",0,MONTH(H213))</f>
        <v>6</v>
      </c>
      <c r="V213" s="7" t="str">
        <f ca="1">IF(color_Celda(E213)=12106214,"ROSA",IF(color_Celda(E213)=65535,"AMARILLO",IF(color_Celda(E213)=5296274,"VERDE",IF(color_Celda(E213)=16777215,"BLANCO","NO SE"))))</f>
        <v>ROSA</v>
      </c>
      <c r="W213" s="7" t="s">
        <v>1037</v>
      </c>
      <c r="X213" s="7"/>
      <c r="Y213" s="7"/>
      <c r="Z213" s="68"/>
      <c r="AA213" s="68"/>
      <c r="AB213" s="68"/>
      <c r="AC213" s="324"/>
    </row>
    <row r="214" spans="1:29" ht="60" customHeight="1" outlineLevel="1">
      <c r="A214" s="7">
        <v>212</v>
      </c>
      <c r="B214" s="65">
        <v>45058</v>
      </c>
      <c r="C214" s="70">
        <v>0.3125</v>
      </c>
      <c r="D214" s="63" t="s">
        <v>839</v>
      </c>
      <c r="E214" s="64" t="s">
        <v>831</v>
      </c>
      <c r="F214" s="63">
        <v>8</v>
      </c>
      <c r="G214" s="63" t="s">
        <v>43</v>
      </c>
      <c r="H214" s="208">
        <v>45083</v>
      </c>
      <c r="I214" s="63" t="s">
        <v>73</v>
      </c>
      <c r="J214" s="65" t="s">
        <v>35</v>
      </c>
      <c r="K214" s="7">
        <f>IFERROR(VLOOKUP(J214,Jueces!$A$1:$B$11,2,FALSE),"")</f>
        <v>3</v>
      </c>
      <c r="L214" s="63" t="s">
        <v>1067</v>
      </c>
      <c r="M214" s="63" t="s">
        <v>767</v>
      </c>
      <c r="N214" s="63" t="s">
        <v>1043</v>
      </c>
      <c r="O214" s="63" t="str">
        <f ca="1">IF(H214&lt;&gt;"",IF(H214&lt;=TODAY(),"SI","NO"),"LIMBO")</f>
        <v>SI</v>
      </c>
      <c r="P214" s="63" t="str">
        <f>IF($P$1=H214,"DIASOL", "DIANOSOL")</f>
        <v>DIANOSOL</v>
      </c>
      <c r="Q214" s="7" t="s">
        <v>151</v>
      </c>
      <c r="R214" s="7" t="str">
        <f>VLOOKUP($Q214,Resultados!$A$1:$B$49,2,FALSE)</f>
        <v>Prisión Preventiva</v>
      </c>
      <c r="S214" s="15" t="s">
        <v>1130</v>
      </c>
      <c r="T214" s="68" t="str">
        <f>IF(G214=$J$1,"SI","NO")</f>
        <v>NO</v>
      </c>
      <c r="U214" s="68">
        <f>IF(H214="",0,MONTH(H214))</f>
        <v>6</v>
      </c>
      <c r="V214" s="7" t="str">
        <f ca="1">IF(color_Celda(E214)=12106214,"ROSA",IF(color_Celda(E214)=65535,"AMARILLO",IF(color_Celda(E214)=5296274,"VERDE",IF(color_Celda(E214)=16777215,"BLANCO","NO SE"))))</f>
        <v>ROSA</v>
      </c>
      <c r="W214" s="15" t="s">
        <v>1131</v>
      </c>
      <c r="X214" s="7"/>
      <c r="Y214" s="7"/>
      <c r="Z214" s="68"/>
      <c r="AA214" s="68"/>
      <c r="AB214" s="68"/>
      <c r="AC214" s="324"/>
    </row>
    <row r="215" spans="1:29" ht="60" customHeight="1" outlineLevel="1">
      <c r="A215" s="7">
        <v>213</v>
      </c>
      <c r="B215" s="65">
        <v>45075</v>
      </c>
      <c r="C215" s="70">
        <v>0.5</v>
      </c>
      <c r="D215" s="63" t="s">
        <v>974</v>
      </c>
      <c r="E215" s="64" t="s">
        <v>962</v>
      </c>
      <c r="F215" s="63">
        <v>8</v>
      </c>
      <c r="G215" s="63" t="s">
        <v>29</v>
      </c>
      <c r="H215" s="208">
        <v>45083</v>
      </c>
      <c r="I215" s="63" t="s">
        <v>73</v>
      </c>
      <c r="J215" s="65" t="s">
        <v>33</v>
      </c>
      <c r="K215" s="7">
        <f>IFERROR(VLOOKUP(J215,Jueces!$A$1:$B$11,2,FALSE),"")</f>
        <v>4</v>
      </c>
      <c r="L215" s="63" t="s">
        <v>810</v>
      </c>
      <c r="M215" s="63" t="s">
        <v>885</v>
      </c>
      <c r="N215" s="63" t="s">
        <v>1042</v>
      </c>
      <c r="O215" s="63" t="str">
        <f ca="1">IF(H215&lt;&gt;"",IF(H215&lt;=TODAY(),"SI","NO"),"LIMBO")</f>
        <v>SI</v>
      </c>
      <c r="P215" s="63" t="str">
        <f>IF($P$1=H215,"DIASOL", "DIANOSOL")</f>
        <v>DIANOSOL</v>
      </c>
      <c r="Q215" s="63" t="s">
        <v>902</v>
      </c>
      <c r="R215" s="7" t="str">
        <f>VLOOKUP($Q215,Resultados!$A$1:$B$49,2,FALSE)</f>
        <v>Juicio Abreviado</v>
      </c>
      <c r="S215" s="7"/>
      <c r="T215" s="68" t="str">
        <f>IF(G215=$J$1,"SI","NO")</f>
        <v>NO</v>
      </c>
      <c r="U215" s="68">
        <f>IF(H215="",0,MONTH(H215))</f>
        <v>6</v>
      </c>
      <c r="V215" s="7" t="str">
        <f ca="1">IF(color_Celda(E215)=12106214,"ROSA",IF(color_Celda(E215)=65535,"AMARILLO",IF(color_Celda(E215)=5296274,"VERDE",IF(color_Celda(E215)=16777215,"BLANCO","NO SE"))))</f>
        <v>ROSA</v>
      </c>
      <c r="W215" s="7"/>
      <c r="X215" s="7"/>
      <c r="Y215" s="7"/>
      <c r="Z215" s="68"/>
      <c r="AA215" s="68"/>
      <c r="AB215" s="68"/>
      <c r="AC215" s="324"/>
    </row>
    <row r="216" spans="1:29" ht="60" customHeight="1" outlineLevel="1">
      <c r="A216" s="7">
        <v>214</v>
      </c>
      <c r="B216" s="65">
        <v>45075</v>
      </c>
      <c r="C216" s="70">
        <v>0.5</v>
      </c>
      <c r="D216" s="63" t="s">
        <v>963</v>
      </c>
      <c r="E216" s="64" t="s">
        <v>964</v>
      </c>
      <c r="F216" s="63">
        <v>8</v>
      </c>
      <c r="G216" s="63" t="s">
        <v>34</v>
      </c>
      <c r="H216" s="208">
        <v>45083</v>
      </c>
      <c r="I216" s="63" t="s">
        <v>686</v>
      </c>
      <c r="J216" s="65" t="s">
        <v>35</v>
      </c>
      <c r="K216" s="7">
        <f>IFERROR(VLOOKUP(J216,Jueces!$A$1:$B$11,2,FALSE),"")</f>
        <v>3</v>
      </c>
      <c r="L216" s="63" t="s">
        <v>416</v>
      </c>
      <c r="M216" s="63" t="s">
        <v>885</v>
      </c>
      <c r="N216" s="63" t="s">
        <v>1046</v>
      </c>
      <c r="O216" s="63" t="str">
        <f ca="1">IF(H216&lt;&gt;"",IF(H216&lt;=TODAY(),"SI","NO"),"LIMBO")</f>
        <v>SI</v>
      </c>
      <c r="P216" s="63" t="str">
        <f>IF($P$1=H216,"DIASOL", "DIANOSOL")</f>
        <v>DIANOSOL</v>
      </c>
      <c r="Q216" s="63" t="s">
        <v>903</v>
      </c>
      <c r="R216" s="7" t="str">
        <f>VLOOKUP($Q216,Resultados!$A$1:$B$49,2,FALSE)</f>
        <v>Juicio Abreviado</v>
      </c>
      <c r="S216" s="7" t="s">
        <v>1239</v>
      </c>
      <c r="T216" s="68" t="str">
        <f>IF(G216=$J$1,"SI","NO")</f>
        <v>NO</v>
      </c>
      <c r="U216" s="68">
        <f>IF(H216="",0,MONTH(H216))</f>
        <v>6</v>
      </c>
      <c r="V216" s="7" t="str">
        <f ca="1">IF(color_Celda(E216)=12106214,"ROSA",IF(color_Celda(E216)=65535,"AMARILLO",IF(color_Celda(E216)=5296274,"VERDE",IF(color_Celda(E216)=16777215,"BLANCO","NO SE"))))</f>
        <v>ROSA</v>
      </c>
      <c r="W216" s="15" t="s">
        <v>1238</v>
      </c>
      <c r="X216" s="7" t="s">
        <v>1048</v>
      </c>
      <c r="Y216" s="7"/>
      <c r="Z216" s="68"/>
      <c r="AA216" s="68"/>
      <c r="AB216" s="68"/>
      <c r="AC216" s="324"/>
    </row>
    <row r="217" spans="1:29" ht="60" customHeight="1" outlineLevel="1">
      <c r="A217" s="7">
        <v>215</v>
      </c>
      <c r="B217" s="65">
        <v>45076</v>
      </c>
      <c r="C217" s="70">
        <v>0.3125</v>
      </c>
      <c r="D217" s="63" t="s">
        <v>966</v>
      </c>
      <c r="E217" s="64" t="s">
        <v>967</v>
      </c>
      <c r="F217" s="63">
        <v>8</v>
      </c>
      <c r="G217" s="63" t="s">
        <v>32</v>
      </c>
      <c r="H217" s="208">
        <v>45083</v>
      </c>
      <c r="I217" s="63" t="s">
        <v>686</v>
      </c>
      <c r="J217" s="65" t="s">
        <v>33</v>
      </c>
      <c r="K217" s="7">
        <f>IFERROR(VLOOKUP(J217,Jueces!$A$1:$B$11,2,FALSE),"")</f>
        <v>4</v>
      </c>
      <c r="L217" s="64" t="s">
        <v>799</v>
      </c>
      <c r="M217" s="63" t="s">
        <v>981</v>
      </c>
      <c r="N217" s="63" t="s">
        <v>1045</v>
      </c>
      <c r="O217" s="63" t="str">
        <f ca="1">IF(H217&lt;&gt;"",IF(H217&lt;=TODAY(),"SI","NO"),"LIMBO")</f>
        <v>SI</v>
      </c>
      <c r="P217" s="63" t="str">
        <f>IF($P$1=H217,"DIASOL", "DIANOSOL")</f>
        <v>DIANOSOL</v>
      </c>
      <c r="Q217" s="63" t="s">
        <v>903</v>
      </c>
      <c r="R217" s="7" t="str">
        <f>VLOOKUP($Q217,Resultados!$A$1:$B$49,2,FALSE)</f>
        <v>Juicio Abreviado</v>
      </c>
      <c r="S217" s="15" t="s">
        <v>1119</v>
      </c>
      <c r="T217" s="68" t="str">
        <f>IF(G217=$J$1,"SI","NO")</f>
        <v>NO</v>
      </c>
      <c r="U217" s="68">
        <f>IF(H217="",0,MONTH(H217))</f>
        <v>6</v>
      </c>
      <c r="V217" s="7" t="str">
        <f ca="1">IF(color_Celda(E217)=12106214,"ROSA",IF(color_Celda(E217)=65535,"AMARILLO",IF(color_Celda(E217)=5296274,"VERDE",IF(color_Celda(E217)=16777215,"BLANCO","NO SE"))))</f>
        <v>ROSA</v>
      </c>
      <c r="W217" s="15" t="s">
        <v>1164</v>
      </c>
      <c r="X217" s="7"/>
      <c r="Y217" s="7"/>
      <c r="Z217" s="68"/>
      <c r="AA217" s="68"/>
      <c r="AB217" s="68"/>
      <c r="AC217" s="324"/>
    </row>
    <row r="218" spans="1:29" ht="60" customHeight="1" outlineLevel="1">
      <c r="A218" s="7">
        <v>216</v>
      </c>
      <c r="B218" s="65">
        <v>45061</v>
      </c>
      <c r="C218" s="70">
        <v>0.50694444444444442</v>
      </c>
      <c r="D218" s="63" t="s">
        <v>855</v>
      </c>
      <c r="E218" s="64" t="s">
        <v>886</v>
      </c>
      <c r="F218" s="63">
        <v>2</v>
      </c>
      <c r="G218" s="63" t="s">
        <v>34</v>
      </c>
      <c r="H218" s="208">
        <v>45084</v>
      </c>
      <c r="I218" s="63" t="s">
        <v>73</v>
      </c>
      <c r="J218" s="65" t="s">
        <v>33</v>
      </c>
      <c r="K218" s="7">
        <f>IFERROR(VLOOKUP(J218,Jueces!$A$1:$B$11,2,FALSE),"")</f>
        <v>4</v>
      </c>
      <c r="L218" s="63" t="s">
        <v>415</v>
      </c>
      <c r="M218" s="63" t="s">
        <v>767</v>
      </c>
      <c r="N218" s="63" t="s">
        <v>1060</v>
      </c>
      <c r="O218" s="63" t="str">
        <f ca="1">IF(H218&lt;&gt;"",IF(H218&lt;=TODAY(),"SI","NO"),"LIMBO")</f>
        <v>SI</v>
      </c>
      <c r="P218" s="63" t="str">
        <f>IF($P$1=H218,"DIASOL", "DIANOSOL")</f>
        <v>DIANOSOL</v>
      </c>
      <c r="Q218" s="63" t="s">
        <v>151</v>
      </c>
      <c r="R218" s="7" t="str">
        <f>VLOOKUP($Q218,Resultados!$A$1:$B$49,2,FALSE)</f>
        <v>Prisión Preventiva</v>
      </c>
      <c r="S218" s="7" t="s">
        <v>1061</v>
      </c>
      <c r="T218" s="68" t="str">
        <f>IF(G218=$J$1,"SI","NO")</f>
        <v>NO</v>
      </c>
      <c r="U218" s="68">
        <f>IF(H218="",0,MONTH(H218))</f>
        <v>6</v>
      </c>
      <c r="V218" s="7" t="str">
        <f ca="1">IF(color_Celda(E218)=12106214,"ROSA",IF(color_Celda(E218)=65535,"AMARILLO",IF(color_Celda(E218)=5296274,"VERDE",IF(color_Celda(E218)=16777215,"BLANCO","NO SE"))))</f>
        <v>ROSA</v>
      </c>
      <c r="W218" s="7" t="s">
        <v>1062</v>
      </c>
      <c r="X218" s="7"/>
      <c r="Y218" s="7"/>
      <c r="Z218" s="268"/>
      <c r="AA218" s="68"/>
      <c r="AB218" s="68"/>
      <c r="AC218" s="324"/>
    </row>
    <row r="219" spans="1:29" ht="60" customHeight="1" outlineLevel="1">
      <c r="A219" s="7">
        <v>217</v>
      </c>
      <c r="B219" s="65">
        <v>45077</v>
      </c>
      <c r="C219" s="70">
        <v>0.42708333333333331</v>
      </c>
      <c r="D219" s="63" t="s">
        <v>979</v>
      </c>
      <c r="E219" s="64" t="s">
        <v>980</v>
      </c>
      <c r="F219" s="63">
        <v>8</v>
      </c>
      <c r="G219" s="63" t="s">
        <v>1433</v>
      </c>
      <c r="H219" s="208">
        <v>45084</v>
      </c>
      <c r="I219" s="63" t="s">
        <v>73</v>
      </c>
      <c r="J219" s="65" t="s">
        <v>35</v>
      </c>
      <c r="K219" s="7">
        <f>IFERROR(VLOOKUP(J219,Jueces!$A$1:$B$11,2,FALSE),"")</f>
        <v>3</v>
      </c>
      <c r="L219" s="63" t="s">
        <v>811</v>
      </c>
      <c r="M219" s="63" t="s">
        <v>723</v>
      </c>
      <c r="N219" s="63" t="s">
        <v>1064</v>
      </c>
      <c r="O219" s="63" t="str">
        <f ca="1">IF(H219&lt;&gt;"",IF(H219&lt;=TODAY(),"SI","NO"),"LIMBO")</f>
        <v>SI</v>
      </c>
      <c r="P219" s="63" t="str">
        <f>IF($P$1=H219,"DIASOL", "DIANOSOL")</f>
        <v>DIANOSOL</v>
      </c>
      <c r="Q219" s="63" t="s">
        <v>902</v>
      </c>
      <c r="R219" s="7" t="str">
        <f>VLOOKUP($Q219,Resultados!$A$1:$B$49,2,FALSE)</f>
        <v>Juicio Abreviado</v>
      </c>
      <c r="S219" s="70" t="s">
        <v>1121</v>
      </c>
      <c r="T219" s="72" t="str">
        <f>IF(G219=$J$1,"SI","NO")</f>
        <v>NO</v>
      </c>
      <c r="U219" s="72">
        <f>IF(H219="",0,MONTH(H219))</f>
        <v>6</v>
      </c>
      <c r="V219" s="7" t="str">
        <f ca="1">IF(color_Celda(E219)=12106214,"ROSA",IF(color_Celda(E219)=65535,"AMARILLO",IF(color_Celda(E219)=5296274,"VERDE",IF(color_Celda(E219)=16777215,"BLANCO","NO SE"))))</f>
        <v>ROSA</v>
      </c>
      <c r="W219" s="70" t="s">
        <v>1122</v>
      </c>
      <c r="X219" s="63" t="s">
        <v>1066</v>
      </c>
      <c r="Y219" s="63"/>
      <c r="Z219" s="268"/>
      <c r="AA219" s="68"/>
      <c r="AB219" s="68"/>
      <c r="AC219" s="324"/>
    </row>
    <row r="220" spans="1:29" ht="60" customHeight="1" outlineLevel="1">
      <c r="A220" s="7">
        <v>218</v>
      </c>
      <c r="B220" s="65">
        <v>45077</v>
      </c>
      <c r="C220" s="70">
        <v>0.45833333333333331</v>
      </c>
      <c r="D220" s="63" t="s">
        <v>998</v>
      </c>
      <c r="E220" s="64" t="s">
        <v>995</v>
      </c>
      <c r="F220" s="63">
        <v>8</v>
      </c>
      <c r="G220" s="63" t="s">
        <v>1433</v>
      </c>
      <c r="H220" s="208">
        <v>45084</v>
      </c>
      <c r="I220" s="63" t="s">
        <v>686</v>
      </c>
      <c r="J220" s="65" t="s">
        <v>35</v>
      </c>
      <c r="K220" s="7">
        <f>IFERROR(VLOOKUP(J220,Jueces!$A$1:$B$11,2,FALSE),"")</f>
        <v>3</v>
      </c>
      <c r="L220" s="63" t="s">
        <v>811</v>
      </c>
      <c r="M220" s="63" t="s">
        <v>723</v>
      </c>
      <c r="N220" s="63" t="s">
        <v>1065</v>
      </c>
      <c r="O220" s="63" t="str">
        <f ca="1">IF(H220&lt;&gt;"",IF(H220&lt;=TODAY(),"SI","NO"),"LIMBO")</f>
        <v>SI</v>
      </c>
      <c r="P220" s="63" t="str">
        <f>IF($P$1=H220,"DIASOL", "DIANOSOL")</f>
        <v>DIANOSOL</v>
      </c>
      <c r="Q220" s="63" t="s">
        <v>903</v>
      </c>
      <c r="R220" s="7" t="str">
        <f>VLOOKUP($Q220,Resultados!$A$1:$B$49,2,FALSE)</f>
        <v>Juicio Abreviado</v>
      </c>
      <c r="S220" s="70" t="s">
        <v>1121</v>
      </c>
      <c r="T220" s="72" t="str">
        <f>IF(G220=$J$1,"SI","NO")</f>
        <v>NO</v>
      </c>
      <c r="U220" s="72">
        <f>IF(H220="",0,MONTH(H220))</f>
        <v>6</v>
      </c>
      <c r="V220" s="7" t="str">
        <f ca="1">IF(color_Celda(E220)=12106214,"ROSA",IF(color_Celda(E220)=65535,"AMARILLO",IF(color_Celda(E220)=5296274,"VERDE",IF(color_Celda(E220)=16777215,"BLANCO","NO SE"))))</f>
        <v>ROSA</v>
      </c>
      <c r="W220" s="70" t="s">
        <v>1122</v>
      </c>
      <c r="X220" s="63"/>
      <c r="Y220" s="63"/>
      <c r="Z220" s="268"/>
      <c r="AA220" s="68"/>
      <c r="AB220" s="68"/>
      <c r="AC220" s="324"/>
    </row>
    <row r="221" spans="1:29" ht="60" customHeight="1" outlineLevel="1">
      <c r="A221" s="7">
        <v>219</v>
      </c>
      <c r="B221" s="65">
        <v>45083</v>
      </c>
      <c r="C221" s="70">
        <v>0.50694444444444442</v>
      </c>
      <c r="D221" s="63" t="s">
        <v>1051</v>
      </c>
      <c r="E221" s="64" t="s">
        <v>1052</v>
      </c>
      <c r="F221" s="63">
        <v>2</v>
      </c>
      <c r="G221" s="63" t="s">
        <v>1433</v>
      </c>
      <c r="H221" s="208">
        <v>45085</v>
      </c>
      <c r="I221" s="63" t="s">
        <v>73</v>
      </c>
      <c r="J221" s="65" t="s">
        <v>78</v>
      </c>
      <c r="K221" s="7">
        <f>IFERROR(VLOOKUP(J221,Jueces!$A$1:$B$11,2,FALSE),"")</f>
        <v>8</v>
      </c>
      <c r="L221" s="63" t="s">
        <v>810</v>
      </c>
      <c r="M221" s="63" t="s">
        <v>711</v>
      </c>
      <c r="N221" s="63" t="s">
        <v>1093</v>
      </c>
      <c r="O221" s="63" t="str">
        <f ca="1">IF(H221&lt;&gt;"",IF(H221&lt;=TODAY(),"SI","NO"),"LIMBO")</f>
        <v>SI</v>
      </c>
      <c r="P221" s="63" t="str">
        <f>IF($P$1=H221,"DIASOL", "DIANOSOL")</f>
        <v>DIANOSOL</v>
      </c>
      <c r="Q221" s="63" t="s">
        <v>902</v>
      </c>
      <c r="R221" s="7" t="str">
        <f>VLOOKUP($Q221,Resultados!$A$1:$B$49,2,FALSE)</f>
        <v>Juicio Abreviado</v>
      </c>
      <c r="S221" s="70" t="s">
        <v>1123</v>
      </c>
      <c r="T221" s="72" t="str">
        <f>IF(G221=$J$1,"SI","NO")</f>
        <v>NO</v>
      </c>
      <c r="U221" s="72"/>
      <c r="V221" s="7" t="str">
        <f ca="1">IF(color_Celda(E221)=12106214,"ROSA",IF(color_Celda(E221)=65535,"AMARILLO",IF(color_Celda(E221)=5296274,"VERDE",IF(color_Celda(E221)=16777215,"BLANCO","NO SE"))))</f>
        <v>ROSA</v>
      </c>
      <c r="W221" s="70" t="s">
        <v>1124</v>
      </c>
      <c r="X221" s="7"/>
      <c r="Y221" s="63"/>
      <c r="Z221" s="118"/>
      <c r="AA221" s="68"/>
      <c r="AB221" s="68"/>
      <c r="AC221" s="324"/>
    </row>
    <row r="222" spans="1:29" ht="60" customHeight="1" outlineLevel="1">
      <c r="A222" s="7">
        <v>220</v>
      </c>
      <c r="B222" s="65">
        <v>45082</v>
      </c>
      <c r="C222" s="70">
        <v>0.43402777777777773</v>
      </c>
      <c r="D222" s="63" t="s">
        <v>1027</v>
      </c>
      <c r="E222" s="64" t="s">
        <v>1049</v>
      </c>
      <c r="F222" s="63">
        <v>8</v>
      </c>
      <c r="G222" s="63" t="s">
        <v>283</v>
      </c>
      <c r="H222" s="208">
        <v>45085</v>
      </c>
      <c r="I222" s="63" t="s">
        <v>686</v>
      </c>
      <c r="J222" s="65" t="s">
        <v>33</v>
      </c>
      <c r="K222" s="7">
        <f>IFERROR(VLOOKUP(J222,Jueces!$A$1:$B$11,2,FALSE),"")</f>
        <v>4</v>
      </c>
      <c r="L222" s="63" t="s">
        <v>800</v>
      </c>
      <c r="M222" s="63" t="s">
        <v>1044</v>
      </c>
      <c r="N222" s="63" t="s">
        <v>1079</v>
      </c>
      <c r="O222" s="63" t="str">
        <f ca="1">IF(H222&lt;&gt;"",IF(H222&lt;=TODAY(),"SI","NO"),"LIMBO")</f>
        <v>SI</v>
      </c>
      <c r="P222" s="63" t="str">
        <f>IF($P$1=H222,"DIASOL", "DIANOSOL")</f>
        <v>DIANOSOL</v>
      </c>
      <c r="Q222" s="63" t="s">
        <v>903</v>
      </c>
      <c r="R222" s="7" t="str">
        <f>VLOOKUP($Q222,Resultados!$A$1:$B$49,2,FALSE)</f>
        <v>Juicio Abreviado</v>
      </c>
      <c r="S222" s="70" t="s">
        <v>1031</v>
      </c>
      <c r="T222" s="72" t="str">
        <f>IF(G222=$J$1,"SI","NO")</f>
        <v>NO</v>
      </c>
      <c r="U222" s="72"/>
      <c r="V222" s="7" t="str">
        <f ca="1">IF(color_Celda(E222)=12106214,"ROSA",IF(color_Celda(E222)=65535,"AMARILLO",IF(color_Celda(E222)=5296274,"VERDE",IF(color_Celda(E222)=16777215,"BLANCO","NO SE"))))</f>
        <v>ROSA</v>
      </c>
      <c r="W222" s="70" t="s">
        <v>76</v>
      </c>
      <c r="X222" s="63" t="s">
        <v>1080</v>
      </c>
      <c r="Y222" s="63"/>
      <c r="Z222" s="118"/>
      <c r="AA222" s="68"/>
      <c r="AB222" s="68"/>
      <c r="AC222" s="324"/>
    </row>
    <row r="223" spans="1:29" ht="60" customHeight="1" outlineLevel="1">
      <c r="A223" s="7">
        <v>221</v>
      </c>
      <c r="B223" s="65">
        <v>45082</v>
      </c>
      <c r="C223" s="70">
        <v>0.49861111111111112</v>
      </c>
      <c r="D223" s="63" t="s">
        <v>1040</v>
      </c>
      <c r="E223" s="64" t="s">
        <v>1041</v>
      </c>
      <c r="F223" s="63">
        <v>2</v>
      </c>
      <c r="G223" s="63" t="s">
        <v>43</v>
      </c>
      <c r="H223" s="208">
        <v>45085</v>
      </c>
      <c r="I223" s="63" t="s">
        <v>686</v>
      </c>
      <c r="J223" s="65" t="s">
        <v>35</v>
      </c>
      <c r="K223" s="7">
        <f>IFERROR(VLOOKUP(J223,Jueces!$A$1:$B$11,2,FALSE),"")</f>
        <v>3</v>
      </c>
      <c r="L223" s="63" t="s">
        <v>807</v>
      </c>
      <c r="M223" s="63" t="s">
        <v>711</v>
      </c>
      <c r="N223" s="63" t="s">
        <v>1078</v>
      </c>
      <c r="O223" s="63" t="str">
        <f ca="1">IF(H223&lt;&gt;"",IF(H223&lt;=TODAY(),"SI","NO"),"LIMBO")</f>
        <v>SI</v>
      </c>
      <c r="P223" s="63" t="str">
        <f>IF($P$1=H223,"DIASOL", "DIANOSOL")</f>
        <v>DIANOSOL</v>
      </c>
      <c r="Q223" s="63" t="s">
        <v>897</v>
      </c>
      <c r="R223" s="7" t="str">
        <f>VLOOKUP($Q223,Resultados!$A$1:$B$49,2,FALSE)</f>
        <v>Libertad</v>
      </c>
      <c r="S223" s="63" t="s">
        <v>1081</v>
      </c>
      <c r="T223" s="72" t="str">
        <f>IF(G223=$J$1,"SI","NO")</f>
        <v>NO</v>
      </c>
      <c r="U223" s="72"/>
      <c r="V223" s="7" t="str">
        <f ca="1">IF(color_Celda(E223)=12106214,"ROSA",IF(color_Celda(E223)=65535,"AMARILLO",IF(color_Celda(E223)=5296274,"VERDE",IF(color_Celda(E223)=16777215,"BLANCO","NO SE"))))</f>
        <v>ROSA</v>
      </c>
      <c r="W223" s="70" t="s">
        <v>1001</v>
      </c>
      <c r="X223" s="63"/>
      <c r="Y223" s="63"/>
      <c r="Z223" s="118"/>
      <c r="AA223" s="68"/>
      <c r="AB223" s="68"/>
      <c r="AC223" s="324"/>
    </row>
    <row r="224" spans="1:29" ht="60" customHeight="1" outlineLevel="1">
      <c r="A224" s="7">
        <v>222</v>
      </c>
      <c r="B224" s="65">
        <v>45083</v>
      </c>
      <c r="C224" s="70">
        <v>0.48819444444444443</v>
      </c>
      <c r="D224" s="63" t="s">
        <v>1055</v>
      </c>
      <c r="E224" s="64" t="s">
        <v>1056</v>
      </c>
      <c r="F224" s="63">
        <v>2</v>
      </c>
      <c r="G224" s="63" t="s">
        <v>1433</v>
      </c>
      <c r="H224" s="208">
        <v>45086</v>
      </c>
      <c r="I224" s="63" t="s">
        <v>73</v>
      </c>
      <c r="J224" s="65" t="s">
        <v>78</v>
      </c>
      <c r="K224" s="7">
        <f>IFERROR(VLOOKUP(J224,Jueces!$A$1:$B$11,2,FALSE),"")</f>
        <v>8</v>
      </c>
      <c r="L224" s="63" t="s">
        <v>810</v>
      </c>
      <c r="M224" s="63" t="s">
        <v>314</v>
      </c>
      <c r="N224" s="63" t="s">
        <v>235</v>
      </c>
      <c r="O224" s="63" t="str">
        <f ca="1">IF(H224&lt;&gt;"",IF(H224&lt;=TODAY(),"SI","NO"),"LIMBO")</f>
        <v>SI</v>
      </c>
      <c r="P224" s="63" t="str">
        <f>IF($P$1=H224,"DIASOL", "DIANOSOL")</f>
        <v>DIANOSOL</v>
      </c>
      <c r="Q224" s="63" t="s">
        <v>151</v>
      </c>
      <c r="R224" s="7" t="str">
        <f>VLOOKUP($Q224,Resultados!$A$1:$B$49,2,FALSE)</f>
        <v>Prisión Preventiva</v>
      </c>
      <c r="S224" s="70" t="s">
        <v>1125</v>
      </c>
      <c r="T224" s="72" t="str">
        <f>IF(G224=$J$1,"SI","NO")</f>
        <v>NO</v>
      </c>
      <c r="U224" s="72"/>
      <c r="V224" s="7" t="str">
        <f ca="1">IF(color_Celda(E224)=12106214,"ROSA",IF(color_Celda(E224)=65535,"AMARILLO",IF(color_Celda(E224)=5296274,"VERDE",IF(color_Celda(E224)=16777215,"BLANCO","NO SE"))))</f>
        <v>ROSA</v>
      </c>
      <c r="W224" s="70" t="s">
        <v>1126</v>
      </c>
      <c r="X224" s="63"/>
      <c r="Y224" s="63"/>
      <c r="Z224" s="118"/>
      <c r="AA224" s="68"/>
      <c r="AB224" s="68"/>
      <c r="AC224" s="324"/>
    </row>
    <row r="225" spans="1:29" ht="60" customHeight="1" outlineLevel="1">
      <c r="A225" s="7">
        <v>223</v>
      </c>
      <c r="B225" s="65">
        <v>45083</v>
      </c>
      <c r="C225" s="70">
        <v>0.49027777777777781</v>
      </c>
      <c r="D225" s="63" t="s">
        <v>1057</v>
      </c>
      <c r="E225" s="64" t="s">
        <v>1058</v>
      </c>
      <c r="F225" s="63">
        <v>2</v>
      </c>
      <c r="G225" s="63" t="s">
        <v>29</v>
      </c>
      <c r="H225" s="208">
        <v>45086</v>
      </c>
      <c r="I225" s="63" t="s">
        <v>73</v>
      </c>
      <c r="J225" s="65" t="s">
        <v>33</v>
      </c>
      <c r="K225" s="7">
        <f>IFERROR(VLOOKUP(J225,Jueces!$A$1:$B$11,2,FALSE),"")</f>
        <v>4</v>
      </c>
      <c r="L225" s="63" t="s">
        <v>809</v>
      </c>
      <c r="M225" s="63" t="s">
        <v>711</v>
      </c>
      <c r="N225" s="63" t="s">
        <v>1094</v>
      </c>
      <c r="O225" s="63" t="str">
        <f ca="1">IF(H225&lt;&gt;"",IF(H225&lt;=TODAY(),"SI","NO"),"LIMBO")</f>
        <v>SI</v>
      </c>
      <c r="P225" s="63" t="str">
        <f>IF($P$1=H225,"DIASOL", "DIANOSOL")</f>
        <v>DIANOSOL</v>
      </c>
      <c r="Q225" s="63" t="s">
        <v>902</v>
      </c>
      <c r="R225" s="7" t="str">
        <f>VLOOKUP($Q225,Resultados!$A$1:$B$49,2,FALSE)</f>
        <v>Juicio Abreviado</v>
      </c>
      <c r="S225" s="70" t="s">
        <v>73</v>
      </c>
      <c r="T225" s="72" t="str">
        <f>IF(G225=$J$1,"SI","NO")</f>
        <v>NO</v>
      </c>
      <c r="U225" s="72"/>
      <c r="V225" s="7" t="str">
        <f ca="1">IF(color_Celda(E225)=12106214,"ROSA",IF(color_Celda(E225)=65535,"AMARILLO",IF(color_Celda(E225)=5296274,"VERDE",IF(color_Celda(E225)=16777215,"BLANCO","NO SE"))))</f>
        <v>ROSA</v>
      </c>
      <c r="W225" s="70" t="s">
        <v>1127</v>
      </c>
      <c r="X225" s="63"/>
      <c r="Y225" s="63"/>
      <c r="Z225" s="118"/>
      <c r="AA225" s="68"/>
      <c r="AB225" s="68"/>
      <c r="AC225" s="324"/>
    </row>
    <row r="226" spans="1:29" ht="60" customHeight="1" outlineLevel="1">
      <c r="A226" s="7">
        <v>224</v>
      </c>
      <c r="B226" s="65">
        <v>45083</v>
      </c>
      <c r="C226" s="70">
        <v>0.50416666666666665</v>
      </c>
      <c r="D226" s="63" t="s">
        <v>1053</v>
      </c>
      <c r="E226" s="64" t="s">
        <v>1054</v>
      </c>
      <c r="F226" s="63">
        <v>2</v>
      </c>
      <c r="G226" s="63" t="s">
        <v>32</v>
      </c>
      <c r="H226" s="208">
        <v>45086</v>
      </c>
      <c r="I226" s="63" t="s">
        <v>686</v>
      </c>
      <c r="J226" s="65" t="s">
        <v>78</v>
      </c>
      <c r="K226" s="7">
        <f>IFERROR(VLOOKUP(J226,Jueces!$A$1:$B$11,2,FALSE),"")</f>
        <v>8</v>
      </c>
      <c r="L226" s="63" t="s">
        <v>809</v>
      </c>
      <c r="M226" s="63" t="s">
        <v>712</v>
      </c>
      <c r="N226" s="63" t="s">
        <v>1092</v>
      </c>
      <c r="O226" s="63" t="str">
        <f ca="1">IF(H226&lt;&gt;"",IF(H226&lt;=TODAY(),"SI","NO"),"LIMBO")</f>
        <v>SI</v>
      </c>
      <c r="P226" s="63" t="str">
        <f>IF($P$1=H226,"DIASOL", "DIANOSOL")</f>
        <v>DIANOSOL</v>
      </c>
      <c r="Q226" s="63" t="s">
        <v>902</v>
      </c>
      <c r="R226" s="7" t="str">
        <f>VLOOKUP($Q226,Resultados!$A$1:$B$49,2,FALSE)</f>
        <v>Juicio Abreviado</v>
      </c>
      <c r="S226" s="70" t="s">
        <v>1128</v>
      </c>
      <c r="T226" s="72" t="str">
        <f>IF(G226=$J$1,"SI","NO")</f>
        <v>NO</v>
      </c>
      <c r="U226" s="72"/>
      <c r="V226" s="7" t="str">
        <f ca="1">IF(color_Celda(E226)=12106214,"ROSA",IF(color_Celda(E226)=65535,"AMARILLO",IF(color_Celda(E226)=5296274,"VERDE",IF(color_Celda(E226)=16777215,"BLANCO","NO SE"))))</f>
        <v>ROSA</v>
      </c>
      <c r="W226" s="70" t="s">
        <v>1129</v>
      </c>
      <c r="X226" s="63"/>
      <c r="Y226" s="63"/>
      <c r="Z226" s="118"/>
      <c r="AA226" s="68"/>
      <c r="AB226" s="68"/>
      <c r="AC226" s="324"/>
    </row>
    <row r="227" spans="1:29" ht="60" customHeight="1">
      <c r="A227" s="7">
        <v>225</v>
      </c>
      <c r="B227" s="65">
        <v>45084</v>
      </c>
      <c r="C227" s="70">
        <v>0.45833333333333331</v>
      </c>
      <c r="D227" s="7" t="s">
        <v>1069</v>
      </c>
      <c r="E227" s="64" t="s">
        <v>1077</v>
      </c>
      <c r="F227" s="63">
        <v>2</v>
      </c>
      <c r="G227" s="63" t="s">
        <v>283</v>
      </c>
      <c r="H227" s="208">
        <v>45089</v>
      </c>
      <c r="I227" s="63" t="s">
        <v>73</v>
      </c>
      <c r="J227" s="65" t="s">
        <v>35</v>
      </c>
      <c r="K227" s="7">
        <f>IFERROR(VLOOKUP(J227,Jueces!$A$1:$B$11,2,FALSE),"")</f>
        <v>3</v>
      </c>
      <c r="L227" s="63" t="s">
        <v>1067</v>
      </c>
      <c r="M227" s="63" t="s">
        <v>711</v>
      </c>
      <c r="N227" s="63" t="s">
        <v>235</v>
      </c>
      <c r="O227" s="63" t="str">
        <f ca="1">IF(H227&lt;&gt;"",IF(H227&lt;=TODAY(),"SI","NO"),"LIMBO")</f>
        <v>SI</v>
      </c>
      <c r="P227" s="63" t="str">
        <f>IF($P$1=H227,"DIASOL", "DIANOSOL")</f>
        <v>DIANOSOL</v>
      </c>
      <c r="Q227" s="63" t="s">
        <v>151</v>
      </c>
      <c r="R227" s="7" t="str">
        <f>VLOOKUP($Q227,Resultados!$A$1:$B$49,2,FALSE)</f>
        <v>Prisión Preventiva</v>
      </c>
      <c r="S227" s="70" t="s">
        <v>749</v>
      </c>
      <c r="T227" s="72"/>
      <c r="U227" s="72"/>
      <c r="V227" s="7" t="str">
        <f ca="1">IF(color_Celda(E227)=12106214,"ROSA",IF(color_Celda(E227)=65535,"AMARILLO",IF(color_Celda(E227)=5296274,"VERDE",IF(color_Celda(E227)=16777215,"BLANCO","NO SE"))))</f>
        <v>ROSA</v>
      </c>
      <c r="W227" s="70" t="s">
        <v>76</v>
      </c>
      <c r="X227" s="63" t="s">
        <v>1095</v>
      </c>
      <c r="Y227" s="63"/>
      <c r="Z227" s="118"/>
      <c r="AA227" s="68"/>
      <c r="AB227" s="68"/>
      <c r="AC227" s="324"/>
    </row>
    <row r="228" spans="1:29" ht="60" customHeight="1">
      <c r="A228" s="7">
        <v>226</v>
      </c>
      <c r="B228" s="65">
        <v>45084</v>
      </c>
      <c r="C228" s="70">
        <v>0.51874999999999993</v>
      </c>
      <c r="D228" s="63" t="s">
        <v>1070</v>
      </c>
      <c r="E228" s="64" t="s">
        <v>1068</v>
      </c>
      <c r="F228" s="63">
        <v>2</v>
      </c>
      <c r="G228" s="63" t="s">
        <v>43</v>
      </c>
      <c r="H228" s="208">
        <v>45090</v>
      </c>
      <c r="I228" s="63" t="s">
        <v>73</v>
      </c>
      <c r="J228" s="65" t="s">
        <v>78</v>
      </c>
      <c r="K228" s="7">
        <f>IFERROR(VLOOKUP(J228,Jueces!$A$1:$B$11,2,FALSE),"")</f>
        <v>8</v>
      </c>
      <c r="L228" s="63" t="s">
        <v>582</v>
      </c>
      <c r="M228" s="63" t="s">
        <v>711</v>
      </c>
      <c r="N228" s="63" t="s">
        <v>1114</v>
      </c>
      <c r="O228" s="63" t="str">
        <f ca="1">IF(H228&lt;&gt;"",IF(H228&lt;=TODAY(),"SI","NO"),"LIMBO")</f>
        <v>SI</v>
      </c>
      <c r="P228" s="63" t="str">
        <f>IF($P$1=H228,"DIASOL", "DIANOSOL")</f>
        <v>DIANOSOL</v>
      </c>
      <c r="Q228" s="63" t="s">
        <v>902</v>
      </c>
      <c r="R228" s="7" t="str">
        <f>VLOOKUP($Q228,Resultados!$A$1:$B$49,2,FALSE)</f>
        <v>Juicio Abreviado</v>
      </c>
      <c r="S228" s="63" t="s">
        <v>1119</v>
      </c>
      <c r="T228" s="72"/>
      <c r="U228" s="72"/>
      <c r="V228" s="7" t="str">
        <f ca="1">IF(color_Celda(E228)=12106214,"ROSA",IF(color_Celda(E228)=65535,"AMARILLO",IF(color_Celda(E228)=5296274,"VERDE",IF(color_Celda(E228)=16777215,"BLANCO","NO SE"))))</f>
        <v>ROSA</v>
      </c>
      <c r="W228" s="63" t="s">
        <v>1120</v>
      </c>
      <c r="X228" s="63" t="s">
        <v>1132</v>
      </c>
      <c r="Y228" s="63"/>
      <c r="Z228" s="118"/>
      <c r="AA228" s="68"/>
      <c r="AB228" s="68"/>
      <c r="AC228" s="324"/>
    </row>
    <row r="229" spans="1:29" ht="60" customHeight="1">
      <c r="A229" s="7">
        <v>227</v>
      </c>
      <c r="B229" s="65">
        <v>45086</v>
      </c>
      <c r="C229" s="70">
        <v>0.38194444444444442</v>
      </c>
      <c r="D229" s="63" t="s">
        <v>1091</v>
      </c>
      <c r="E229" s="64" t="s">
        <v>1090</v>
      </c>
      <c r="F229" s="63">
        <v>2</v>
      </c>
      <c r="G229" s="63" t="s">
        <v>32</v>
      </c>
      <c r="H229" s="208">
        <v>45090</v>
      </c>
      <c r="I229" s="63" t="s">
        <v>73</v>
      </c>
      <c r="J229" s="65" t="s">
        <v>35</v>
      </c>
      <c r="K229" s="7">
        <f>IFERROR(VLOOKUP(J229,Jueces!$A$1:$B$11,2,FALSE),"")</f>
        <v>3</v>
      </c>
      <c r="L229" s="63" t="s">
        <v>1300</v>
      </c>
      <c r="M229" s="63" t="s">
        <v>1175</v>
      </c>
      <c r="N229" s="63" t="s">
        <v>1133</v>
      </c>
      <c r="O229" s="63" t="str">
        <f ca="1">IF(H229&lt;&gt;"",IF(H229&lt;=TODAY(),"SI","NO"),"LIMBO")</f>
        <v>SI</v>
      </c>
      <c r="P229" s="63" t="str">
        <f>IF($P$1=H229,"DIASOL", "DIANOSOL")</f>
        <v>DIANOSOL</v>
      </c>
      <c r="Q229" s="63" t="s">
        <v>903</v>
      </c>
      <c r="R229" s="7" t="str">
        <f>VLOOKUP($Q229,Resultados!$A$1:$B$49,2,FALSE)</f>
        <v>Juicio Abreviado</v>
      </c>
      <c r="S229" s="70" t="s">
        <v>1015</v>
      </c>
      <c r="T229" s="72" t="str">
        <f>IF(G229=$J$1,"SI","NO")</f>
        <v>NO</v>
      </c>
      <c r="U229" s="72"/>
      <c r="V229" s="7" t="str">
        <f ca="1">IF(color_Celda(E229)=12106214,"ROSA",IF(color_Celda(E229)=65535,"AMARILLO",IF(color_Celda(E229)=5296274,"VERDE",IF(color_Celda(E229)=16777215,"BLANCO","NO SE"))))</f>
        <v>ROSA</v>
      </c>
      <c r="W229" s="63" t="s">
        <v>1134</v>
      </c>
      <c r="X229" s="63" t="s">
        <v>1135</v>
      </c>
      <c r="Y229" s="63"/>
      <c r="Z229" s="118"/>
      <c r="AA229" s="68"/>
      <c r="AB229" s="68"/>
      <c r="AC229" s="324"/>
    </row>
    <row r="230" spans="1:29" ht="60" customHeight="1">
      <c r="A230" s="7">
        <v>228</v>
      </c>
      <c r="B230" s="65">
        <v>45084</v>
      </c>
      <c r="C230" s="70">
        <v>0.53263888888888888</v>
      </c>
      <c r="D230" s="63" t="s">
        <v>1074</v>
      </c>
      <c r="E230" s="64" t="s">
        <v>1072</v>
      </c>
      <c r="F230" s="63">
        <v>2</v>
      </c>
      <c r="G230" s="63" t="s">
        <v>29</v>
      </c>
      <c r="H230" s="208">
        <v>45091</v>
      </c>
      <c r="I230" s="63" t="s">
        <v>73</v>
      </c>
      <c r="J230" s="65" t="s">
        <v>35</v>
      </c>
      <c r="K230" s="7">
        <f>IFERROR(VLOOKUP(J230,Jueces!$A$1:$B$11,2,FALSE),"")</f>
        <v>3</v>
      </c>
      <c r="L230" s="63" t="s">
        <v>811</v>
      </c>
      <c r="M230" s="63" t="s">
        <v>711</v>
      </c>
      <c r="N230" s="63" t="s">
        <v>1152</v>
      </c>
      <c r="O230" s="63" t="str">
        <f ca="1">IF(H230&lt;&gt;"",IF(H230&lt;=TODAY(),"SI","NO"),"LIMBO")</f>
        <v>SI</v>
      </c>
      <c r="P230" s="63" t="str">
        <f>IF($P$1=H230,"DIASOL", "DIANOSOL")</f>
        <v>DIANOSOL</v>
      </c>
      <c r="Q230" s="63" t="s">
        <v>897</v>
      </c>
      <c r="R230" s="7" t="str">
        <f>VLOOKUP($Q230,Resultados!$A$1:$B$49,2,FALSE)</f>
        <v>Libertad</v>
      </c>
      <c r="S230" s="70" t="s">
        <v>1231</v>
      </c>
      <c r="T230" s="72"/>
      <c r="U230" s="72"/>
      <c r="V230" s="7" t="str">
        <f ca="1">IF(color_Celda(E230)=12106214,"ROSA",IF(color_Celda(E230)=65535,"AMARILLO",IF(color_Celda(E230)=5296274,"VERDE",IF(color_Celda(E230)=16777215,"BLANCO","NO SE"))))</f>
        <v>ROSA</v>
      </c>
      <c r="W230" s="70" t="s">
        <v>1232</v>
      </c>
      <c r="X230" s="63" t="s">
        <v>1155</v>
      </c>
      <c r="Y230" s="63"/>
      <c r="Z230" s="118"/>
      <c r="AA230" s="68"/>
      <c r="AB230" s="68"/>
      <c r="AC230" s="324"/>
    </row>
    <row r="231" spans="1:29" ht="60" customHeight="1">
      <c r="A231" s="7">
        <v>229</v>
      </c>
      <c r="B231" s="19">
        <v>45089</v>
      </c>
      <c r="C231" s="15">
        <v>0.47291666666666665</v>
      </c>
      <c r="D231" s="7" t="s">
        <v>1107</v>
      </c>
      <c r="E231" s="40" t="s">
        <v>1108</v>
      </c>
      <c r="F231" s="7">
        <v>2</v>
      </c>
      <c r="G231" s="7" t="s">
        <v>1433</v>
      </c>
      <c r="H231" s="297">
        <v>45091</v>
      </c>
      <c r="I231" s="7" t="s">
        <v>73</v>
      </c>
      <c r="J231" s="19" t="s">
        <v>78</v>
      </c>
      <c r="K231" s="7">
        <f>IFERROR(VLOOKUP(J231,Jueces!$A$1:$B$11,2,FALSE),"")</f>
        <v>8</v>
      </c>
      <c r="L231" s="7" t="s">
        <v>810</v>
      </c>
      <c r="M231" s="7" t="s">
        <v>712</v>
      </c>
      <c r="N231" s="7" t="s">
        <v>1151</v>
      </c>
      <c r="O231" s="63" t="str">
        <f ca="1">IF(H231&lt;&gt;"",IF(H231&lt;=TODAY(),"SI","NO"),"LIMBO")</f>
        <v>SI</v>
      </c>
      <c r="P231" s="63" t="str">
        <f>IF($P$1=H231,"DIASOL", "DIANOSOL")</f>
        <v>DIANOSOL</v>
      </c>
      <c r="Q231" s="7" t="s">
        <v>902</v>
      </c>
      <c r="R231" s="7" t="str">
        <f>VLOOKUP($Q231,Resultados!$A$1:$B$49,2,FALSE)</f>
        <v>Juicio Abreviado</v>
      </c>
      <c r="S231" s="15" t="s">
        <v>1233</v>
      </c>
      <c r="T231" s="68" t="str">
        <f>IF(G231=$J$1,"SI","NO")</f>
        <v>NO</v>
      </c>
      <c r="U231" s="68"/>
      <c r="V231" s="7" t="str">
        <f ca="1">IF(color_Celda(E231)=12106214,"ROSA",IF(color_Celda(E231)=65535,"AMARILLO",IF(color_Celda(E231)=5296274,"VERDE",IF(color_Celda(E231)=16777215,"BLANCO","NO SE"))))</f>
        <v>ROSA</v>
      </c>
      <c r="W231" s="15" t="s">
        <v>1016</v>
      </c>
      <c r="X231" s="7"/>
      <c r="Y231" s="7"/>
      <c r="Z231" s="118"/>
      <c r="AA231" s="68"/>
      <c r="AB231" s="68"/>
      <c r="AC231" s="324"/>
    </row>
    <row r="232" spans="1:29" ht="60" customHeight="1">
      <c r="A232" s="7">
        <v>230</v>
      </c>
      <c r="B232" s="19">
        <v>45085</v>
      </c>
      <c r="C232" s="15" t="s">
        <v>73</v>
      </c>
      <c r="D232" s="7" t="s">
        <v>1076</v>
      </c>
      <c r="E232" s="40" t="s">
        <v>1087</v>
      </c>
      <c r="F232" s="7">
        <v>2</v>
      </c>
      <c r="G232" s="7" t="s">
        <v>43</v>
      </c>
      <c r="H232" s="297">
        <v>45091</v>
      </c>
      <c r="I232" s="7" t="s">
        <v>1083</v>
      </c>
      <c r="J232" s="19" t="s">
        <v>35</v>
      </c>
      <c r="K232" s="7">
        <f>IFERROR(VLOOKUP(J232,Jueces!$A$1:$B$11,2,FALSE),"")</f>
        <v>3</v>
      </c>
      <c r="L232" s="7" t="s">
        <v>806</v>
      </c>
      <c r="M232" s="7" t="s">
        <v>712</v>
      </c>
      <c r="N232" s="7" t="s">
        <v>1153</v>
      </c>
      <c r="O232" s="7" t="str">
        <f ca="1">IF(H232&lt;&gt;"",IF(H232&lt;=TODAY(),"SI","NO"),"LIMBO")</f>
        <v>SI</v>
      </c>
      <c r="P232" s="7" t="str">
        <f>IF($P$1=H232,"DIASOL", "DIANOSOL")</f>
        <v>DIANOSOL</v>
      </c>
      <c r="Q232" s="7" t="s">
        <v>911</v>
      </c>
      <c r="R232" s="7" t="str">
        <f>VLOOKUP($Q232,Resultados!$A$1:$B$49,2,FALSE)</f>
        <v>Prision domiciliaria</v>
      </c>
      <c r="S232" s="15" t="s">
        <v>1206</v>
      </c>
      <c r="T232" s="68"/>
      <c r="U232" s="68"/>
      <c r="V232" s="7" t="str">
        <f ca="1">IF(color_Celda(E232)=12106214,"ROSA",IF(color_Celda(E232)=65535,"AMARILLO",IF(color_Celda(E232)=5296274,"VERDE",IF(color_Celda(E232)=16777215,"BLANCO","NO SE"))))</f>
        <v>ROSA</v>
      </c>
      <c r="W232" s="15" t="s">
        <v>75</v>
      </c>
      <c r="X232" s="7" t="s">
        <v>1154</v>
      </c>
      <c r="Y232" s="7"/>
      <c r="Z232" s="118"/>
      <c r="AA232" s="68"/>
      <c r="AB232" s="68"/>
      <c r="AC232" s="324"/>
    </row>
    <row r="233" spans="1:29" ht="60" customHeight="1">
      <c r="A233" s="7">
        <v>231</v>
      </c>
      <c r="B233" s="65">
        <v>45084</v>
      </c>
      <c r="C233" s="70">
        <v>0.53125</v>
      </c>
      <c r="D233" s="63" t="s">
        <v>1075</v>
      </c>
      <c r="E233" s="64" t="s">
        <v>1073</v>
      </c>
      <c r="F233" s="63">
        <v>2</v>
      </c>
      <c r="G233" s="63" t="s">
        <v>32</v>
      </c>
      <c r="H233" s="208">
        <v>45092</v>
      </c>
      <c r="I233" s="63" t="s">
        <v>73</v>
      </c>
      <c r="J233" s="65" t="s">
        <v>35</v>
      </c>
      <c r="K233" s="7">
        <f>IFERROR(VLOOKUP(J233,Jueces!$A$1:$B$11,2,FALSE),"")</f>
        <v>3</v>
      </c>
      <c r="L233" s="63" t="s">
        <v>1067</v>
      </c>
      <c r="M233" s="63" t="s">
        <v>711</v>
      </c>
      <c r="N233" s="63" t="s">
        <v>1182</v>
      </c>
      <c r="O233" s="63" t="str">
        <f ca="1">IF(H233&lt;&gt;"",IF(H233&lt;=TODAY(),"SI","NO"),"LIMBO")</f>
        <v>SI</v>
      </c>
      <c r="P233" s="63" t="str">
        <f>IF($P$1=H233,"DIASOL", "DIANOSOL")</f>
        <v>DIANOSOL</v>
      </c>
      <c r="Q233" s="63" t="s">
        <v>151</v>
      </c>
      <c r="R233" s="7" t="str">
        <f>VLOOKUP($Q233,Resultados!$A$1:$B$49,2,FALSE)</f>
        <v>Prisión Preventiva</v>
      </c>
      <c r="S233" s="63" t="s">
        <v>1183</v>
      </c>
      <c r="T233" s="72"/>
      <c r="U233" s="72"/>
      <c r="V233" s="7" t="str">
        <f ca="1">IF(color_Celda(E233)=12106214,"ROSA",IF(color_Celda(E233)=65535,"AMARILLO",IF(color_Celda(E233)=5296274,"VERDE",IF(color_Celda(E233)=16777215,"BLANCO","NO SE"))))</f>
        <v>ROSA</v>
      </c>
      <c r="W233" s="63" t="s">
        <v>1119</v>
      </c>
      <c r="X233" s="63" t="s">
        <v>1184</v>
      </c>
      <c r="Y233" s="63"/>
      <c r="Z233" s="118"/>
      <c r="AA233" s="68"/>
      <c r="AB233" s="68"/>
      <c r="AC233" s="324"/>
    </row>
    <row r="234" spans="1:29" ht="60" customHeight="1">
      <c r="A234" s="7">
        <v>232</v>
      </c>
      <c r="B234" s="65">
        <v>45085</v>
      </c>
      <c r="C234" s="70">
        <v>0.49722222222222223</v>
      </c>
      <c r="D234" s="63" t="s">
        <v>1085</v>
      </c>
      <c r="E234" s="64" t="s">
        <v>1086</v>
      </c>
      <c r="F234" s="63">
        <v>2</v>
      </c>
      <c r="G234" s="63" t="s">
        <v>1433</v>
      </c>
      <c r="H234" s="208">
        <v>45092</v>
      </c>
      <c r="I234" s="63" t="s">
        <v>73</v>
      </c>
      <c r="J234" s="65" t="s">
        <v>78</v>
      </c>
      <c r="K234" s="7">
        <f>IFERROR(VLOOKUP(J234,Jueces!$A$1:$B$11,2,FALSE),"")</f>
        <v>8</v>
      </c>
      <c r="L234" s="63" t="s">
        <v>1176</v>
      </c>
      <c r="M234" s="63" t="s">
        <v>1175</v>
      </c>
      <c r="N234" s="63" t="s">
        <v>1180</v>
      </c>
      <c r="O234" s="63" t="str">
        <f ca="1">IF(H234&lt;&gt;"",IF(H234&lt;=TODAY(),"SI","NO"),"LIMBO")</f>
        <v>SI</v>
      </c>
      <c r="P234" s="63" t="str">
        <f>IF($P$1=H234,"DIASOL", "DIANOSOL")</f>
        <v>DIANOSOL</v>
      </c>
      <c r="Q234" s="63" t="s">
        <v>903</v>
      </c>
      <c r="R234" s="7" t="str">
        <f>VLOOKUP($Q234,Resultados!$A$1:$B$49,2,FALSE)</f>
        <v>Juicio Abreviado</v>
      </c>
      <c r="S234" s="70" t="s">
        <v>1015</v>
      </c>
      <c r="T234" s="72" t="str">
        <f>IF(G234=$J$1,"SI","NO")</f>
        <v>NO</v>
      </c>
      <c r="U234" s="72"/>
      <c r="V234" s="7" t="str">
        <f ca="1">IF(color_Celda(E234)=12106214,"ROSA",IF(color_Celda(E234)=65535,"AMARILLO",IF(color_Celda(E234)=5296274,"VERDE",IF(color_Celda(E234)=16777215,"BLANCO","NO SE"))))</f>
        <v>ROSA</v>
      </c>
      <c r="W234" s="63" t="s">
        <v>1164</v>
      </c>
      <c r="X234" s="63" t="s">
        <v>1174</v>
      </c>
      <c r="Y234" s="63"/>
      <c r="Z234" s="118"/>
      <c r="AA234" s="68"/>
      <c r="AB234" s="68"/>
      <c r="AC234" s="324"/>
    </row>
    <row r="235" spans="1:29" ht="60" customHeight="1">
      <c r="A235" s="7">
        <v>233</v>
      </c>
      <c r="B235" s="65">
        <v>45086</v>
      </c>
      <c r="C235" s="70">
        <v>0.35972222222222222</v>
      </c>
      <c r="D235" s="63" t="s">
        <v>1089</v>
      </c>
      <c r="E235" s="64" t="s">
        <v>1088</v>
      </c>
      <c r="F235" s="63">
        <v>2</v>
      </c>
      <c r="G235" s="63" t="s">
        <v>29</v>
      </c>
      <c r="H235" s="208">
        <v>45092</v>
      </c>
      <c r="I235" s="63" t="s">
        <v>1083</v>
      </c>
      <c r="J235" s="65" t="s">
        <v>78</v>
      </c>
      <c r="K235" s="7">
        <f>IFERROR(VLOOKUP(J235,Jueces!$A$1:$B$11,2,FALSE),"")</f>
        <v>8</v>
      </c>
      <c r="L235" s="63" t="s">
        <v>807</v>
      </c>
      <c r="M235" s="63" t="s">
        <v>712</v>
      </c>
      <c r="N235" s="63" t="s">
        <v>1181</v>
      </c>
      <c r="O235" s="63" t="str">
        <f ca="1">IF(H235&lt;&gt;"",IF(H235&lt;=TODAY(),"SI","NO"),"LIMBO")</f>
        <v>SI</v>
      </c>
      <c r="P235" s="63" t="str">
        <f>IF($P$1=H235,"DIASOL", "DIANOSOL")</f>
        <v>DIANOSOL</v>
      </c>
      <c r="Q235" s="63" t="s">
        <v>902</v>
      </c>
      <c r="R235" s="7" t="str">
        <f>VLOOKUP($Q235,Resultados!$A$1:$B$49,2,FALSE)</f>
        <v>Juicio Abreviado</v>
      </c>
      <c r="S235" s="63" t="s">
        <v>1047</v>
      </c>
      <c r="T235" s="72" t="str">
        <f>IF(G235=$J$1,"SI","NO")</f>
        <v>NO</v>
      </c>
      <c r="U235" s="72"/>
      <c r="V235" s="7" t="str">
        <f ca="1">IF(color_Celda(E235)=12106214,"ROSA",IF(color_Celda(E235)=65535,"AMARILLO",IF(color_Celda(E235)=5296274,"VERDE",IF(color_Celda(E235)=16777215,"BLANCO","NO SE"))))</f>
        <v>ROSA</v>
      </c>
      <c r="W235" s="63" t="s">
        <v>1185</v>
      </c>
      <c r="X235" s="63" t="s">
        <v>1186</v>
      </c>
      <c r="Y235" s="63"/>
      <c r="Z235" s="118"/>
      <c r="AA235" s="68"/>
      <c r="AB235" s="68"/>
      <c r="AC235" s="324"/>
    </row>
    <row r="236" spans="1:29" ht="60" customHeight="1">
      <c r="A236" s="7">
        <v>234</v>
      </c>
      <c r="B236" s="65">
        <v>45089</v>
      </c>
      <c r="C236" s="70">
        <v>0.41944444444444445</v>
      </c>
      <c r="D236" s="63" t="s">
        <v>1103</v>
      </c>
      <c r="E236" s="64" t="s">
        <v>1188</v>
      </c>
      <c r="F236" s="63">
        <v>2</v>
      </c>
      <c r="G236" s="63" t="s">
        <v>1434</v>
      </c>
      <c r="H236" s="208">
        <v>45092</v>
      </c>
      <c r="I236" s="63" t="s">
        <v>1083</v>
      </c>
      <c r="J236" s="65" t="s">
        <v>35</v>
      </c>
      <c r="K236" s="7">
        <f>IFERROR(VLOOKUP(J236,Jueces!$A$1:$B$11,2,FALSE),"")</f>
        <v>3</v>
      </c>
      <c r="L236" s="63" t="s">
        <v>805</v>
      </c>
      <c r="M236" s="63" t="s">
        <v>1104</v>
      </c>
      <c r="N236" s="63" t="s">
        <v>1162</v>
      </c>
      <c r="O236" s="63" t="str">
        <f ca="1">IF(H236&lt;&gt;"",IF(H236&lt;=TODAY(),"SI","NO"),"LIMBO")</f>
        <v>SI</v>
      </c>
      <c r="P236" s="63" t="str">
        <f>IF($P$1=H236,"DIASOL", "DIANOSOL")</f>
        <v>DIANOSOL</v>
      </c>
      <c r="Q236" s="63" t="s">
        <v>902</v>
      </c>
      <c r="R236" s="7" t="str">
        <f>VLOOKUP($Q236,Resultados!$A$1:$B$49,2,FALSE)</f>
        <v>Juicio Abreviado</v>
      </c>
      <c r="S236" s="70" t="s">
        <v>1234</v>
      </c>
      <c r="T236" s="72" t="str">
        <f>IF(G236=$J$1,"SI","NO")</f>
        <v>NO</v>
      </c>
      <c r="U236" s="72"/>
      <c r="V236" s="7" t="str">
        <f ca="1">IF(color_Celda(E236)=12106214,"ROSA",IF(color_Celda(E236)=65535,"AMARILLO",IF(color_Celda(E236)=5296274,"VERDE",IF(color_Celda(E236)=16777215,"BLANCO","NO SE"))))</f>
        <v>ROSA</v>
      </c>
      <c r="W236" s="63" t="s">
        <v>1007</v>
      </c>
      <c r="X236" s="63" t="s">
        <v>1163</v>
      </c>
      <c r="Y236" s="63"/>
      <c r="Z236" s="118"/>
      <c r="AA236" s="68"/>
      <c r="AB236" s="68"/>
      <c r="AC236" s="324"/>
    </row>
    <row r="237" spans="1:29" ht="60" customHeight="1">
      <c r="A237" s="7">
        <v>235</v>
      </c>
      <c r="B237" s="65">
        <v>45089</v>
      </c>
      <c r="C237" s="70">
        <v>0.34861111111111115</v>
      </c>
      <c r="D237" s="63" t="s">
        <v>1097</v>
      </c>
      <c r="E237" s="64" t="s">
        <v>1098</v>
      </c>
      <c r="F237" s="63">
        <v>2</v>
      </c>
      <c r="G237" s="63" t="s">
        <v>43</v>
      </c>
      <c r="H237" s="208">
        <v>45093</v>
      </c>
      <c r="I237" s="63" t="s">
        <v>73</v>
      </c>
      <c r="J237" s="65" t="s">
        <v>78</v>
      </c>
      <c r="K237" s="7">
        <f>IFERROR(VLOOKUP(J237,Jueces!$A$1:$B$11,2,FALSE),"")</f>
        <v>8</v>
      </c>
      <c r="L237" s="63" t="s">
        <v>1067</v>
      </c>
      <c r="M237" s="63" t="s">
        <v>712</v>
      </c>
      <c r="N237" s="63" t="s">
        <v>1196</v>
      </c>
      <c r="O237" s="63" t="str">
        <f ca="1">IF(H237&lt;&gt;"",IF(H237&lt;=TODAY(),"SI","NO"),"LIMBO")</f>
        <v>SI</v>
      </c>
      <c r="P237" s="63" t="str">
        <f>IF($P$1=H237,"DIASOL", "DIANOSOL")</f>
        <v>DIANOSOL</v>
      </c>
      <c r="Q237" s="63" t="s">
        <v>902</v>
      </c>
      <c r="R237" s="7" t="str">
        <f>VLOOKUP($Q237,Resultados!$A$1:$B$49,2,FALSE)</f>
        <v>Juicio Abreviado</v>
      </c>
      <c r="S237" s="63" t="s">
        <v>686</v>
      </c>
      <c r="T237" s="72" t="str">
        <f>IF(G237=$J$1,"SI","NO")</f>
        <v>NO</v>
      </c>
      <c r="U237" s="72"/>
      <c r="V237" s="7" t="str">
        <f ca="1">IF(color_Celda(E237)=12106214,"ROSA",IF(color_Celda(E237)=65535,"AMARILLO",IF(color_Celda(E237)=5296274,"VERDE",IF(color_Celda(E237)=16777215,"BLANCO","NO SE"))))</f>
        <v>ROSA</v>
      </c>
      <c r="W237" s="70">
        <v>0.375</v>
      </c>
      <c r="X237" s="63" t="s">
        <v>1099</v>
      </c>
      <c r="Y237" s="63"/>
      <c r="Z237" s="118"/>
      <c r="AA237" s="268"/>
      <c r="AB237" s="300"/>
      <c r="AC237" s="324"/>
    </row>
    <row r="238" spans="1:29" ht="60" customHeight="1">
      <c r="A238" s="7">
        <v>236</v>
      </c>
      <c r="B238" s="65">
        <v>45085</v>
      </c>
      <c r="C238" s="70">
        <v>0.35416666666666669</v>
      </c>
      <c r="D238" s="63" t="s">
        <v>1096</v>
      </c>
      <c r="E238" s="64" t="s">
        <v>1082</v>
      </c>
      <c r="F238" s="63">
        <v>3</v>
      </c>
      <c r="G238" s="63" t="s">
        <v>283</v>
      </c>
      <c r="H238" s="208">
        <v>45093</v>
      </c>
      <c r="I238" s="63" t="s">
        <v>1083</v>
      </c>
      <c r="J238" s="65" t="s">
        <v>31</v>
      </c>
      <c r="K238" s="7">
        <f>IFERROR(VLOOKUP(J238,Jueces!$A$1:$B$11,2,FALSE),"")</f>
        <v>2</v>
      </c>
      <c r="L238" s="63" t="s">
        <v>181</v>
      </c>
      <c r="M238" s="63" t="s">
        <v>712</v>
      </c>
      <c r="N238" s="63" t="s">
        <v>1194</v>
      </c>
      <c r="O238" s="86" t="str">
        <f ca="1">IF(H238&lt;&gt;"",IF(H238&lt;=TODAY(),"SI","NO"),"LIMBO")</f>
        <v>SI</v>
      </c>
      <c r="P238" s="63" t="str">
        <f>IF($P$1=H238,"DIASOL", "DIANOSOL")</f>
        <v>DIANOSOL</v>
      </c>
      <c r="Q238" s="63" t="s">
        <v>903</v>
      </c>
      <c r="R238" s="7" t="str">
        <f>VLOOKUP($Q238,Resultados!$A$1:$B$49,2,FALSE)</f>
        <v>Juicio Abreviado</v>
      </c>
      <c r="S238" s="70" t="s">
        <v>1016</v>
      </c>
      <c r="T238" s="72" t="str">
        <f>IF(G238=$J$1,"SI","NO")</f>
        <v>NO</v>
      </c>
      <c r="U238" s="72"/>
      <c r="V238" s="7" t="str">
        <f ca="1">IF(color_Celda(E238)=12106214,"ROSA",IF(color_Celda(E238)=65535,"AMARILLO",IF(color_Celda(E238)=5296274,"VERDE",IF(color_Celda(E238)=16777215,"BLANCO","NO SE"))))</f>
        <v>ROSA</v>
      </c>
      <c r="W238" s="70" t="s">
        <v>1230</v>
      </c>
      <c r="X238" s="63" t="s">
        <v>1195</v>
      </c>
      <c r="Y238" s="63"/>
      <c r="Z238" s="118"/>
      <c r="AA238" s="268"/>
      <c r="AB238" s="300"/>
      <c r="AC238" s="324"/>
    </row>
    <row r="239" spans="1:29" ht="60" customHeight="1">
      <c r="A239" s="7">
        <v>237</v>
      </c>
      <c r="B239" s="65">
        <v>45089</v>
      </c>
      <c r="C239" s="70">
        <v>0.39305555555555555</v>
      </c>
      <c r="D239" s="63" t="s">
        <v>1100</v>
      </c>
      <c r="E239" s="64" t="s">
        <v>1101</v>
      </c>
      <c r="F239" s="63">
        <v>2</v>
      </c>
      <c r="G239" s="63" t="s">
        <v>32</v>
      </c>
      <c r="H239" s="208">
        <v>45093</v>
      </c>
      <c r="I239" s="63" t="s">
        <v>1083</v>
      </c>
      <c r="J239" s="65" t="s">
        <v>78</v>
      </c>
      <c r="K239" s="7">
        <f>IFERROR(VLOOKUP(J239,Jueces!$A$1:$B$11,2,FALSE),"")</f>
        <v>8</v>
      </c>
      <c r="L239" s="63" t="s">
        <v>326</v>
      </c>
      <c r="M239" s="63" t="s">
        <v>1102</v>
      </c>
      <c r="N239" s="63" t="s">
        <v>1199</v>
      </c>
      <c r="O239" s="63" t="str">
        <f ca="1">IF(H239&lt;&gt;"",IF(H239&lt;=TODAY(),"SI","NO"),"LIMBO")</f>
        <v>SI</v>
      </c>
      <c r="P239" s="63" t="str">
        <f>IF($P$1=H239,"DIASOL", "DIANOSOL")</f>
        <v>DIANOSOL</v>
      </c>
      <c r="Q239" s="63" t="s">
        <v>151</v>
      </c>
      <c r="R239" s="7" t="str">
        <f>VLOOKUP($Q239,Resultados!$A$1:$B$49,2,FALSE)</f>
        <v>Prisión Preventiva</v>
      </c>
      <c r="S239" s="70" t="s">
        <v>1236</v>
      </c>
      <c r="T239" s="72" t="str">
        <f>IF(G239=$J$1,"SI","NO")</f>
        <v>NO</v>
      </c>
      <c r="U239" s="72"/>
      <c r="V239" s="7" t="str">
        <f ca="1">IF(color_Celda(E239)=12106214,"ROSA",IF(color_Celda(E239)=65535,"AMARILLO",IF(color_Celda(E239)=5296274,"VERDE",IF(color_Celda(E239)=16777215,"BLANCO","NO SE"))))</f>
        <v>ROSA</v>
      </c>
      <c r="W239" s="70" t="s">
        <v>1237</v>
      </c>
      <c r="X239" s="63" t="s">
        <v>1200</v>
      </c>
      <c r="Y239" s="63"/>
      <c r="Z239" s="118"/>
      <c r="AA239" s="268"/>
      <c r="AB239" s="300"/>
      <c r="AC239" s="324"/>
    </row>
    <row r="240" spans="1:29" ht="60" customHeight="1">
      <c r="A240" s="7">
        <v>238</v>
      </c>
      <c r="B240" s="65">
        <v>45084</v>
      </c>
      <c r="C240" s="70" t="s">
        <v>73</v>
      </c>
      <c r="D240" s="63" t="s">
        <v>1071</v>
      </c>
      <c r="E240" s="64" t="s">
        <v>1059</v>
      </c>
      <c r="F240" s="63">
        <v>4</v>
      </c>
      <c r="G240" s="63" t="s">
        <v>1433</v>
      </c>
      <c r="H240" s="208">
        <v>45093</v>
      </c>
      <c r="I240" s="63" t="s">
        <v>77</v>
      </c>
      <c r="J240" s="65" t="s">
        <v>31</v>
      </c>
      <c r="K240" s="7">
        <f>IFERROR(VLOOKUP(J240,Jueces!$A$1:$B$11,2,FALSE),"")</f>
        <v>2</v>
      </c>
      <c r="L240" s="63" t="s">
        <v>812</v>
      </c>
      <c r="M240" s="63" t="s">
        <v>1063</v>
      </c>
      <c r="N240" s="63" t="s">
        <v>1201</v>
      </c>
      <c r="O240" s="54" t="str">
        <f ca="1">IF(H240&lt;&gt;"",IF(H240&lt;=TODAY(),"SI","NO"),"LIMBO")</f>
        <v>SI</v>
      </c>
      <c r="P240" s="54" t="str">
        <f>IF($P$1=H240,"DIASOL", "DIANOSOL")</f>
        <v>DIANOSOL</v>
      </c>
      <c r="Q240" s="63" t="s">
        <v>910</v>
      </c>
      <c r="R240" s="7" t="str">
        <f>VLOOKUP($Q240,Resultados!$A$1:$B$49,2,FALSE)</f>
        <v>Suspendida</v>
      </c>
      <c r="S240" s="63"/>
      <c r="T240" s="675" t="str">
        <f>IF(G240=$J$1,"SI","NO")</f>
        <v>NO</v>
      </c>
      <c r="U240" s="675"/>
      <c r="V240" s="7" t="str">
        <f ca="1">IF(color_Celda(E240)=12106214,"ROSA",IF(color_Celda(E240)=65535,"AMARILLO",IF(color_Celda(E240)=5296274,"VERDE",IF(color_Celda(E240)=16777215,"BLANCO","NO SE"))))</f>
        <v>ROSA</v>
      </c>
      <c r="W240" s="63"/>
      <c r="X240" s="63" t="s">
        <v>1204</v>
      </c>
      <c r="Y240" s="63"/>
      <c r="Z240" s="118"/>
      <c r="AA240" s="268"/>
      <c r="AB240" s="300"/>
      <c r="AC240" s="324"/>
    </row>
    <row r="241" spans="1:29" ht="60" customHeight="1">
      <c r="A241" s="7">
        <v>239</v>
      </c>
      <c r="B241" s="65">
        <v>45090</v>
      </c>
      <c r="C241" s="70">
        <v>0.42708333333333331</v>
      </c>
      <c r="D241" s="63" t="s">
        <v>1141</v>
      </c>
      <c r="E241" s="64" t="s">
        <v>1138</v>
      </c>
      <c r="F241" s="63">
        <v>2</v>
      </c>
      <c r="G241" s="63" t="s">
        <v>1433</v>
      </c>
      <c r="H241" s="208">
        <v>45093</v>
      </c>
      <c r="I241" s="63" t="s">
        <v>1146</v>
      </c>
      <c r="J241" s="65" t="s">
        <v>31</v>
      </c>
      <c r="K241" s="7">
        <f>IFERROR(VLOOKUP(J241,Jueces!$A$1:$B$11,2,FALSE),"")</f>
        <v>2</v>
      </c>
      <c r="L241" s="63" t="s">
        <v>810</v>
      </c>
      <c r="M241" s="63" t="s">
        <v>712</v>
      </c>
      <c r="N241" s="63" t="s">
        <v>1202</v>
      </c>
      <c r="O241" s="78" t="str">
        <f ca="1">IF(H241&lt;&gt;"",IF(H241&lt;=TODAY(),"SI","NO"),"LIMBO")</f>
        <v>SI</v>
      </c>
      <c r="P241" s="78" t="str">
        <f>IF($P$1=H241,"DIASOL", "DIANOSOL")</f>
        <v>DIANOSOL</v>
      </c>
      <c r="Q241" s="63" t="s">
        <v>902</v>
      </c>
      <c r="R241" s="7" t="str">
        <f>VLOOKUP($Q241,Resultados!$A$1:$B$49,2,FALSE)</f>
        <v>Juicio Abreviado</v>
      </c>
      <c r="S241" s="70" t="s">
        <v>1235</v>
      </c>
      <c r="T241" s="81" t="str">
        <f>IF(G241=$J$1,"SI","NO")</f>
        <v>NO</v>
      </c>
      <c r="U241" s="81"/>
      <c r="V241" s="7" t="str">
        <f ca="1">IF(color_Celda(E241)=12106214,"ROSA",IF(color_Celda(E241)=65535,"AMARILLO",IF(color_Celda(E241)=5296274,"VERDE",IF(color_Celda(E241)=16777215,"BLANCO","NO SE"))))</f>
        <v>ROSA</v>
      </c>
      <c r="W241" s="63" t="s">
        <v>1203</v>
      </c>
      <c r="X241" s="63"/>
      <c r="Y241" s="63"/>
      <c r="Z241" s="118"/>
      <c r="AA241" s="268"/>
      <c r="AB241" s="300"/>
      <c r="AC241" s="324"/>
    </row>
    <row r="242" spans="1:29" ht="60" customHeight="1">
      <c r="A242" s="7">
        <v>250</v>
      </c>
      <c r="B242" s="65">
        <v>45089</v>
      </c>
      <c r="C242" s="70">
        <v>0.4777777777777778</v>
      </c>
      <c r="D242" s="63" t="s">
        <v>1106</v>
      </c>
      <c r="E242" s="64" t="s">
        <v>1214</v>
      </c>
      <c r="F242" s="63">
        <v>2</v>
      </c>
      <c r="G242" s="63" t="s">
        <v>1434</v>
      </c>
      <c r="H242" s="208">
        <v>45098</v>
      </c>
      <c r="I242" s="63" t="s">
        <v>73</v>
      </c>
      <c r="J242" s="65" t="s">
        <v>78</v>
      </c>
      <c r="K242" s="7">
        <f>IFERROR(VLOOKUP(J242,Jueces!$A$1:$B$11,2,FALSE),"")</f>
        <v>8</v>
      </c>
      <c r="L242" s="63" t="s">
        <v>1176</v>
      </c>
      <c r="M242" s="63" t="s">
        <v>1175</v>
      </c>
      <c r="N242" s="63" t="s">
        <v>1210</v>
      </c>
      <c r="O242" s="63" t="str">
        <f ca="1">IF(H242&lt;&gt;"",IF(H242&lt;=TODAY(),"SI","NO"),"LIMBO")</f>
        <v>SI</v>
      </c>
      <c r="P242" s="63" t="str">
        <f>IF($P$1=H242,"DIASOL", "DIANOSOL")</f>
        <v>DIANOSOL</v>
      </c>
      <c r="Q242" s="63" t="s">
        <v>902</v>
      </c>
      <c r="R242" s="7" t="str">
        <f>VLOOKUP($Q242,Resultados!$A$1:$B$49,2,FALSE)</f>
        <v>Juicio Abreviado</v>
      </c>
      <c r="S242" s="70" t="s">
        <v>1227</v>
      </c>
      <c r="T242" s="72" t="str">
        <f>IF(G242=$J$1,"SI","NO")</f>
        <v>NO</v>
      </c>
      <c r="U242" s="72"/>
      <c r="V242" s="7" t="str">
        <f ca="1">IF(color_Celda(E242)=12106214,"ROSA",IF(color_Celda(E242)=65535,"AMARILLO",IF(color_Celda(E242)=5296274,"VERDE",IF(color_Celda(E242)=16777215,"BLANCO","NO SE"))))</f>
        <v>ROSA</v>
      </c>
      <c r="W242" s="70" t="s">
        <v>1164</v>
      </c>
      <c r="X242" s="63" t="s">
        <v>1211</v>
      </c>
      <c r="Y242" s="63"/>
      <c r="Z242" s="118" t="s">
        <v>1039</v>
      </c>
      <c r="AA242" s="268"/>
      <c r="AB242" s="300"/>
      <c r="AC242" s="324"/>
    </row>
    <row r="243" spans="1:29" ht="60" customHeight="1">
      <c r="A243" s="7">
        <v>246</v>
      </c>
      <c r="B243" s="65">
        <v>45090</v>
      </c>
      <c r="C243" s="63" t="s">
        <v>73</v>
      </c>
      <c r="D243" s="63" t="s">
        <v>1143</v>
      </c>
      <c r="E243" s="64" t="s">
        <v>1212</v>
      </c>
      <c r="F243" s="63">
        <v>8</v>
      </c>
      <c r="G243" s="63" t="s">
        <v>283</v>
      </c>
      <c r="H243" s="208">
        <v>45098</v>
      </c>
      <c r="I243" s="63" t="s">
        <v>73</v>
      </c>
      <c r="J243" s="65" t="s">
        <v>31</v>
      </c>
      <c r="K243" s="7">
        <f>IFERROR(VLOOKUP(J243,Jueces!$A$1:$B$11,2,FALSE),"")</f>
        <v>2</v>
      </c>
      <c r="L243" s="63" t="s">
        <v>1301</v>
      </c>
      <c r="M243" s="63" t="s">
        <v>767</v>
      </c>
      <c r="N243" s="63" t="s">
        <v>1228</v>
      </c>
      <c r="O243" s="78" t="str">
        <f ca="1">IF(H243&lt;&gt;"",IF(H243&lt;=TODAY(),"SI","NO"),"LIMBO")</f>
        <v>SI</v>
      </c>
      <c r="P243" s="78" t="str">
        <f>IF($P$1=H243,"DIASOL", "DIANOSOL")</f>
        <v>DIANOSOL</v>
      </c>
      <c r="Q243" s="63" t="s">
        <v>903</v>
      </c>
      <c r="R243" s="7" t="str">
        <f>VLOOKUP($Q243,Resultados!$A$1:$B$49,2,FALSE)</f>
        <v>Juicio Abreviado</v>
      </c>
      <c r="S243" s="63" t="s">
        <v>1083</v>
      </c>
      <c r="T243" s="81" t="str">
        <f>IF(G243=$J$1,"SI","NO")</f>
        <v>NO</v>
      </c>
      <c r="U243" s="81"/>
      <c r="V243" s="7" t="str">
        <f ca="1">IF(color_Celda(E243)=12106214,"ROSA",IF(color_Celda(E243)=65535,"AMARILLO",IF(color_Celda(E243)=5296274,"VERDE",IF(color_Celda(E243)=16777215,"BLANCO","NO SE"))))</f>
        <v>ROSA</v>
      </c>
      <c r="W243" s="63" t="s">
        <v>1016</v>
      </c>
      <c r="X243" s="63"/>
      <c r="Y243" s="63"/>
      <c r="Z243" s="118" t="s">
        <v>1038</v>
      </c>
      <c r="AA243" s="268"/>
      <c r="AB243" s="300"/>
      <c r="AC243" s="324"/>
    </row>
    <row r="244" spans="1:29" ht="60" customHeight="1">
      <c r="A244" s="7">
        <v>241</v>
      </c>
      <c r="B244" s="65">
        <v>45090</v>
      </c>
      <c r="C244" s="70" t="s">
        <v>73</v>
      </c>
      <c r="D244" s="63" t="s">
        <v>1109</v>
      </c>
      <c r="E244" s="64" t="s">
        <v>1213</v>
      </c>
      <c r="F244" s="63">
        <v>2</v>
      </c>
      <c r="G244" s="63" t="s">
        <v>32</v>
      </c>
      <c r="H244" s="208">
        <v>45098</v>
      </c>
      <c r="I244" s="70" t="s">
        <v>1083</v>
      </c>
      <c r="J244" s="65" t="s">
        <v>78</v>
      </c>
      <c r="K244" s="7">
        <f>IFERROR(VLOOKUP(J244,Jueces!$A$1:$B$11,2,FALSE),"")</f>
        <v>8</v>
      </c>
      <c r="L244" s="63" t="s">
        <v>807</v>
      </c>
      <c r="M244" s="63" t="s">
        <v>171</v>
      </c>
      <c r="N244" s="63" t="s">
        <v>1243</v>
      </c>
      <c r="O244" s="78" t="str">
        <f ca="1">IF(H244&lt;&gt;"",IF(H244&lt;=TODAY(),"SI","NO"),"LIMBO")</f>
        <v>SI</v>
      </c>
      <c r="P244" s="78" t="str">
        <f>IF($P$1=H244,"DIASOL", "DIANOSOL")</f>
        <v>DIANOSOL</v>
      </c>
      <c r="Q244" s="63" t="s">
        <v>910</v>
      </c>
      <c r="R244" s="7" t="str">
        <f>VLOOKUP($Q244,Resultados!$A$1:$B$49,2,FALSE)</f>
        <v>Suspendida</v>
      </c>
      <c r="S244" s="63"/>
      <c r="T244" s="81" t="str">
        <f>IF(G244=$J$1,"SI","NO")</f>
        <v>NO</v>
      </c>
      <c r="U244" s="81"/>
      <c r="V244" s="7" t="str">
        <f ca="1">IF(color_Celda(E244)=12106214,"ROSA",IF(color_Celda(E244)=65535,"AMARILLO",IF(color_Celda(E244)=5296274,"VERDE",IF(color_Celda(E244)=16777215,"BLANCO","NO SE"))))</f>
        <v>ROSA</v>
      </c>
      <c r="W244" s="63"/>
      <c r="X244" s="63"/>
      <c r="Y244" s="63"/>
      <c r="Z244" s="118" t="s">
        <v>748</v>
      </c>
      <c r="AA244" s="268"/>
      <c r="AB244" s="300"/>
      <c r="AC244" s="324"/>
    </row>
    <row r="245" spans="1:29" ht="60" customHeight="1">
      <c r="A245" s="7">
        <v>247</v>
      </c>
      <c r="B245" s="65">
        <v>45090</v>
      </c>
      <c r="C245" s="63" t="s">
        <v>73</v>
      </c>
      <c r="D245" s="63" t="s">
        <v>1197</v>
      </c>
      <c r="E245" s="64" t="s">
        <v>1215</v>
      </c>
      <c r="F245" s="63">
        <v>2</v>
      </c>
      <c r="G245" s="63" t="s">
        <v>1433</v>
      </c>
      <c r="H245" s="208">
        <v>45098</v>
      </c>
      <c r="I245" s="70" t="s">
        <v>1206</v>
      </c>
      <c r="J245" s="65" t="s">
        <v>31</v>
      </c>
      <c r="K245" s="7">
        <f>IFERROR(VLOOKUP(J245,Jueces!$A$1:$B$11,2,FALSE),"")</f>
        <v>2</v>
      </c>
      <c r="L245" s="63" t="s">
        <v>809</v>
      </c>
      <c r="M245" s="63" t="s">
        <v>712</v>
      </c>
      <c r="N245" s="63" t="s">
        <v>1156</v>
      </c>
      <c r="O245" s="78" t="str">
        <f ca="1">IF(H245&lt;&gt;"",IF(H245&lt;=TODAY(),"SI","NO"),"LIMBO")</f>
        <v>SI</v>
      </c>
      <c r="P245" s="78" t="str">
        <f>IF($P$1=H245,"DIASOL", "DIANOSOL")</f>
        <v>DIANOSOL</v>
      </c>
      <c r="Q245" s="63" t="s">
        <v>902</v>
      </c>
      <c r="R245" s="7" t="str">
        <f>VLOOKUP($Q245,Resultados!$A$1:$B$49,2,FALSE)</f>
        <v>Juicio Abreviado</v>
      </c>
      <c r="S245" s="63" t="s">
        <v>1225</v>
      </c>
      <c r="T245" s="81" t="str">
        <f>IF(G245=$J$1,"SI","NO")</f>
        <v>NO</v>
      </c>
      <c r="U245" s="81"/>
      <c r="V245" s="7" t="str">
        <f ca="1">IF(color_Celda(E245)=12106214,"ROSA",IF(color_Celda(E245)=65535,"AMARILLO",IF(color_Celda(E245)=5296274,"VERDE",IF(color_Celda(E245)=16777215,"BLANCO","NO SE"))))</f>
        <v>ROSA</v>
      </c>
      <c r="W245" s="63" t="s">
        <v>1226</v>
      </c>
      <c r="X245" s="63" t="s">
        <v>1229</v>
      </c>
      <c r="Y245" s="63"/>
      <c r="Z245" s="118" t="s">
        <v>743</v>
      </c>
      <c r="AA245" s="268"/>
      <c r="AB245" s="300"/>
      <c r="AC245" s="324"/>
    </row>
    <row r="246" spans="1:29" ht="60" customHeight="1">
      <c r="A246" s="7">
        <v>242</v>
      </c>
      <c r="B246" s="65">
        <v>45090</v>
      </c>
      <c r="C246" s="70" t="s">
        <v>73</v>
      </c>
      <c r="D246" s="63" t="s">
        <v>1110</v>
      </c>
      <c r="E246" s="64" t="s">
        <v>1198</v>
      </c>
      <c r="F246" s="63">
        <v>2</v>
      </c>
      <c r="G246" s="63" t="s">
        <v>283</v>
      </c>
      <c r="H246" s="208">
        <v>45099</v>
      </c>
      <c r="I246" s="63" t="s">
        <v>73</v>
      </c>
      <c r="J246" s="65" t="s">
        <v>31</v>
      </c>
      <c r="K246" s="7">
        <f>IFERROR(VLOOKUP(J246,Jueces!$A$1:$B$11,2,FALSE),"")</f>
        <v>2</v>
      </c>
      <c r="L246" s="63" t="s">
        <v>406</v>
      </c>
      <c r="M246" s="63" t="s">
        <v>171</v>
      </c>
      <c r="N246" s="63" t="s">
        <v>577</v>
      </c>
      <c r="O246" s="78" t="str">
        <f ca="1">IF(H246&lt;&gt;"",IF(H246&lt;=TODAY(),"SI","NO"),"LIMBO")</f>
        <v>SI</v>
      </c>
      <c r="P246" s="78" t="str">
        <f>IF($P$1=H246,"DIASOL", "DIANOSOL")</f>
        <v>DIANOSOL</v>
      </c>
      <c r="Q246" s="63" t="s">
        <v>151</v>
      </c>
      <c r="R246" s="7" t="str">
        <f>VLOOKUP($Q246,Resultados!$A$1:$B$49,2,FALSE)</f>
        <v>Prisión Preventiva</v>
      </c>
      <c r="S246" s="63" t="s">
        <v>1007</v>
      </c>
      <c r="T246" s="81" t="str">
        <f>IF(G246=$J$1,"SI","NO")</f>
        <v>NO</v>
      </c>
      <c r="U246" s="81"/>
      <c r="V246" s="7" t="str">
        <f ca="1">IF(color_Celda(E246)=12106214,"ROSA",IF(color_Celda(E246)=65535,"AMARILLO",IF(color_Celda(E246)=5296274,"VERDE",IF(color_Celda(E246)=16777215,"BLANCO","NO SE"))))</f>
        <v>ROSA</v>
      </c>
      <c r="W246" s="63" t="s">
        <v>1248</v>
      </c>
      <c r="X246" s="63" t="s">
        <v>1249</v>
      </c>
      <c r="Y246" s="63"/>
      <c r="Z246" s="118" t="s">
        <v>1038</v>
      </c>
      <c r="AA246" s="268" t="s">
        <v>1187</v>
      </c>
      <c r="AB246" s="300" t="s">
        <v>1169</v>
      </c>
      <c r="AC246" s="324"/>
    </row>
    <row r="247" spans="1:29" ht="60" customHeight="1">
      <c r="A247" s="7">
        <v>248</v>
      </c>
      <c r="B247" s="65">
        <v>45090</v>
      </c>
      <c r="C247" s="63" t="s">
        <v>73</v>
      </c>
      <c r="D247" s="63" t="s">
        <v>1118</v>
      </c>
      <c r="E247" s="64" t="s">
        <v>1113</v>
      </c>
      <c r="F247" s="63">
        <v>2</v>
      </c>
      <c r="G247" s="63" t="s">
        <v>43</v>
      </c>
      <c r="H247" s="208">
        <v>45099</v>
      </c>
      <c r="I247" s="63" t="s">
        <v>73</v>
      </c>
      <c r="J247" s="65" t="s">
        <v>78</v>
      </c>
      <c r="K247" s="7">
        <f>IFERROR(VLOOKUP(J247,Jueces!$A$1:$B$11,2,FALSE),"")</f>
        <v>8</v>
      </c>
      <c r="L247" s="63" t="s">
        <v>789</v>
      </c>
      <c r="M247" s="63" t="s">
        <v>1285</v>
      </c>
      <c r="N247" s="63" t="s">
        <v>1274</v>
      </c>
      <c r="O247" s="63" t="str">
        <f ca="1">IF(H247&lt;&gt;"",IF(H247&lt;=TODAY(),"SI","NO"),"LIMBO")</f>
        <v>SI</v>
      </c>
      <c r="P247" s="63" t="str">
        <f>IF($P$1=H247,"DIASOL", "DIANOSOL")</f>
        <v>DIANOSOL</v>
      </c>
      <c r="Q247" s="63" t="s">
        <v>902</v>
      </c>
      <c r="R247" s="7" t="str">
        <f>VLOOKUP($Q247,Resultados!$A$1:$B$49,2,FALSE)</f>
        <v>Juicio Abreviado</v>
      </c>
      <c r="S247" s="63" t="s">
        <v>1234</v>
      </c>
      <c r="T247" s="72" t="str">
        <f>IF(G247=$J$1,"SI","NO")</f>
        <v>NO</v>
      </c>
      <c r="U247" s="72"/>
      <c r="V247" s="7" t="str">
        <f ca="1">IF(color_Celda(E247)=12106214,"ROSA",IF(color_Celda(E247)=65535,"AMARILLO",IF(color_Celda(E247)=5296274,"VERDE",IF(color_Celda(E247)=16777215,"BLANCO","NO SE"))))</f>
        <v>ROSA</v>
      </c>
      <c r="W247" s="63" t="s">
        <v>1275</v>
      </c>
      <c r="X247" s="63" t="s">
        <v>1276</v>
      </c>
      <c r="Y247" s="63"/>
      <c r="Z247" s="268" t="s">
        <v>1039</v>
      </c>
      <c r="AA247" s="268" t="s">
        <v>1168</v>
      </c>
      <c r="AB247" s="300" t="s">
        <v>1171</v>
      </c>
      <c r="AC247" s="324"/>
    </row>
    <row r="248" spans="1:29" ht="60" customHeight="1">
      <c r="A248" s="7">
        <v>243</v>
      </c>
      <c r="B248" s="65">
        <v>45090</v>
      </c>
      <c r="C248" s="63" t="s">
        <v>73</v>
      </c>
      <c r="D248" s="63" t="s">
        <v>1116</v>
      </c>
      <c r="E248" s="64" t="s">
        <v>1111</v>
      </c>
      <c r="F248" s="63">
        <v>2</v>
      </c>
      <c r="G248" s="63" t="s">
        <v>1433</v>
      </c>
      <c r="H248" s="208">
        <v>45099</v>
      </c>
      <c r="I248" s="70" t="s">
        <v>1083</v>
      </c>
      <c r="J248" s="65" t="s">
        <v>31</v>
      </c>
      <c r="K248" s="7">
        <f>IFERROR(VLOOKUP(J248,Jueces!$A$1:$B$11,2,FALSE),"")</f>
        <v>2</v>
      </c>
      <c r="L248" s="63" t="s">
        <v>806</v>
      </c>
      <c r="M248" s="63" t="s">
        <v>712</v>
      </c>
      <c r="N248" s="63" t="s">
        <v>1271</v>
      </c>
      <c r="O248" s="63" t="str">
        <f ca="1">IF(H248&lt;&gt;"",IF(H248&lt;=TODAY(),"SI","NO"),"LIMBO")</f>
        <v>SI</v>
      </c>
      <c r="P248" s="63" t="str">
        <f>IF($P$1=H248,"DIASOL", "DIANOSOL")</f>
        <v>DIANOSOL</v>
      </c>
      <c r="Q248" s="63" t="s">
        <v>151</v>
      </c>
      <c r="R248" s="7" t="str">
        <f>VLOOKUP($Q248,Resultados!$A$1:$B$49,2,FALSE)</f>
        <v>Prisión Preventiva</v>
      </c>
      <c r="S248" s="63" t="s">
        <v>1129</v>
      </c>
      <c r="T248" s="72" t="str">
        <f>IF(G248=$J$1,"SI","NO")</f>
        <v>NO</v>
      </c>
      <c r="U248" s="72"/>
      <c r="V248" s="7" t="str">
        <f ca="1">IF(color_Celda(E248)=12106214,"ROSA",IF(color_Celda(E248)=65535,"AMARILLO",IF(color_Celda(E248)=5296274,"VERDE",IF(color_Celda(E248)=16777215,"BLANCO","NO SE"))))</f>
        <v>ROSA</v>
      </c>
      <c r="W248" s="63" t="s">
        <v>1272</v>
      </c>
      <c r="X248" s="63" t="s">
        <v>1273</v>
      </c>
      <c r="Y248" s="63"/>
      <c r="Z248" s="268" t="s">
        <v>748</v>
      </c>
      <c r="AA248" s="268" t="s">
        <v>1166</v>
      </c>
      <c r="AB248" s="300" t="s">
        <v>1169</v>
      </c>
      <c r="AC248" s="324"/>
    </row>
    <row r="249" spans="1:29" ht="60" customHeight="1">
      <c r="A249" s="63">
        <v>244</v>
      </c>
      <c r="B249" s="65">
        <v>45090</v>
      </c>
      <c r="C249" s="63" t="s">
        <v>73</v>
      </c>
      <c r="D249" s="63" t="s">
        <v>1117</v>
      </c>
      <c r="E249" s="64" t="s">
        <v>1137</v>
      </c>
      <c r="F249" s="63">
        <v>2</v>
      </c>
      <c r="G249" s="63" t="s">
        <v>43</v>
      </c>
      <c r="H249" s="208">
        <v>45100</v>
      </c>
      <c r="I249" s="63" t="s">
        <v>73</v>
      </c>
      <c r="J249" s="65" t="s">
        <v>31</v>
      </c>
      <c r="K249" s="7">
        <f>IFERROR(VLOOKUP(J249,Jueces!$A$1:$B$11,2,FALSE),"")</f>
        <v>2</v>
      </c>
      <c r="L249" s="63" t="s">
        <v>569</v>
      </c>
      <c r="M249" s="63" t="s">
        <v>1289</v>
      </c>
      <c r="N249" s="63" t="s">
        <v>1290</v>
      </c>
      <c r="O249" s="63" t="str">
        <f ca="1">IF(H249&lt;&gt;"",IF(H249&lt;=TODAY(),"SI","NO"),"LIMBO")</f>
        <v>SI</v>
      </c>
      <c r="P249" s="63" t="str">
        <f>IF($P$1=H249,"DIASOL", "DIANOSOL")</f>
        <v>DIANOSOL</v>
      </c>
      <c r="Q249" s="63" t="s">
        <v>903</v>
      </c>
      <c r="R249" s="7" t="str">
        <f>VLOOKUP($Q249,Resultados!$A$1:$B$49,2,FALSE)</f>
        <v>Juicio Abreviado</v>
      </c>
      <c r="S249" s="70" t="s">
        <v>1291</v>
      </c>
      <c r="T249" s="72" t="str">
        <f>IF(G249=$J$1,"SI","NO")</f>
        <v>NO</v>
      </c>
      <c r="U249" s="72"/>
      <c r="V249" s="7" t="str">
        <f ca="1">IF(color_Celda(E249)=12106214,"ROSA",IF(color_Celda(E249)=65535,"AMARILLO",IF(color_Celda(E249)=5296274,"VERDE",IF(color_Celda(E249)=16777215,"BLANCO","NO SE"))))</f>
        <v>ROSA</v>
      </c>
      <c r="W249" s="63" t="s">
        <v>1292</v>
      </c>
      <c r="X249" s="63"/>
      <c r="Y249" s="63"/>
      <c r="Z249" s="268" t="s">
        <v>743</v>
      </c>
      <c r="AA249" s="68"/>
      <c r="AB249" s="268" t="s">
        <v>1172</v>
      </c>
      <c r="AC249" s="324"/>
    </row>
    <row r="250" spans="1:29" ht="60" customHeight="1">
      <c r="A250" s="63">
        <v>245</v>
      </c>
      <c r="B250" s="65">
        <v>45090</v>
      </c>
      <c r="C250" s="63" t="s">
        <v>73</v>
      </c>
      <c r="D250" s="63" t="s">
        <v>1115</v>
      </c>
      <c r="E250" s="64" t="s">
        <v>1112</v>
      </c>
      <c r="F250" s="63">
        <v>2</v>
      </c>
      <c r="G250" s="63" t="s">
        <v>283</v>
      </c>
      <c r="H250" s="208">
        <v>45100</v>
      </c>
      <c r="I250" s="63" t="s">
        <v>73</v>
      </c>
      <c r="J250" s="65" t="s">
        <v>78</v>
      </c>
      <c r="K250" s="7">
        <f>IFERROR(VLOOKUP(J250,Jueces!$A$1:$B$11,2,FALSE),"")</f>
        <v>8</v>
      </c>
      <c r="L250" s="63" t="s">
        <v>810</v>
      </c>
      <c r="M250" s="63" t="s">
        <v>712</v>
      </c>
      <c r="N250" s="63" t="s">
        <v>1286</v>
      </c>
      <c r="O250" s="63" t="str">
        <f ca="1">IF(H250&lt;&gt;"",IF(H250&lt;=TODAY(),"SI","NO"),"LIMBO")</f>
        <v>SI</v>
      </c>
      <c r="P250" s="63" t="str">
        <f>IF($P$1=H250,"DIASOL", "DIANOSOL")</f>
        <v>DIANOSOL</v>
      </c>
      <c r="Q250" s="63" t="s">
        <v>902</v>
      </c>
      <c r="R250" s="7" t="str">
        <f>VLOOKUP($Q250,Resultados!$A$1:$B$49,2,FALSE)</f>
        <v>Juicio Abreviado</v>
      </c>
      <c r="S250" s="63" t="s">
        <v>1287</v>
      </c>
      <c r="T250" s="72" t="str">
        <f>IF(G250=$J$1,"SI","NO")</f>
        <v>NO</v>
      </c>
      <c r="U250" s="72"/>
      <c r="V250" s="7" t="str">
        <f ca="1">IF(color_Celda(E250)=12106214,"ROSA",IF(color_Celda(E250)=65535,"AMARILLO",IF(color_Celda(E250)=5296274,"VERDE",IF(color_Celda(E250)=16777215,"BLANCO","NO SE"))))</f>
        <v>ROSA</v>
      </c>
      <c r="W250" s="63" t="s">
        <v>1006</v>
      </c>
      <c r="X250" s="63" t="s">
        <v>1288</v>
      </c>
      <c r="Y250" s="63"/>
      <c r="Z250" s="268" t="s">
        <v>1038</v>
      </c>
      <c r="AA250" s="268" t="s">
        <v>1167</v>
      </c>
      <c r="AB250" s="268" t="s">
        <v>1170</v>
      </c>
      <c r="AC250" s="324"/>
    </row>
    <row r="251" spans="1:29" ht="60" customHeight="1">
      <c r="A251" s="63">
        <v>251</v>
      </c>
      <c r="B251" s="65">
        <v>45090</v>
      </c>
      <c r="C251" s="70">
        <v>0.42708333333333331</v>
      </c>
      <c r="D251" s="63" t="s">
        <v>1140</v>
      </c>
      <c r="E251" s="64" t="s">
        <v>1139</v>
      </c>
      <c r="F251" s="63">
        <v>2</v>
      </c>
      <c r="G251" s="63" t="s">
        <v>32</v>
      </c>
      <c r="H251" s="208">
        <v>45100</v>
      </c>
      <c r="I251" s="63" t="s">
        <v>1083</v>
      </c>
      <c r="J251" s="65" t="s">
        <v>78</v>
      </c>
      <c r="K251" s="7">
        <f>IFERROR(VLOOKUP(J251,Jueces!$A$1:$B$11,2,FALSE),"")</f>
        <v>8</v>
      </c>
      <c r="L251" s="63" t="s">
        <v>806</v>
      </c>
      <c r="M251" s="63" t="s">
        <v>712</v>
      </c>
      <c r="N251" s="63" t="s">
        <v>1295</v>
      </c>
      <c r="O251" s="63" t="str">
        <f ca="1">IF(H251&lt;&gt;"",IF(H251&lt;=TODAY(),"SI","NO"),"LIMBO")</f>
        <v>SI</v>
      </c>
      <c r="P251" s="63" t="str">
        <f>IF($P$1=H251,"DIASOL", "DIANOSOL")</f>
        <v>DIANOSOL</v>
      </c>
      <c r="Q251" s="63" t="s">
        <v>902</v>
      </c>
      <c r="R251" s="7" t="str">
        <f>VLOOKUP($Q251,Resultados!$A$1:$B$49,2,FALSE)</f>
        <v>Juicio Abreviado</v>
      </c>
      <c r="S251" s="63" t="s">
        <v>1294</v>
      </c>
      <c r="T251" s="72" t="str">
        <f>IF(G251=$J$1,"SI","NO")</f>
        <v>NO</v>
      </c>
      <c r="U251" s="72"/>
      <c r="V251" s="7" t="str">
        <f ca="1">IF(color_Celda(E251)=12106214,"ROSA",IF(color_Celda(E251)=65535,"AMARILLO",IF(color_Celda(E251)=5296274,"VERDE",IF(color_Celda(E251)=16777215,"BLANCO","NO SE"))))</f>
        <v>ROSA</v>
      </c>
      <c r="W251" s="63" t="s">
        <v>1248</v>
      </c>
      <c r="X251" s="63" t="s">
        <v>1296</v>
      </c>
      <c r="Y251" s="63"/>
      <c r="Z251" s="268" t="s">
        <v>1039</v>
      </c>
      <c r="AA251" s="268" t="s">
        <v>1167</v>
      </c>
      <c r="AB251" s="268" t="s">
        <v>1169</v>
      </c>
      <c r="AC251" s="324"/>
    </row>
    <row r="252" spans="1:29" ht="60" customHeight="1">
      <c r="A252" s="63">
        <v>253</v>
      </c>
      <c r="B252" s="65">
        <v>45091</v>
      </c>
      <c r="C252" s="70">
        <v>0.35972222222222222</v>
      </c>
      <c r="D252" s="63" t="s">
        <v>1150</v>
      </c>
      <c r="E252" s="64" t="s">
        <v>1149</v>
      </c>
      <c r="F252" s="63">
        <v>2</v>
      </c>
      <c r="G252" s="63" t="s">
        <v>1434</v>
      </c>
      <c r="H252" s="208">
        <v>45100</v>
      </c>
      <c r="I252" s="63" t="s">
        <v>1083</v>
      </c>
      <c r="J252" s="65" t="s">
        <v>31</v>
      </c>
      <c r="K252" s="7">
        <f>IFERROR(VLOOKUP(J252,Jueces!$A$1:$B$11,2,FALSE),"")</f>
        <v>2</v>
      </c>
      <c r="L252" s="63" t="s">
        <v>807</v>
      </c>
      <c r="M252" s="63" t="s">
        <v>692</v>
      </c>
      <c r="N252" s="63" t="s">
        <v>1297</v>
      </c>
      <c r="O252" s="63" t="str">
        <f ca="1">IF(H252&lt;&gt;"",IF(H252&lt;=TODAY(),"SI","NO"),"LIMBO")</f>
        <v>SI</v>
      </c>
      <c r="P252" s="63" t="str">
        <f>IF($P$1=H252,"DIASOL", "DIANOSOL")</f>
        <v>DIANOSOL</v>
      </c>
      <c r="Q252" s="63" t="s">
        <v>902</v>
      </c>
      <c r="R252" s="7" t="str">
        <f>VLOOKUP($Q252,Resultados!$A$1:$B$49,2,FALSE)</f>
        <v>Juicio Abreviado</v>
      </c>
      <c r="S252" s="63" t="s">
        <v>1298</v>
      </c>
      <c r="T252" s="72" t="str">
        <f>IF(G252=$J$1,"SI","NO")</f>
        <v>NO</v>
      </c>
      <c r="U252" s="72"/>
      <c r="V252" s="7" t="str">
        <f ca="1">IF(color_Celda(E252)=12106214,"ROSA",IF(color_Celda(E252)=65535,"AMARILLO",IF(color_Celda(E252)=5296274,"VERDE",IF(color_Celda(E252)=16777215,"BLANCO","NO SE"))))</f>
        <v>ROSA</v>
      </c>
      <c r="W252" s="70">
        <v>0.40902777777777777</v>
      </c>
      <c r="X252" s="63"/>
      <c r="Y252" s="63"/>
      <c r="Z252" s="268" t="s">
        <v>748</v>
      </c>
      <c r="AA252" s="268" t="s">
        <v>1165</v>
      </c>
      <c r="AB252" s="268" t="s">
        <v>1171</v>
      </c>
      <c r="AC252" s="324"/>
    </row>
    <row r="253" spans="1:29" ht="60" customHeight="1">
      <c r="A253" s="63">
        <v>264</v>
      </c>
      <c r="B253" s="65">
        <v>45099</v>
      </c>
      <c r="C253" s="70">
        <v>0.49583333333333335</v>
      </c>
      <c r="D253" s="63" t="s">
        <v>1277</v>
      </c>
      <c r="E253" s="64" t="s">
        <v>3024</v>
      </c>
      <c r="F253" s="63">
        <v>2</v>
      </c>
      <c r="G253" s="63" t="s">
        <v>1433</v>
      </c>
      <c r="H253" s="208">
        <v>45100</v>
      </c>
      <c r="I253" s="63" t="s">
        <v>1206</v>
      </c>
      <c r="J253" s="65" t="s">
        <v>31</v>
      </c>
      <c r="K253" s="7">
        <f>IFERROR(VLOOKUP(J253,Jueces!$A$1:$B$11,2,FALSE),"")</f>
        <v>2</v>
      </c>
      <c r="L253" s="63" t="s">
        <v>805</v>
      </c>
      <c r="M253" s="63" t="s">
        <v>1302</v>
      </c>
      <c r="N253" s="63" t="s">
        <v>1304</v>
      </c>
      <c r="O253" s="63" t="str">
        <f ca="1">IF(H253&lt;&gt;"",IF(H253&lt;=TODAY(),"SI","NO"),"LIMBO")</f>
        <v>SI</v>
      </c>
      <c r="P253" s="63" t="str">
        <f>IF($P$1=H253,"DIASOL", "DIANOSOL")</f>
        <v>DIANOSOL</v>
      </c>
      <c r="Q253" s="63" t="s">
        <v>907</v>
      </c>
      <c r="R253" s="7" t="str">
        <f>VLOOKUP($Q253,Resultados!$A$1:$B$49,2,FALSE)</f>
        <v>Suspensión de juicio a prueba</v>
      </c>
      <c r="S253" s="63" t="s">
        <v>1305</v>
      </c>
      <c r="T253" s="72" t="str">
        <f>IF(G253=$J$1,"SI","NO")</f>
        <v>NO</v>
      </c>
      <c r="U253" s="72"/>
      <c r="V253" s="7" t="str">
        <f ca="1">IF(color_Celda(E253)=12106214,"ROSA",IF(color_Celda(E253)=65535,"AMARILLO",IF(color_Celda(E253)=5296274,"VERDE",IF(color_Celda(E253)=16777215,"BLANCO","NO SE"))))</f>
        <v>ROSA</v>
      </c>
      <c r="W253" s="63" t="s">
        <v>1236</v>
      </c>
      <c r="X253" s="63" t="s">
        <v>1306</v>
      </c>
      <c r="Y253" s="63"/>
      <c r="Z253" s="268" t="s">
        <v>743</v>
      </c>
      <c r="AA253" s="268" t="s">
        <v>743</v>
      </c>
      <c r="AB253" s="268" t="s">
        <v>1173</v>
      </c>
      <c r="AC253" s="324"/>
    </row>
    <row r="254" spans="1:29" ht="60" customHeight="1">
      <c r="A254" s="63">
        <v>240</v>
      </c>
      <c r="B254" s="65">
        <v>45089</v>
      </c>
      <c r="C254" s="70">
        <v>0.45833333333333331</v>
      </c>
      <c r="D254" s="63" t="s">
        <v>1105</v>
      </c>
      <c r="E254" s="64" t="s">
        <v>1348</v>
      </c>
      <c r="F254" s="63">
        <v>2</v>
      </c>
      <c r="G254" s="63" t="s">
        <v>283</v>
      </c>
      <c r="H254" s="208">
        <v>45103</v>
      </c>
      <c r="I254" s="70" t="s">
        <v>73</v>
      </c>
      <c r="J254" s="65" t="s">
        <v>33</v>
      </c>
      <c r="K254" s="7">
        <f>IFERROR(VLOOKUP(J254,Jueces!$A$1:$B$11,2,FALSE),"")</f>
        <v>4</v>
      </c>
      <c r="L254" s="63" t="s">
        <v>809</v>
      </c>
      <c r="M254" s="63" t="s">
        <v>711</v>
      </c>
      <c r="N254" s="63" t="s">
        <v>1356</v>
      </c>
      <c r="O254" s="63" t="str">
        <f ca="1">IF(H254&lt;&gt;"",IF(H254&lt;=TODAY(),"SI","NO"),"LIMBO")</f>
        <v>SI</v>
      </c>
      <c r="P254" s="63" t="str">
        <f>IF($P$1=H254,"DIASOL", "DIANOSOL")</f>
        <v>DIANOSOL</v>
      </c>
      <c r="Q254" s="63" t="s">
        <v>151</v>
      </c>
      <c r="R254" s="7" t="str">
        <f>VLOOKUP($Q254,Resultados!$A$1:$B$49,2,FALSE)</f>
        <v>Prisión Preventiva</v>
      </c>
      <c r="S254" s="70">
        <v>0.35416666666666669</v>
      </c>
      <c r="T254" s="72" t="str">
        <f>IF(G254=$J$1,"SI","NO")</f>
        <v>NO</v>
      </c>
      <c r="U254" s="72"/>
      <c r="V254" s="7" t="str">
        <f ca="1">IF(color_Celda(E254)=12106214,"ROSA",IF(color_Celda(E254)=65535,"AMARILLO",IF(color_Celda(E254)=5296274,"VERDE",IF(color_Celda(E254)=16777215,"BLANCO","NO SE"))))</f>
        <v>ROSA</v>
      </c>
      <c r="W254" s="70">
        <v>0.375</v>
      </c>
      <c r="X254" s="63" t="s">
        <v>1333</v>
      </c>
      <c r="Y254" s="63"/>
      <c r="Z254" s="268" t="s">
        <v>770</v>
      </c>
      <c r="AA254" s="268" t="s">
        <v>743</v>
      </c>
      <c r="AB254" s="268" t="s">
        <v>1172</v>
      </c>
      <c r="AC254" s="324"/>
    </row>
    <row r="255" spans="1:29" ht="60" customHeight="1">
      <c r="A255" s="63">
        <v>252</v>
      </c>
      <c r="B255" s="65">
        <v>45090</v>
      </c>
      <c r="C255" s="70">
        <v>0.47916666666666669</v>
      </c>
      <c r="D255" s="63" t="s">
        <v>1147</v>
      </c>
      <c r="E255" s="64" t="s">
        <v>1148</v>
      </c>
      <c r="F255" s="63">
        <v>2</v>
      </c>
      <c r="G255" s="63" t="s">
        <v>29</v>
      </c>
      <c r="H255" s="208">
        <v>45103</v>
      </c>
      <c r="I255" s="63" t="s">
        <v>73</v>
      </c>
      <c r="J255" s="65" t="s">
        <v>31</v>
      </c>
      <c r="K255" s="7">
        <f>IFERROR(VLOOKUP(J255,Jueces!$A$1:$B$11,2,FALSE),"")</f>
        <v>2</v>
      </c>
      <c r="L255" s="63" t="s">
        <v>805</v>
      </c>
      <c r="M255" s="63" t="s">
        <v>1175</v>
      </c>
      <c r="N255" s="63" t="s">
        <v>1358</v>
      </c>
      <c r="O255" s="63" t="str">
        <f ca="1">IF(H255&lt;&gt;"",IF(H255&lt;=TODAY(),"SI","NO"),"LIMBO")</f>
        <v>SI</v>
      </c>
      <c r="P255" s="63" t="str">
        <f>IF($P$1=H255,"DIASOL", "DIANOSOL")</f>
        <v>DIANOSOL</v>
      </c>
      <c r="Q255" s="63" t="s">
        <v>902</v>
      </c>
      <c r="R255" s="7" t="str">
        <f>VLOOKUP($Q255,Resultados!$A$1:$B$49,2,FALSE)</f>
        <v>Juicio Abreviado</v>
      </c>
      <c r="S255" s="70">
        <v>0.36319444444444443</v>
      </c>
      <c r="T255" s="72" t="str">
        <f>IF(G255=$J$1,"SI","NO")</f>
        <v>NO</v>
      </c>
      <c r="U255" s="72"/>
      <c r="V255" s="7" t="str">
        <f ca="1">IF(color_Celda(E255)=12106214,"ROSA",IF(color_Celda(E255)=65535,"AMARILLO",IF(color_Celda(E255)=5296274,"VERDE",IF(color_Celda(E255)=16777215,"BLANCO","NO SE"))))</f>
        <v>ROSA</v>
      </c>
      <c r="W255" s="70" t="s">
        <v>76</v>
      </c>
      <c r="X255" s="63" t="s">
        <v>1357</v>
      </c>
      <c r="Y255" s="63"/>
      <c r="Z255" s="268" t="s">
        <v>1038</v>
      </c>
      <c r="AA255" s="268" t="s">
        <v>1167</v>
      </c>
      <c r="AB255" s="268" t="s">
        <v>1170</v>
      </c>
      <c r="AC255" s="324"/>
    </row>
    <row r="256" spans="1:29" ht="60" customHeight="1">
      <c r="A256" s="63">
        <v>264</v>
      </c>
      <c r="B256" s="65">
        <v>45098</v>
      </c>
      <c r="C256" s="70">
        <v>0.38263888888888892</v>
      </c>
      <c r="D256" s="63" t="s">
        <v>1208</v>
      </c>
      <c r="E256" s="64" t="s">
        <v>1349</v>
      </c>
      <c r="F256" s="63">
        <v>2</v>
      </c>
      <c r="G256" s="63" t="s">
        <v>32</v>
      </c>
      <c r="H256" s="208">
        <v>45103</v>
      </c>
      <c r="I256" s="63" t="s">
        <v>73</v>
      </c>
      <c r="J256" s="65" t="s">
        <v>1217</v>
      </c>
      <c r="K256" s="7">
        <f>IFERROR(VLOOKUP(J256,Jueces!$A$1:$B$11,2,FALSE),"")</f>
        <v>7</v>
      </c>
      <c r="L256" s="63" t="s">
        <v>810</v>
      </c>
      <c r="M256" s="63" t="s">
        <v>1329</v>
      </c>
      <c r="N256" s="63" t="s">
        <v>1327</v>
      </c>
      <c r="O256" s="63" t="str">
        <f ca="1">IF(H256&lt;&gt;"",IF(H256&lt;=TODAY(),"SI","NO"),"LIMBO")</f>
        <v>SI</v>
      </c>
      <c r="P256" s="63" t="str">
        <f>IF($P$1=H256,"DIASOL", "DIANOSOL")</f>
        <v>DIANOSOL</v>
      </c>
      <c r="Q256" s="63" t="s">
        <v>902</v>
      </c>
      <c r="R256" s="7" t="str">
        <f>VLOOKUP($Q256,Resultados!$A$1:$B$49,2,FALSE)</f>
        <v>Juicio Abreviado</v>
      </c>
      <c r="S256" s="63" t="s">
        <v>1328</v>
      </c>
      <c r="T256" s="72" t="str">
        <f>IF(G256=$J$1,"SI","NO")</f>
        <v>NO</v>
      </c>
      <c r="U256" s="72"/>
      <c r="V256" s="7" t="str">
        <f ca="1">IF(color_Celda(E256)=12106214,"ROSA",IF(color_Celda(E256)=65535,"AMARILLO",IF(color_Celda(E256)=5296274,"VERDE",IF(color_Celda(E256)=16777215,"BLANCO","NO SE"))))</f>
        <v>ROSA</v>
      </c>
      <c r="W256" s="70">
        <v>0.36319444444444443</v>
      </c>
      <c r="X256" s="63" t="s">
        <v>1359</v>
      </c>
      <c r="Y256" s="63"/>
      <c r="Z256" s="268" t="s">
        <v>1039</v>
      </c>
      <c r="AA256" s="367"/>
      <c r="AB256" s="268" t="s">
        <v>1169</v>
      </c>
      <c r="AC256" s="324"/>
    </row>
    <row r="257" spans="1:29" ht="60" customHeight="1">
      <c r="A257" s="63">
        <v>265</v>
      </c>
      <c r="B257" s="65">
        <v>45099</v>
      </c>
      <c r="C257" s="70">
        <v>0.33333333333333331</v>
      </c>
      <c r="D257" s="325" t="s">
        <v>1244</v>
      </c>
      <c r="E257" s="64" t="s">
        <v>1245</v>
      </c>
      <c r="F257" s="63">
        <v>2</v>
      </c>
      <c r="G257" s="63" t="s">
        <v>1433</v>
      </c>
      <c r="H257" s="208">
        <v>45103</v>
      </c>
      <c r="I257" s="63" t="s">
        <v>73</v>
      </c>
      <c r="J257" s="65" t="s">
        <v>1218</v>
      </c>
      <c r="K257" s="7" t="s">
        <v>1341</v>
      </c>
      <c r="L257" s="63" t="s">
        <v>796</v>
      </c>
      <c r="M257" s="63" t="s">
        <v>1283</v>
      </c>
      <c r="N257" s="63" t="s">
        <v>1355</v>
      </c>
      <c r="O257" s="63" t="str">
        <f ca="1">IF(H257&lt;&gt;"",IF(H257&lt;=TODAY(),"SI","NO"),"LIMBO")</f>
        <v>SI</v>
      </c>
      <c r="P257" s="63" t="str">
        <f>IF($P$1=H257,"DIASOL", "DIANOSOL")</f>
        <v>DIANOSOL</v>
      </c>
      <c r="Q257" s="63" t="s">
        <v>897</v>
      </c>
      <c r="R257" s="7" t="str">
        <f>VLOOKUP($Q257,Resultados!$A$1:$B$49,2,FALSE)</f>
        <v>Libertad</v>
      </c>
      <c r="S257" s="63" t="s">
        <v>1336</v>
      </c>
      <c r="T257" s="72" t="str">
        <f>IF(G257=$J$1,"SI","NO")</f>
        <v>NO</v>
      </c>
      <c r="U257" s="72"/>
      <c r="V257" s="7" t="str">
        <f ca="1">IF(color_Celda(E257)=12106214,"ROSA",IF(color_Celda(E257)=65535,"AMARILLO",IF(color_Celda(E257)=5296274,"VERDE",IF(color_Celda(E257)=16777215,"BLANCO","NO SE"))))</f>
        <v>ROSA</v>
      </c>
      <c r="W257" s="70">
        <v>0.36388888888888887</v>
      </c>
      <c r="X257" s="63"/>
      <c r="Y257" s="63"/>
      <c r="Z257" s="268" t="s">
        <v>748</v>
      </c>
      <c r="AA257" s="268" t="s">
        <v>1165</v>
      </c>
      <c r="AB257" s="268" t="s">
        <v>1171</v>
      </c>
      <c r="AC257" s="324" t="s">
        <v>1792</v>
      </c>
    </row>
    <row r="258" spans="1:29" ht="60" customHeight="1">
      <c r="A258" s="63">
        <v>249</v>
      </c>
      <c r="B258" s="65">
        <v>45090</v>
      </c>
      <c r="C258" s="70">
        <v>0.42708333333333331</v>
      </c>
      <c r="D258" s="63" t="s">
        <v>1142</v>
      </c>
      <c r="E258" s="64" t="s">
        <v>1347</v>
      </c>
      <c r="F258" s="63">
        <v>2</v>
      </c>
      <c r="G258" s="63" t="s">
        <v>1434</v>
      </c>
      <c r="H258" s="208">
        <v>45103</v>
      </c>
      <c r="I258" s="63" t="s">
        <v>1083</v>
      </c>
      <c r="J258" s="65" t="s">
        <v>31</v>
      </c>
      <c r="K258" s="7">
        <f>IFERROR(VLOOKUP(J258,Jueces!$A$1:$B$11,2,FALSE),"")</f>
        <v>2</v>
      </c>
      <c r="L258" s="63" t="s">
        <v>809</v>
      </c>
      <c r="M258" s="63" t="s">
        <v>713</v>
      </c>
      <c r="N258" s="63" t="s">
        <v>1330</v>
      </c>
      <c r="O258" s="63" t="str">
        <f ca="1">IF(H258&lt;&gt;"",IF(H258&lt;=TODAY(),"SI","NO"),"LIMBO")</f>
        <v>SI</v>
      </c>
      <c r="P258" s="63" t="str">
        <f>IF($P$1=H258,"DIASOL", "DIANOSOL")</f>
        <v>DIANOSOL</v>
      </c>
      <c r="Q258" s="63" t="s">
        <v>902</v>
      </c>
      <c r="R258" s="7" t="str">
        <f>VLOOKUP($Q258,Resultados!$A$1:$B$49,2,FALSE)</f>
        <v>Juicio Abreviado</v>
      </c>
      <c r="S258" s="70" t="s">
        <v>1004</v>
      </c>
      <c r="T258" s="72" t="str">
        <f>IF(G258=$J$1,"SI","NO")</f>
        <v>NO</v>
      </c>
      <c r="U258" s="72"/>
      <c r="V258" s="7" t="str">
        <f ca="1">IF(color_Celda(E258)=12106214,"ROSA",IF(color_Celda(E258)=65535,"AMARILLO",IF(color_Celda(E258)=5296274,"VERDE",IF(color_Celda(E258)=16777215,"BLANCO","NO SE"))))</f>
        <v>ROSA</v>
      </c>
      <c r="W258" s="63" t="s">
        <v>1047</v>
      </c>
      <c r="X258" s="63" t="s">
        <v>1306</v>
      </c>
      <c r="Y258" s="63"/>
      <c r="Z258" s="268" t="s">
        <v>743</v>
      </c>
      <c r="AA258" s="268" t="s">
        <v>1165</v>
      </c>
      <c r="AB258" s="268" t="s">
        <v>1173</v>
      </c>
      <c r="AC258" s="324"/>
    </row>
    <row r="259" spans="1:29" ht="60" customHeight="1">
      <c r="A259" s="7">
        <v>258</v>
      </c>
      <c r="B259" s="19">
        <v>45092</v>
      </c>
      <c r="C259" s="7" t="s">
        <v>1189</v>
      </c>
      <c r="D259" s="7" t="s">
        <v>1190</v>
      </c>
      <c r="E259" s="40" t="s">
        <v>1346</v>
      </c>
      <c r="F259" s="7">
        <v>2</v>
      </c>
      <c r="G259" s="7" t="s">
        <v>1435</v>
      </c>
      <c r="H259" s="297">
        <v>45103</v>
      </c>
      <c r="I259" s="7" t="s">
        <v>77</v>
      </c>
      <c r="J259" s="19" t="s">
        <v>33</v>
      </c>
      <c r="K259" s="7">
        <f>IFERROR(VLOOKUP(J259,Jueces!$A$1:$B$11,2,FALSE),"")</f>
        <v>4</v>
      </c>
      <c r="L259" s="7" t="s">
        <v>811</v>
      </c>
      <c r="M259" s="7" t="s">
        <v>1329</v>
      </c>
      <c r="N259" s="7" t="s">
        <v>1331</v>
      </c>
      <c r="O259" s="7" t="str">
        <f ca="1">IF(H259&lt;&gt;"",IF(H259&lt;=TODAY(),"SI","NO"),"LIMBO")</f>
        <v>SI</v>
      </c>
      <c r="P259" s="7" t="str">
        <f>IF($P$1=H259,"DIASOL", "DIANOSOL")</f>
        <v>DIANOSOL</v>
      </c>
      <c r="Q259" s="7" t="s">
        <v>902</v>
      </c>
      <c r="R259" s="7" t="str">
        <f>VLOOKUP($Q259,Resultados!$A$1:$B$49,2,FALSE)</f>
        <v>Juicio Abreviado</v>
      </c>
      <c r="S259" s="15">
        <v>0.3923611111111111</v>
      </c>
      <c r="T259" s="68" t="str">
        <f>IF(G259=$J$1,"SI","NO")</f>
        <v>SI</v>
      </c>
      <c r="U259" s="68"/>
      <c r="V259" s="7" t="str">
        <f ca="1">IF(color_Celda(E259)=12106214,"ROSA",IF(color_Celda(E259)=65535,"AMARILLO",IF(color_Celda(E259)=5296274,"VERDE",IF(color_Celda(E259)=16777215,"BLANCO","NO SE"))))</f>
        <v>ROSA</v>
      </c>
      <c r="W259" s="7" t="s">
        <v>1332</v>
      </c>
      <c r="X259" s="7"/>
      <c r="Y259" s="7"/>
      <c r="Z259" s="268" t="s">
        <v>770</v>
      </c>
      <c r="AA259" s="268" t="s">
        <v>743</v>
      </c>
      <c r="AB259" s="268" t="s">
        <v>1172</v>
      </c>
      <c r="AC259" s="324"/>
    </row>
    <row r="260" spans="1:29" ht="60" customHeight="1">
      <c r="A260" s="63">
        <v>254</v>
      </c>
      <c r="B260" s="65">
        <v>45091</v>
      </c>
      <c r="C260" s="70">
        <v>0.45</v>
      </c>
      <c r="D260" s="63" t="s">
        <v>1158</v>
      </c>
      <c r="E260" s="64" t="s">
        <v>1350</v>
      </c>
      <c r="F260" s="63">
        <v>2</v>
      </c>
      <c r="G260" s="63" t="s">
        <v>32</v>
      </c>
      <c r="H260" s="208">
        <v>45104</v>
      </c>
      <c r="I260" s="63" t="s">
        <v>73</v>
      </c>
      <c r="J260" s="65" t="s">
        <v>31</v>
      </c>
      <c r="K260" s="7">
        <f>IFERROR(VLOOKUP(J260,Jueces!$A$1:$B$11,2,FALSE),"")</f>
        <v>2</v>
      </c>
      <c r="L260" s="63" t="s">
        <v>569</v>
      </c>
      <c r="M260" s="63" t="s">
        <v>712</v>
      </c>
      <c r="N260" s="63" t="s">
        <v>151</v>
      </c>
      <c r="O260" s="63" t="str">
        <f ca="1">IF(H260&lt;&gt;"",IF(H260&lt;=TODAY(),"SI","NO"),"LIMBO")</f>
        <v>SI</v>
      </c>
      <c r="P260" s="63" t="str">
        <f>IF($P$1=H260,"DIASOL", "DIANOSOL")</f>
        <v>DIANOSOL</v>
      </c>
      <c r="Q260" s="63" t="s">
        <v>151</v>
      </c>
      <c r="R260" s="7" t="str">
        <f>VLOOKUP($Q260,Resultados!$A$1:$B$49,2,FALSE)</f>
        <v>Prisión Preventiva</v>
      </c>
      <c r="S260" s="63" t="s">
        <v>1002</v>
      </c>
      <c r="T260" s="72" t="str">
        <f>IF(G260=$J$1,"SI","NO")</f>
        <v>NO</v>
      </c>
      <c r="U260" s="72"/>
      <c r="V260" s="7" t="str">
        <f ca="1">IF(color_Celda(E260)=12106214,"ROSA",IF(color_Celda(E260)=65535,"AMARILLO",IF(color_Celda(E260)=5296274,"VERDE",IF(color_Celda(E260)=16777215,"BLANCO","NO SE"))))</f>
        <v>ROSA</v>
      </c>
      <c r="W260" s="63" t="s">
        <v>1189</v>
      </c>
      <c r="X260" s="63" t="s">
        <v>1389</v>
      </c>
      <c r="Y260" s="63"/>
      <c r="Z260" s="268" t="s">
        <v>1038</v>
      </c>
      <c r="AA260" s="68"/>
      <c r="AB260" s="268" t="s">
        <v>1170</v>
      </c>
      <c r="AC260" s="324"/>
    </row>
    <row r="261" spans="1:29" ht="60" customHeight="1">
      <c r="A261" s="63">
        <v>257</v>
      </c>
      <c r="B261" s="65">
        <v>45092</v>
      </c>
      <c r="C261" s="70">
        <v>0.32430555555555557</v>
      </c>
      <c r="D261" s="63" t="s">
        <v>1179</v>
      </c>
      <c r="E261" s="64" t="s">
        <v>1351</v>
      </c>
      <c r="F261" s="63">
        <v>2</v>
      </c>
      <c r="G261" s="63" t="s">
        <v>1434</v>
      </c>
      <c r="H261" s="208">
        <v>45104</v>
      </c>
      <c r="I261" s="63" t="s">
        <v>73</v>
      </c>
      <c r="J261" s="65" t="s">
        <v>33</v>
      </c>
      <c r="K261" s="7">
        <f>IFERROR(VLOOKUP(J261,Jueces!$A$1:$B$11,2,FALSE),"")</f>
        <v>4</v>
      </c>
      <c r="L261" s="63" t="s">
        <v>801</v>
      </c>
      <c r="M261" s="63" t="s">
        <v>711</v>
      </c>
      <c r="N261" s="63" t="s">
        <v>1379</v>
      </c>
      <c r="O261" s="63" t="str">
        <f ca="1">IF(H261&lt;&gt;"",IF(H261&lt;=TODAY(),"SI","NO"),"LIMBO")</f>
        <v>SI</v>
      </c>
      <c r="P261" s="63" t="str">
        <f>IF($P$1=H261,"DIASOL", "DIANOSOL")</f>
        <v>DIANOSOL</v>
      </c>
      <c r="Q261" s="63" t="s">
        <v>903</v>
      </c>
      <c r="R261" s="7" t="s">
        <v>100</v>
      </c>
      <c r="S261" s="70">
        <v>0.3520833333333333</v>
      </c>
      <c r="T261" s="72" t="str">
        <f>IF(G261=$J$1,"SI","NO")</f>
        <v>NO</v>
      </c>
      <c r="U261" s="72"/>
      <c r="V261" s="7" t="str">
        <f ca="1">IF(color_Celda(E261)=12106214,"ROSA",IF(color_Celda(E261)=65535,"AMARILLO",IF(color_Celda(E261)=5296274,"VERDE",IF(color_Celda(E261)=16777215,"BLANCO","NO SE"))))</f>
        <v>ROSA</v>
      </c>
      <c r="W261" s="70">
        <v>0.36805555555555558</v>
      </c>
      <c r="X261" s="63"/>
      <c r="Y261" s="63"/>
      <c r="Z261" s="268" t="s">
        <v>1039</v>
      </c>
      <c r="AA261" s="268" t="s">
        <v>1165</v>
      </c>
      <c r="AB261" s="268" t="s">
        <v>1169</v>
      </c>
      <c r="AC261" s="324"/>
    </row>
    <row r="262" spans="1:29" ht="60" customHeight="1">
      <c r="A262" s="63">
        <v>267</v>
      </c>
      <c r="B262" s="65">
        <v>45099</v>
      </c>
      <c r="C262" s="70">
        <v>0.33333333333333331</v>
      </c>
      <c r="D262" s="63" t="s">
        <v>1269</v>
      </c>
      <c r="E262" s="64" t="s">
        <v>1368</v>
      </c>
      <c r="F262" s="63">
        <v>3</v>
      </c>
      <c r="G262" s="63" t="s">
        <v>283</v>
      </c>
      <c r="H262" s="208">
        <v>45104</v>
      </c>
      <c r="I262" s="63" t="s">
        <v>73</v>
      </c>
      <c r="J262" s="65" t="s">
        <v>1216</v>
      </c>
      <c r="K262" s="7">
        <f>IFERROR(VLOOKUP(J262,Jueces!$A$1:$B$11,2,FALSE),"")</f>
        <v>1</v>
      </c>
      <c r="L262" s="63" t="s">
        <v>791</v>
      </c>
      <c r="M262" s="63" t="s">
        <v>693</v>
      </c>
      <c r="N262" s="63" t="s">
        <v>1369</v>
      </c>
      <c r="O262" s="63" t="str">
        <f ca="1">IF(H262&lt;&gt;"",IF(H262&lt;=TODAY(),"SI","NO"),"LIMBO")</f>
        <v>SI</v>
      </c>
      <c r="P262" s="63" t="str">
        <f>IF($P$1=H262,"DIASOL", "DIANOSOL")</f>
        <v>DIANOSOL</v>
      </c>
      <c r="Q262" s="63" t="s">
        <v>903</v>
      </c>
      <c r="R262" s="7" t="str">
        <f>VLOOKUP($Q262,Resultados!$A$1:$B$49,2,FALSE)</f>
        <v>Juicio Abreviado</v>
      </c>
      <c r="S262" s="63" t="s">
        <v>1012</v>
      </c>
      <c r="T262" s="72" t="str">
        <f>IF(G262=$J$1,"SI","NO")</f>
        <v>NO</v>
      </c>
      <c r="U262" s="72"/>
      <c r="V262" s="7" t="str">
        <f ca="1">IF(color_Celda(E262)=12106214,"ROSA",IF(color_Celda(E262)=65535,"AMARILLO",IF(color_Celda(E262)=5296274,"VERDE",IF(color_Celda(E262)=16777215,"BLANCO","NO SE"))))</f>
        <v>ROSA</v>
      </c>
      <c r="W262" s="63" t="s">
        <v>1370</v>
      </c>
      <c r="X262" s="63" t="s">
        <v>1371</v>
      </c>
      <c r="Y262" s="63"/>
      <c r="Z262" s="268" t="s">
        <v>748</v>
      </c>
      <c r="AA262" s="118" t="s">
        <v>1167</v>
      </c>
      <c r="AB262" s="268" t="s">
        <v>1171</v>
      </c>
      <c r="AC262" s="324"/>
    </row>
    <row r="263" spans="1:29" ht="60" customHeight="1">
      <c r="A263" s="63">
        <v>275</v>
      </c>
      <c r="B263" s="65">
        <v>45099</v>
      </c>
      <c r="C263" s="63" t="s">
        <v>1270</v>
      </c>
      <c r="D263" s="63" t="s">
        <v>1265</v>
      </c>
      <c r="E263" s="64" t="s">
        <v>1352</v>
      </c>
      <c r="F263" s="63">
        <v>1</v>
      </c>
      <c r="G263" s="63" t="s">
        <v>1433</v>
      </c>
      <c r="H263" s="208">
        <v>45104</v>
      </c>
      <c r="I263" s="63" t="s">
        <v>73</v>
      </c>
      <c r="J263" s="65" t="s">
        <v>1219</v>
      </c>
      <c r="K263" s="7" t="s">
        <v>1321</v>
      </c>
      <c r="L263" s="63" t="s">
        <v>797</v>
      </c>
      <c r="M263" s="63" t="s">
        <v>692</v>
      </c>
      <c r="N263" s="63" t="s">
        <v>1374</v>
      </c>
      <c r="O263" s="63" t="str">
        <f ca="1">IF(H263&lt;&gt;"",IF(H263&lt;=TODAY(),"SI","NO"),"LIMBO")</f>
        <v>SI</v>
      </c>
      <c r="P263" s="63" t="str">
        <f>IF($P$1=H263,"DIASOL", "DIANOSOL")</f>
        <v>DIANOSOL</v>
      </c>
      <c r="Q263" s="63" t="s">
        <v>903</v>
      </c>
      <c r="R263" s="7" t="str">
        <f>VLOOKUP($Q263,Resultados!$A$1:$B$49,2,FALSE)</f>
        <v>Juicio Abreviado</v>
      </c>
      <c r="S263" s="63" t="s">
        <v>1012</v>
      </c>
      <c r="T263" s="72" t="str">
        <f>IF(G263=$J$1,"SI","NO")</f>
        <v>NO</v>
      </c>
      <c r="U263" s="72"/>
      <c r="V263" s="7" t="str">
        <f ca="1">IF(color_Celda(E263)=12106214,"ROSA",IF(color_Celda(E263)=65535,"AMARILLO",IF(color_Celda(E263)=5296274,"VERDE",IF(color_Celda(E263)=16777215,"BLANCO","NO SE"))))</f>
        <v>ROSA</v>
      </c>
      <c r="W263" s="63" t="s">
        <v>1373</v>
      </c>
      <c r="X263" s="63" t="s">
        <v>1371</v>
      </c>
      <c r="Y263" s="63"/>
      <c r="Z263" s="268" t="s">
        <v>743</v>
      </c>
      <c r="AA263" s="268" t="s">
        <v>743</v>
      </c>
      <c r="AB263" s="268" t="s">
        <v>1173</v>
      </c>
      <c r="AC263" s="324"/>
    </row>
    <row r="264" spans="1:29" ht="60" customHeight="1">
      <c r="A264" s="63">
        <v>260</v>
      </c>
      <c r="B264" s="65">
        <v>45093</v>
      </c>
      <c r="C264" s="70">
        <v>0.33333333333333331</v>
      </c>
      <c r="D264" s="63" t="s">
        <v>1193</v>
      </c>
      <c r="E264" s="64" t="s">
        <v>1353</v>
      </c>
      <c r="F264" s="63">
        <v>2</v>
      </c>
      <c r="G264" s="63" t="s">
        <v>1435</v>
      </c>
      <c r="H264" s="208">
        <v>45104</v>
      </c>
      <c r="I264" s="70" t="s">
        <v>1083</v>
      </c>
      <c r="J264" s="65" t="s">
        <v>78</v>
      </c>
      <c r="K264" s="7">
        <f>IFERROR(VLOOKUP(J264,Jueces!$A$1:$B$11,2,FALSE),"")</f>
        <v>8</v>
      </c>
      <c r="L264" s="63" t="s">
        <v>810</v>
      </c>
      <c r="M264" s="63" t="s">
        <v>1175</v>
      </c>
      <c r="N264" s="63" t="s">
        <v>235</v>
      </c>
      <c r="O264" s="63" t="str">
        <f ca="1">IF(H264&lt;&gt;"",IF(H264&lt;=TODAY(),"SI","NO"),"LIMBO")</f>
        <v>SI</v>
      </c>
      <c r="P264" s="63" t="str">
        <f>IF($P$1=H264,"DIASOL", "DIANOSOL")</f>
        <v>DIANOSOL</v>
      </c>
      <c r="Q264" s="63" t="s">
        <v>151</v>
      </c>
      <c r="R264" s="7" t="str">
        <f>VLOOKUP($Q264,Resultados!$A$1:$B$49,2,FALSE)</f>
        <v>Prisión Preventiva</v>
      </c>
      <c r="S264" s="63" t="s">
        <v>1015</v>
      </c>
      <c r="T264" s="72" t="str">
        <f>IF(G264=$J$1,"SI","NO")</f>
        <v>SI</v>
      </c>
      <c r="U264" s="72"/>
      <c r="V264" s="7" t="str">
        <f ca="1">IF(color_Celda(E264)=12106214,"ROSA",IF(color_Celda(E264)=65535,"AMARILLO",IF(color_Celda(E264)=5296274,"VERDE",IF(color_Celda(E264)=16777215,"BLANCO","NO SE"))))</f>
        <v>ROSA</v>
      </c>
      <c r="W264" s="63" t="s">
        <v>76</v>
      </c>
      <c r="X264" s="63"/>
      <c r="Y264" s="63"/>
      <c r="Z264" s="368" t="s">
        <v>770</v>
      </c>
      <c r="AA264" s="118" t="s">
        <v>1165</v>
      </c>
      <c r="AB264" s="268" t="s">
        <v>1172</v>
      </c>
      <c r="AC264" s="324"/>
    </row>
    <row r="265" spans="1:29" ht="60" customHeight="1">
      <c r="A265" s="7">
        <v>287</v>
      </c>
      <c r="B265" s="19">
        <v>45100</v>
      </c>
      <c r="C265" s="15">
        <v>0.39097222222222222</v>
      </c>
      <c r="D265" s="7" t="s">
        <v>1311</v>
      </c>
      <c r="E265" s="40" t="s">
        <v>1354</v>
      </c>
      <c r="F265" s="7">
        <v>3</v>
      </c>
      <c r="G265" s="7" t="s">
        <v>43</v>
      </c>
      <c r="H265" s="297">
        <v>45104</v>
      </c>
      <c r="I265" s="7" t="s">
        <v>1083</v>
      </c>
      <c r="J265" s="19" t="s">
        <v>1216</v>
      </c>
      <c r="K265" s="7">
        <f>IFERROR(VLOOKUP(J265,Jueces!$A$1:$B$11,2,FALSE),"")</f>
        <v>1</v>
      </c>
      <c r="L265" s="7" t="s">
        <v>808</v>
      </c>
      <c r="M265" s="7" t="s">
        <v>693</v>
      </c>
      <c r="N265" s="7" t="s">
        <v>1366</v>
      </c>
      <c r="O265" s="63" t="str">
        <f ca="1">IF(H265&lt;&gt;"",IF(H265&lt;=TODAY(),"SI","NO"),"LIMBO")</f>
        <v>SI</v>
      </c>
      <c r="P265" s="63" t="str">
        <f>IF($P$1=H265,"DIASOL", "DIANOSOL")</f>
        <v>DIANOSOL</v>
      </c>
      <c r="Q265" s="7" t="s">
        <v>151</v>
      </c>
      <c r="R265" s="7" t="str">
        <f>VLOOKUP($Q265,Resultados!$A$1:$B$49,2,FALSE)</f>
        <v>Prisión Preventiva</v>
      </c>
      <c r="S265" s="63" t="s">
        <v>1206</v>
      </c>
      <c r="T265" s="72" t="str">
        <f>IF(G265=$J$1,"SI","NO")</f>
        <v>NO</v>
      </c>
      <c r="U265" s="72"/>
      <c r="V265" s="7" t="str">
        <f ca="1">IF(color_Celda(E265)=12106214,"ROSA",IF(color_Celda(E265)=65535,"AMARILLO",IF(color_Celda(E265)=5296274,"VERDE",IF(color_Celda(E265)=16777215,"BLANCO","NO SE"))))</f>
        <v>ROSA</v>
      </c>
      <c r="W265" s="63" t="s">
        <v>1367</v>
      </c>
      <c r="X265" s="63" t="s">
        <v>1372</v>
      </c>
      <c r="Y265" s="63"/>
      <c r="Z265" s="118" t="s">
        <v>1038</v>
      </c>
      <c r="AA265" s="118" t="s">
        <v>1167</v>
      </c>
      <c r="AB265" s="268" t="s">
        <v>1170</v>
      </c>
      <c r="AC265" s="324"/>
    </row>
    <row r="266" spans="1:29" ht="60" customHeight="1">
      <c r="A266" s="63">
        <v>255</v>
      </c>
      <c r="B266" s="65">
        <v>45091</v>
      </c>
      <c r="C266" s="70">
        <v>0.51874999999999993</v>
      </c>
      <c r="D266" s="63" t="s">
        <v>1159</v>
      </c>
      <c r="E266" s="64" t="s">
        <v>1157</v>
      </c>
      <c r="F266" s="63">
        <v>2</v>
      </c>
      <c r="G266" s="63" t="s">
        <v>29</v>
      </c>
      <c r="H266" s="208">
        <v>45105</v>
      </c>
      <c r="I266" s="63" t="s">
        <v>73</v>
      </c>
      <c r="J266" s="65" t="s">
        <v>33</v>
      </c>
      <c r="K266" s="7">
        <f>IFERROR(VLOOKUP(J266,Jueces!$A$1:$B$11,2,FALSE),"")</f>
        <v>4</v>
      </c>
      <c r="L266" s="63" t="s">
        <v>414</v>
      </c>
      <c r="M266" s="63" t="s">
        <v>1175</v>
      </c>
      <c r="N266" s="63" t="s">
        <v>577</v>
      </c>
      <c r="O266" s="63" t="str">
        <f ca="1">IF(H266&lt;&gt;"",IF(H266&lt;=TODAY(),"SI","NO"),"LIMBO")</f>
        <v>SI</v>
      </c>
      <c r="P266" s="63" t="str">
        <f>IF($P$1=H266,"DIASOL", "DIANOSOL")</f>
        <v>DIANOSOL</v>
      </c>
      <c r="Q266" s="63" t="s">
        <v>151</v>
      </c>
      <c r="R266" s="7" t="str">
        <f>VLOOKUP($Q266,Resultados!$A$1:$B$49,2,FALSE)</f>
        <v>Prisión Preventiva</v>
      </c>
      <c r="S266" s="70">
        <v>0.35486111111111113</v>
      </c>
      <c r="T266" s="72" t="str">
        <f>IF(G266=$J$1,"SI","NO")</f>
        <v>NO</v>
      </c>
      <c r="U266" s="72"/>
      <c r="V266" s="7" t="str">
        <f ca="1">IF(color_Celda(E266)=12106214,"ROSA",IF(color_Celda(E266)=65535,"AMARILLO",IF(color_Celda(E266)=5296274,"VERDE",IF(color_Celda(E266)=16777215,"BLANCO","NO SE"))))</f>
        <v>ROSA</v>
      </c>
      <c r="W266" s="63" t="s">
        <v>1227</v>
      </c>
      <c r="X266" s="63"/>
      <c r="Y266" s="63"/>
      <c r="Z266" s="118" t="s">
        <v>1039</v>
      </c>
      <c r="AA266" s="118" t="s">
        <v>1165</v>
      </c>
      <c r="AB266" s="268" t="s">
        <v>1169</v>
      </c>
      <c r="AC266" s="324"/>
    </row>
    <row r="267" spans="1:29" ht="60" customHeight="1">
      <c r="A267" s="63">
        <v>259</v>
      </c>
      <c r="B267" s="65">
        <v>45092</v>
      </c>
      <c r="C267" s="70">
        <v>0.52777777777777779</v>
      </c>
      <c r="D267" s="63" t="s">
        <v>1191</v>
      </c>
      <c r="E267" s="64" t="s">
        <v>1192</v>
      </c>
      <c r="F267" s="63">
        <v>8</v>
      </c>
      <c r="G267" s="63" t="s">
        <v>1435</v>
      </c>
      <c r="H267" s="208">
        <v>45105</v>
      </c>
      <c r="I267" s="63" t="s">
        <v>73</v>
      </c>
      <c r="J267" s="65" t="s">
        <v>78</v>
      </c>
      <c r="K267" s="7">
        <f>IFERROR(VLOOKUP(J267,Jueces!$A$1:$B$11,2,FALSE),"")</f>
        <v>8</v>
      </c>
      <c r="L267" s="63" t="s">
        <v>798</v>
      </c>
      <c r="M267" s="63" t="s">
        <v>711</v>
      </c>
      <c r="N267" s="63" t="s">
        <v>1385</v>
      </c>
      <c r="O267" s="63" t="str">
        <f ca="1">IF(H267&lt;&gt;"",IF(H267&lt;=TODAY(),"SI","NO"),"LIMBO")</f>
        <v>SI</v>
      </c>
      <c r="P267" s="63" t="str">
        <f>IF($P$1=H267,"DIASOL", "DIANOSOL")</f>
        <v>DIANOSOL</v>
      </c>
      <c r="Q267" s="63" t="s">
        <v>903</v>
      </c>
      <c r="R267" s="7" t="str">
        <f>VLOOKUP($Q267,Resultados!$A$1:$B$49,2,FALSE)</f>
        <v>Juicio Abreviado</v>
      </c>
      <c r="S267" s="63" t="s">
        <v>1383</v>
      </c>
      <c r="T267" s="72" t="str">
        <f>IF(G267=$J$1,"SI","NO")</f>
        <v>SI</v>
      </c>
      <c r="U267" s="72"/>
      <c r="V267" s="7" t="str">
        <f ca="1">IF(color_Celda(E267)=12106214,"ROSA",IF(color_Celda(E267)=65535,"AMARILLO",IF(color_Celda(E267)=5296274,"VERDE",IF(color_Celda(E267)=16777215,"BLANCO","NO SE"))))</f>
        <v>ROSA</v>
      </c>
      <c r="W267" s="63" t="s">
        <v>1384</v>
      </c>
      <c r="X267" s="63" t="s">
        <v>1382</v>
      </c>
      <c r="Y267" s="63"/>
      <c r="Z267" s="268" t="s">
        <v>748</v>
      </c>
      <c r="AA267" s="118" t="s">
        <v>1167</v>
      </c>
      <c r="AB267" s="268" t="s">
        <v>1171</v>
      </c>
      <c r="AC267" s="324"/>
    </row>
    <row r="268" spans="1:29" ht="60" customHeight="1">
      <c r="A268" s="63">
        <v>271</v>
      </c>
      <c r="B268" s="65">
        <v>45099</v>
      </c>
      <c r="C268" s="63" t="s">
        <v>76</v>
      </c>
      <c r="D268" s="63" t="s">
        <v>1260</v>
      </c>
      <c r="E268" s="64" t="s">
        <v>1247</v>
      </c>
      <c r="F268" s="63">
        <v>3</v>
      </c>
      <c r="G268" s="63" t="s">
        <v>1433</v>
      </c>
      <c r="H268" s="208">
        <v>45105</v>
      </c>
      <c r="I268" s="63" t="s">
        <v>73</v>
      </c>
      <c r="J268" s="65" t="s">
        <v>1217</v>
      </c>
      <c r="K268" s="7">
        <f>IFERROR(VLOOKUP(J268,Jueces!$A$1:$B$11,2,FALSE),"")</f>
        <v>7</v>
      </c>
      <c r="L268" s="63" t="s">
        <v>809</v>
      </c>
      <c r="M268" s="63" t="s">
        <v>693</v>
      </c>
      <c r="N268" s="63" t="s">
        <v>1386</v>
      </c>
      <c r="O268" s="63" t="str">
        <f ca="1">IF(H268&lt;&gt;"",IF(H268&lt;=TODAY(),"SI","NO"),"LIMBO")</f>
        <v>SI</v>
      </c>
      <c r="P268" s="63" t="str">
        <f>IF($P$1=H268,"DIASOL", "DIANOSOL")</f>
        <v>DIANOSOL</v>
      </c>
      <c r="Q268" s="63" t="s">
        <v>151</v>
      </c>
      <c r="R268" s="7" t="str">
        <f>VLOOKUP($Q268,Resultados!$A$1:$B$49,2,FALSE)</f>
        <v>Prisión Preventiva</v>
      </c>
      <c r="S268" s="63" t="s">
        <v>1387</v>
      </c>
      <c r="T268" s="72" t="str">
        <f>IF(G268=$J$1,"SI","NO")</f>
        <v>NO</v>
      </c>
      <c r="U268" s="72"/>
      <c r="V268" s="7" t="str">
        <f ca="1">IF(color_Celda(E268)=12106214,"ROSA",IF(color_Celda(E268)=65535,"AMARILLO",IF(color_Celda(E268)=5296274,"VERDE",IF(color_Celda(E268)=16777215,"BLANCO","NO SE"))))</f>
        <v>ROSA</v>
      </c>
      <c r="W268" s="63" t="s">
        <v>1388</v>
      </c>
      <c r="X268" s="63" t="s">
        <v>1394</v>
      </c>
      <c r="Y268" s="63"/>
      <c r="Z268" s="268" t="s">
        <v>743</v>
      </c>
      <c r="AA268" s="118" t="s">
        <v>743</v>
      </c>
      <c r="AB268" s="268" t="s">
        <v>1173</v>
      </c>
      <c r="AC268" s="324"/>
    </row>
    <row r="269" spans="1:29" ht="60" customHeight="1">
      <c r="A269" s="63">
        <v>276</v>
      </c>
      <c r="B269" s="65">
        <v>45099</v>
      </c>
      <c r="C269" s="70">
        <v>0.43888888888888888</v>
      </c>
      <c r="D269" s="63" t="s">
        <v>1266</v>
      </c>
      <c r="E269" s="64" t="s">
        <v>1267</v>
      </c>
      <c r="F269" s="63">
        <v>1</v>
      </c>
      <c r="G269" s="63" t="s">
        <v>32</v>
      </c>
      <c r="H269" s="208">
        <v>45105</v>
      </c>
      <c r="I269" s="63" t="s">
        <v>73</v>
      </c>
      <c r="J269" s="65" t="s">
        <v>31</v>
      </c>
      <c r="K269" s="7">
        <f>IFERROR(VLOOKUP(J269,Jueces!$A$1:$B$11,2,FALSE),"")</f>
        <v>2</v>
      </c>
      <c r="L269" s="63" t="s">
        <v>688</v>
      </c>
      <c r="M269" s="63" t="s">
        <v>723</v>
      </c>
      <c r="N269" s="63" t="s">
        <v>1390</v>
      </c>
      <c r="O269" s="63" t="str">
        <f ca="1">IF(H269&lt;&gt;"",IF(H269&lt;=TODAY(),"SI","NO"),"LIMBO")</f>
        <v>SI</v>
      </c>
      <c r="P269" s="63" t="str">
        <f>IF($P$1=H269,"DIASOL", "DIANOSOL")</f>
        <v>DIANOSOL</v>
      </c>
      <c r="Q269" s="63" t="s">
        <v>151</v>
      </c>
      <c r="R269" s="7" t="str">
        <f>VLOOKUP($Q269,Resultados!$A$1:$B$49,2,FALSE)</f>
        <v>Prisión Preventiva</v>
      </c>
      <c r="S269" s="63" t="s">
        <v>686</v>
      </c>
      <c r="T269" s="72" t="str">
        <f>IF(G269=$J$1,"SI","NO")</f>
        <v>NO</v>
      </c>
      <c r="U269" s="72"/>
      <c r="V269" s="7" t="str">
        <f ca="1">IF(color_Celda(E269)=12106214,"ROSA",IF(color_Celda(E269)=65535,"AMARILLO",IF(color_Celda(E269)=5296274,"VERDE",IF(color_Celda(E269)=16777215,"BLANCO","NO SE"))))</f>
        <v>ROSA</v>
      </c>
      <c r="W269" s="63" t="s">
        <v>76</v>
      </c>
      <c r="X269" s="63" t="s">
        <v>1391</v>
      </c>
      <c r="Y269" s="63"/>
      <c r="Z269" s="118" t="s">
        <v>770</v>
      </c>
      <c r="AA269" s="118" t="s">
        <v>1165</v>
      </c>
      <c r="AB269" s="268" t="s">
        <v>1172</v>
      </c>
      <c r="AC269" s="324"/>
    </row>
    <row r="270" spans="1:29" ht="60" customHeight="1">
      <c r="A270" s="63">
        <v>256</v>
      </c>
      <c r="B270" s="65">
        <v>45091</v>
      </c>
      <c r="C270" s="70">
        <v>0.53888888888888886</v>
      </c>
      <c r="D270" s="63" t="s">
        <v>1161</v>
      </c>
      <c r="E270" s="64" t="s">
        <v>1160</v>
      </c>
      <c r="F270" s="63">
        <v>2</v>
      </c>
      <c r="G270" s="63" t="s">
        <v>43</v>
      </c>
      <c r="H270" s="208">
        <v>45105</v>
      </c>
      <c r="I270" s="63" t="s">
        <v>1083</v>
      </c>
      <c r="J270" s="65" t="s">
        <v>33</v>
      </c>
      <c r="K270" s="7">
        <f>IFERROR(VLOOKUP(J270,Jueces!$A$1:$B$11,2,FALSE),"")</f>
        <v>4</v>
      </c>
      <c r="L270" s="63" t="s">
        <v>277</v>
      </c>
      <c r="M270" s="63" t="s">
        <v>1175</v>
      </c>
      <c r="N270" s="63" t="s">
        <v>1392</v>
      </c>
      <c r="O270" s="63" t="str">
        <f ca="1">IF(H270&lt;&gt;"",IF(H270&lt;=TODAY(),"SI","NO"),"LIMBO")</f>
        <v>SI</v>
      </c>
      <c r="P270" s="63" t="str">
        <f>IF($P$1=H270,"DIASOL", "DIANOSOL")</f>
        <v>DIANOSOL</v>
      </c>
      <c r="Q270" s="63" t="s">
        <v>903</v>
      </c>
      <c r="R270" s="7" t="str">
        <f>VLOOKUP($Q270,Resultados!$A$1:$B$49,2,FALSE)</f>
        <v>Juicio Abreviado</v>
      </c>
      <c r="S270" s="63" t="s">
        <v>1388</v>
      </c>
      <c r="T270" s="72" t="str">
        <f>IF(G270=$J$1,"SI","NO")</f>
        <v>NO</v>
      </c>
      <c r="U270" s="72"/>
      <c r="V270" s="7" t="str">
        <f ca="1">IF(color_Celda(E270)=12106214,"ROSA",IF(color_Celda(E270)=65535,"AMARILLO",IF(color_Celda(E270)=5296274,"VERDE",IF(color_Celda(E270)=16777215,"BLANCO","NO SE"))))</f>
        <v>ROSA</v>
      </c>
      <c r="W270" s="63" t="s">
        <v>1225</v>
      </c>
      <c r="X270" s="63"/>
      <c r="Y270" s="63"/>
      <c r="Z270" s="118" t="s">
        <v>1038</v>
      </c>
      <c r="AA270" s="118" t="s">
        <v>743</v>
      </c>
      <c r="AB270" s="118" t="s">
        <v>1170</v>
      </c>
      <c r="AC270" s="324"/>
    </row>
    <row r="271" spans="1:29" ht="60" customHeight="1">
      <c r="A271" s="63">
        <v>274</v>
      </c>
      <c r="B271" s="65">
        <v>45099</v>
      </c>
      <c r="C271" s="70">
        <v>0.39513888888888887</v>
      </c>
      <c r="D271" s="63" t="s">
        <v>1263</v>
      </c>
      <c r="E271" s="64" t="s">
        <v>1264</v>
      </c>
      <c r="F271" s="63">
        <v>3</v>
      </c>
      <c r="G271" s="63" t="s">
        <v>283</v>
      </c>
      <c r="H271" s="208">
        <v>45105</v>
      </c>
      <c r="I271" s="63" t="s">
        <v>1083</v>
      </c>
      <c r="J271" s="65" t="s">
        <v>78</v>
      </c>
      <c r="K271" s="7">
        <f>IFERROR(VLOOKUP(J271,Jueces!$A$1:$B$11,2,FALSE),"")</f>
        <v>8</v>
      </c>
      <c r="L271" s="63" t="s">
        <v>1176</v>
      </c>
      <c r="M271" s="117" t="s">
        <v>697</v>
      </c>
      <c r="N271" s="63" t="s">
        <v>1395</v>
      </c>
      <c r="O271" s="63" t="str">
        <f ca="1">IF(H271&lt;&gt;"",IF(H271&lt;=TODAY(),"SI","NO"),"LIMBO")</f>
        <v>SI</v>
      </c>
      <c r="P271" s="63" t="str">
        <f>IF($P$1=H271,"DIASOL", "DIANOSOL")</f>
        <v>DIANOSOL</v>
      </c>
      <c r="Q271" s="63" t="s">
        <v>911</v>
      </c>
      <c r="R271" s="7" t="str">
        <f>VLOOKUP($Q271,Resultados!$A$1:$B$49,2,FALSE)</f>
        <v>Prision domiciliaria</v>
      </c>
      <c r="S271" s="63" t="s">
        <v>1298</v>
      </c>
      <c r="T271" s="72" t="str">
        <f>IF(G271=$J$1,"SI","NO")</f>
        <v>NO</v>
      </c>
      <c r="U271" s="72"/>
      <c r="V271" s="7" t="str">
        <f ca="1">IF(color_Celda(E271)=12106214,"ROSA",IF(color_Celda(E271)=65535,"AMARILLO",IF(color_Celda(E271)=5296274,"VERDE",IF(color_Celda(E271)=16777215,"BLANCO","NO SE"))))</f>
        <v>ROSA</v>
      </c>
      <c r="W271" s="63" t="s">
        <v>1396</v>
      </c>
      <c r="X271" s="63" t="s">
        <v>1306</v>
      </c>
      <c r="Y271" s="63"/>
      <c r="Z271" s="118" t="s">
        <v>1039</v>
      </c>
      <c r="AA271" s="118" t="s">
        <v>1167</v>
      </c>
      <c r="AB271" s="268" t="s">
        <v>1169</v>
      </c>
      <c r="AC271" s="324"/>
    </row>
    <row r="272" spans="1:29" ht="60" customHeight="1">
      <c r="A272" s="63">
        <v>262</v>
      </c>
      <c r="B272" s="65">
        <v>45098</v>
      </c>
      <c r="C272" s="70">
        <v>0.33333333333333331</v>
      </c>
      <c r="D272" s="63" t="s">
        <v>1207</v>
      </c>
      <c r="E272" s="64" t="s">
        <v>1414</v>
      </c>
      <c r="F272" s="63">
        <v>2</v>
      </c>
      <c r="G272" s="63" t="s">
        <v>1433</v>
      </c>
      <c r="H272" s="208">
        <v>45106</v>
      </c>
      <c r="I272" s="63" t="s">
        <v>73</v>
      </c>
      <c r="J272" s="65" t="s">
        <v>1216</v>
      </c>
      <c r="K272" s="7">
        <f>IFERROR(VLOOKUP(J272,Jueces!$A$1:$B$11,2,FALSE),"")</f>
        <v>1</v>
      </c>
      <c r="L272" s="63" t="s">
        <v>796</v>
      </c>
      <c r="M272" s="63" t="s">
        <v>782</v>
      </c>
      <c r="N272" s="63" t="s">
        <v>1436</v>
      </c>
      <c r="O272" s="63" t="str">
        <f ca="1">IF(H272&lt;&gt;"",IF(H272&lt;=TODAY(),"SI","NO"),"LIMBO")</f>
        <v>SI</v>
      </c>
      <c r="P272" s="63" t="str">
        <f>IF($P$1=H272,"DIASOL", "DIANOSOL")</f>
        <v>DIANOSOL</v>
      </c>
      <c r="Q272" s="63" t="s">
        <v>903</v>
      </c>
      <c r="R272" s="7" t="str">
        <f>VLOOKUP($Q272,Resultados!$A$1:$B$49,2,FALSE)</f>
        <v>Juicio Abreviado</v>
      </c>
      <c r="S272" s="63" t="s">
        <v>1061</v>
      </c>
      <c r="T272" s="72" t="str">
        <f>IF(G272=$J$1,"SI","NO")</f>
        <v>NO</v>
      </c>
      <c r="U272" s="72"/>
      <c r="V272" s="7" t="str">
        <f ca="1">IF(color_Celda(E272)=12106214,"ROSA",IF(color_Celda(E272)=65535,"AMARILLO",IF(color_Celda(E272)=5296274,"VERDE",IF(color_Celda(E272)=16777215,"BLANCO","NO SE"))))</f>
        <v>ROSA</v>
      </c>
      <c r="W272" s="63" t="s">
        <v>1119</v>
      </c>
      <c r="X272" s="63" t="s">
        <v>1382</v>
      </c>
      <c r="Y272" s="63"/>
      <c r="Z272" s="118" t="s">
        <v>748</v>
      </c>
      <c r="AA272" s="118" t="s">
        <v>743</v>
      </c>
      <c r="AB272" s="268" t="s">
        <v>1171</v>
      </c>
      <c r="AC272" s="324"/>
    </row>
    <row r="273" spans="1:29" ht="60" customHeight="1">
      <c r="A273" s="63">
        <v>266</v>
      </c>
      <c r="B273" s="65">
        <v>45099</v>
      </c>
      <c r="C273" s="70">
        <v>0.33333333333333331</v>
      </c>
      <c r="D273" s="63" t="s">
        <v>1268</v>
      </c>
      <c r="E273" s="64" t="s">
        <v>1415</v>
      </c>
      <c r="F273" s="63">
        <v>2</v>
      </c>
      <c r="G273" s="63" t="s">
        <v>1434</v>
      </c>
      <c r="H273" s="208">
        <v>45106</v>
      </c>
      <c r="I273" s="63" t="s">
        <v>73</v>
      </c>
      <c r="J273" s="65" t="s">
        <v>31</v>
      </c>
      <c r="K273" s="7">
        <f>IFERROR(VLOOKUP(J273,Jueces!$A$1:$B$11,2,FALSE),"")</f>
        <v>2</v>
      </c>
      <c r="L273" s="63" t="s">
        <v>508</v>
      </c>
      <c r="M273" s="63" t="s">
        <v>1280</v>
      </c>
      <c r="N273" s="63" t="s">
        <v>1423</v>
      </c>
      <c r="O273" s="63" t="str">
        <f ca="1">IF(H273&lt;&gt;"",IF(H273&lt;=TODAY(),"SI","NO"),"LIMBO")</f>
        <v>SI</v>
      </c>
      <c r="P273" s="63" t="str">
        <f>IF($P$1=H273,"DIASOL", "DIANOSOL")</f>
        <v>DIANOSOL</v>
      </c>
      <c r="Q273" s="63" t="s">
        <v>151</v>
      </c>
      <c r="R273" s="7" t="str">
        <f>VLOOKUP($Q273,Resultados!$A$1:$B$49,2,FALSE)</f>
        <v>Prisión Preventiva</v>
      </c>
      <c r="S273" s="70">
        <v>0.37222222222222223</v>
      </c>
      <c r="T273" s="72" t="str">
        <f>IF(G273=$J$1,"SI","NO")</f>
        <v>NO</v>
      </c>
      <c r="U273" s="72"/>
      <c r="V273" s="7" t="str">
        <f ca="1">IF(color_Celda(E273)=12106214,"ROSA",IF(color_Celda(E273)=65535,"AMARILLO",IF(color_Celda(E273)=5296274,"VERDE",IF(color_Celda(E273)=16777215,"BLANCO","NO SE"))))</f>
        <v>ROSA</v>
      </c>
      <c r="W273" s="70">
        <v>0.38958333333333334</v>
      </c>
      <c r="X273" s="63" t="s">
        <v>1424</v>
      </c>
      <c r="Y273" s="63"/>
      <c r="Z273" s="118" t="s">
        <v>743</v>
      </c>
      <c r="AA273" s="118" t="s">
        <v>1165</v>
      </c>
      <c r="AB273" s="268" t="s">
        <v>1173</v>
      </c>
      <c r="AC273" s="324"/>
    </row>
    <row r="274" spans="1:29" ht="60" customHeight="1">
      <c r="A274" s="63">
        <v>272</v>
      </c>
      <c r="B274" s="65">
        <v>45099</v>
      </c>
      <c r="C274" s="70">
        <v>0.42638888888888887</v>
      </c>
      <c r="D274" s="63" t="s">
        <v>1261</v>
      </c>
      <c r="E274" s="64" t="s">
        <v>1417</v>
      </c>
      <c r="F274" s="63">
        <v>2</v>
      </c>
      <c r="G274" s="63" t="s">
        <v>32</v>
      </c>
      <c r="H274" s="208">
        <v>45106</v>
      </c>
      <c r="I274" s="63" t="s">
        <v>73</v>
      </c>
      <c r="J274" s="65" t="s">
        <v>1218</v>
      </c>
      <c r="K274" s="7" t="s">
        <v>1321</v>
      </c>
      <c r="L274" s="63" t="s">
        <v>806</v>
      </c>
      <c r="M274" s="63" t="s">
        <v>1281</v>
      </c>
      <c r="N274" s="63" t="s">
        <v>1420</v>
      </c>
      <c r="O274" s="63" t="str">
        <f ca="1">IF(H274&lt;&gt;"",IF(H274&lt;=TODAY(),"SI","NO"),"LIMBO")</f>
        <v>SI</v>
      </c>
      <c r="P274" s="63" t="str">
        <f>IF($P$1=H274,"DIASOL", "DIANOSOL")</f>
        <v>DIANOSOL</v>
      </c>
      <c r="Q274" s="63" t="s">
        <v>902</v>
      </c>
      <c r="R274" s="7" t="str">
        <f>VLOOKUP($Q274,Resultados!$A$1:$B$49,2,FALSE)</f>
        <v>Juicio Abreviado</v>
      </c>
      <c r="S274" s="63" t="s">
        <v>1419</v>
      </c>
      <c r="T274" s="72" t="str">
        <f>IF(G274=$J$1,"SI","NO")</f>
        <v>NO</v>
      </c>
      <c r="U274" s="72"/>
      <c r="V274" s="7" t="str">
        <f ca="1">IF(color_Celda(E274)=12106214,"ROSA",IF(color_Celda(E274)=65535,"AMARILLO",IF(color_Celda(E274)=5296274,"VERDE",IF(color_Celda(E274)=16777215,"BLANCO","NO SE"))))</f>
        <v>ROSA</v>
      </c>
      <c r="W274" s="63" t="s">
        <v>1421</v>
      </c>
      <c r="X274" s="63"/>
      <c r="Y274" s="63"/>
      <c r="Z274" s="118" t="s">
        <v>770</v>
      </c>
      <c r="AA274" s="118" t="s">
        <v>1165</v>
      </c>
      <c r="AB274" s="268" t="s">
        <v>1170</v>
      </c>
      <c r="AC274" s="324"/>
    </row>
    <row r="275" spans="1:29" ht="60" customHeight="1">
      <c r="A275" s="63">
        <v>273</v>
      </c>
      <c r="B275" s="65">
        <v>45099</v>
      </c>
      <c r="C275" s="70">
        <v>0.39861111111111108</v>
      </c>
      <c r="D275" s="63" t="s">
        <v>1262</v>
      </c>
      <c r="E275" s="64" t="s">
        <v>1416</v>
      </c>
      <c r="F275" s="63">
        <v>3</v>
      </c>
      <c r="G275" s="63" t="s">
        <v>29</v>
      </c>
      <c r="H275" s="208">
        <v>45106</v>
      </c>
      <c r="I275" s="63" t="s">
        <v>73</v>
      </c>
      <c r="J275" s="65" t="s">
        <v>33</v>
      </c>
      <c r="K275" s="7">
        <f>IFERROR(VLOOKUP(J275,Jueces!$A$1:$B$11,2,FALSE),"")</f>
        <v>4</v>
      </c>
      <c r="L275" s="63" t="s">
        <v>810</v>
      </c>
      <c r="M275" s="63" t="s">
        <v>1285</v>
      </c>
      <c r="N275" s="63" t="s">
        <v>1327</v>
      </c>
      <c r="O275" s="63" t="str">
        <f ca="1">IF(H275&lt;&gt;"",IF(H275&lt;=TODAY(),"SI","NO"),"LIMBO")</f>
        <v>SI</v>
      </c>
      <c r="P275" s="63" t="str">
        <f>IF($P$1=H275,"DIASOL", "DIANOSOL")</f>
        <v>DIANOSOL</v>
      </c>
      <c r="Q275" s="63" t="s">
        <v>902</v>
      </c>
      <c r="R275" s="7" t="str">
        <f>VLOOKUP($Q275,Resultados!$A$1:$B$49,2,FALSE)</f>
        <v>Juicio Abreviado</v>
      </c>
      <c r="S275" s="63" t="s">
        <v>1419</v>
      </c>
      <c r="T275" s="72" t="str">
        <f>IF(G275=$J$1,"SI","NO")</f>
        <v>NO</v>
      </c>
      <c r="U275" s="72"/>
      <c r="V275" s="7" t="str">
        <f ca="1">IF(color_Celda(E275)=12106214,"ROSA",IF(color_Celda(E275)=65535,"AMARILLO",IF(color_Celda(E275)=5296274,"VERDE",IF(color_Celda(E275)=16777215,"BLANCO","NO SE"))))</f>
        <v>ROSA</v>
      </c>
      <c r="W275" s="63" t="s">
        <v>1125</v>
      </c>
      <c r="X275" s="63" t="s">
        <v>1382</v>
      </c>
      <c r="Y275" s="63"/>
      <c r="Z275" s="118" t="s">
        <v>1038</v>
      </c>
      <c r="AA275" s="118" t="s">
        <v>1167</v>
      </c>
      <c r="AB275" s="118" t="s">
        <v>1169</v>
      </c>
      <c r="AC275" s="324"/>
    </row>
    <row r="276" spans="1:29" ht="60" customHeight="1">
      <c r="A276" s="63">
        <v>263</v>
      </c>
      <c r="B276" s="65">
        <v>45098</v>
      </c>
      <c r="C276" s="70">
        <v>0.38263888888888892</v>
      </c>
      <c r="D276" s="63" t="s">
        <v>1209</v>
      </c>
      <c r="E276" s="64" t="s">
        <v>1418</v>
      </c>
      <c r="F276" s="102">
        <v>2</v>
      </c>
      <c r="G276" s="65" t="s">
        <v>43</v>
      </c>
      <c r="H276" s="208">
        <v>45106</v>
      </c>
      <c r="I276" s="65" t="s">
        <v>1083</v>
      </c>
      <c r="J276" s="65" t="s">
        <v>1217</v>
      </c>
      <c r="K276" s="102">
        <f>IFERROR(VLOOKUP(J276,Jueces!$A$1:$B$11,2,FALSE),"")</f>
        <v>7</v>
      </c>
      <c r="L276" s="65" t="s">
        <v>796</v>
      </c>
      <c r="M276" s="65" t="s">
        <v>712</v>
      </c>
      <c r="N276" s="65" t="s">
        <v>1427</v>
      </c>
      <c r="O276" s="65" t="str">
        <f ca="1">IF(H276&lt;&gt;"",IF(H276&lt;=TODAY(),"SI","NO"),"LIMBO")</f>
        <v>SI</v>
      </c>
      <c r="P276" s="65" t="str">
        <f>IF($P$1=H276,"DIASOL", "DIANOSOL")</f>
        <v>DIANOSOL</v>
      </c>
      <c r="Q276" s="65" t="s">
        <v>903</v>
      </c>
      <c r="R276" s="7" t="str">
        <f>VLOOKUP($Q276,Resultados!$A$1:$B$49,2,FALSE)</f>
        <v>Juicio Abreviado</v>
      </c>
      <c r="S276" s="102" t="s">
        <v>1131</v>
      </c>
      <c r="T276" s="65" t="str">
        <f>IF(G276=$J$1,"SI","NO")</f>
        <v>NO</v>
      </c>
      <c r="U276" s="65"/>
      <c r="V276" s="7" t="str">
        <f ca="1">IF(color_Celda(E276)=12106214,"ROSA",IF(color_Celda(E276)=65535,"AMARILLO",IF(color_Celda(E276)=5296274,"VERDE",IF(color_Celda(E276)=16777215,"BLANCO","NO SE"))))</f>
        <v>ROSA</v>
      </c>
      <c r="W276" s="65" t="s">
        <v>1388</v>
      </c>
      <c r="X276" s="63" t="s">
        <v>1382</v>
      </c>
      <c r="Y276" s="63"/>
      <c r="Z276" s="118" t="s">
        <v>1039</v>
      </c>
      <c r="AA276" s="118" t="s">
        <v>743</v>
      </c>
      <c r="AB276" s="268" t="s">
        <v>1171</v>
      </c>
      <c r="AC276" s="324"/>
    </row>
    <row r="277" spans="1:29" ht="60" customHeight="1">
      <c r="A277" s="63">
        <v>279</v>
      </c>
      <c r="B277" s="65">
        <v>45099</v>
      </c>
      <c r="C277" s="70">
        <v>0.52430555555555558</v>
      </c>
      <c r="D277" s="63" t="s">
        <v>1279</v>
      </c>
      <c r="E277" s="64" t="s">
        <v>3025</v>
      </c>
      <c r="F277" s="63">
        <v>2</v>
      </c>
      <c r="G277" s="63" t="s">
        <v>283</v>
      </c>
      <c r="H277" s="208">
        <v>45106</v>
      </c>
      <c r="I277" s="63" t="s">
        <v>1083</v>
      </c>
      <c r="J277" s="65" t="s">
        <v>1219</v>
      </c>
      <c r="K277" s="7" t="s">
        <v>1321</v>
      </c>
      <c r="L277" s="63" t="s">
        <v>791</v>
      </c>
      <c r="M277" s="63" t="s">
        <v>692</v>
      </c>
      <c r="N277" s="63" t="s">
        <v>1438</v>
      </c>
      <c r="O277" s="63" t="str">
        <f ca="1">IF(H277&lt;&gt;"",IF(H277&lt;=TODAY(),"SI","NO"),"LIMBO")</f>
        <v>SI</v>
      </c>
      <c r="P277" s="63" t="str">
        <f>IF($P$1=H277,"DIASOL", "DIANOSOL")</f>
        <v>DIANOSOL</v>
      </c>
      <c r="Q277" s="63" t="s">
        <v>902</v>
      </c>
      <c r="R277" s="7" t="str">
        <f>VLOOKUP($Q277,Resultados!$A$1:$B$49,2,FALSE)</f>
        <v>Juicio Abreviado</v>
      </c>
      <c r="S277" s="63" t="s">
        <v>1083</v>
      </c>
      <c r="T277" s="72" t="str">
        <f>IF(G277=$J$1,"SI","NO")</f>
        <v>NO</v>
      </c>
      <c r="U277" s="72"/>
      <c r="V277" s="7" t="str">
        <f ca="1">IF(color_Celda(E277)=12106214,"ROSA",IF(color_Celda(E277)=65535,"AMARILLO",IF(color_Celda(E277)=5296274,"VERDE",IF(color_Celda(E277)=16777215,"BLANCO","NO SE"))))</f>
        <v>ROSA</v>
      </c>
      <c r="W277" s="63" t="s">
        <v>1437</v>
      </c>
      <c r="X277" s="63" t="s">
        <v>1306</v>
      </c>
      <c r="Y277" s="63"/>
      <c r="Z277" s="118" t="s">
        <v>748</v>
      </c>
      <c r="AA277" s="118" t="s">
        <v>1167</v>
      </c>
      <c r="AB277" s="268" t="s">
        <v>1173</v>
      </c>
      <c r="AC277" s="324"/>
    </row>
    <row r="278" spans="1:29" ht="60" customHeight="1">
      <c r="A278" s="63">
        <v>261</v>
      </c>
      <c r="B278" s="65">
        <v>45098</v>
      </c>
      <c r="C278" s="70">
        <v>0.5</v>
      </c>
      <c r="D278" s="63" t="s">
        <v>1205</v>
      </c>
      <c r="E278" s="64" t="s">
        <v>1465</v>
      </c>
      <c r="F278" s="63">
        <v>4</v>
      </c>
      <c r="G278" s="63" t="s">
        <v>43</v>
      </c>
      <c r="H278" s="208">
        <v>45107</v>
      </c>
      <c r="I278" s="63" t="s">
        <v>73</v>
      </c>
      <c r="J278" s="65" t="s">
        <v>33</v>
      </c>
      <c r="K278" s="7">
        <f>IFERROR(VLOOKUP(J278,Jueces!$A$1:$B$11,2,FALSE),"")</f>
        <v>4</v>
      </c>
      <c r="L278" s="63" t="s">
        <v>1067</v>
      </c>
      <c r="M278" s="63" t="s">
        <v>783</v>
      </c>
      <c r="N278" s="63" t="s">
        <v>1456</v>
      </c>
      <c r="O278" s="63" t="str">
        <f ca="1">IF(H278&lt;&gt;"",IF(H278&lt;=TODAY(),"SI","NO"),"LIMBO")</f>
        <v>SI</v>
      </c>
      <c r="P278" s="63" t="str">
        <f>IF($P$1=H278,"DIASOL", "DIANOSOL")</f>
        <v>DIANOSOL</v>
      </c>
      <c r="Q278" s="63" t="s">
        <v>151</v>
      </c>
      <c r="R278" s="7" t="str">
        <f>VLOOKUP($Q278,Resultados!$A$1:$B$49,2,FALSE)</f>
        <v>Prisión Preventiva</v>
      </c>
      <c r="S278" s="63" t="s">
        <v>1012</v>
      </c>
      <c r="T278" s="72" t="str">
        <f>IF(G278=$J$1,"SI","NO")</f>
        <v>NO</v>
      </c>
      <c r="U278" s="72"/>
      <c r="V278" s="7" t="str">
        <f ca="1">IF(color_Celda(E278)=12106214,"ROSA",IF(color_Celda(E278)=65535,"AMARILLO",IF(color_Celda(E278)=5296274,"VERDE",IF(color_Celda(E278)=16777215,"BLANCO","NO SE"))))</f>
        <v>ROSA</v>
      </c>
      <c r="W278" s="63" t="s">
        <v>1227</v>
      </c>
      <c r="X278" s="63"/>
      <c r="Y278" s="63"/>
      <c r="Z278" s="118" t="s">
        <v>743</v>
      </c>
      <c r="AA278" s="118" t="s">
        <v>1165</v>
      </c>
      <c r="AB278" s="268" t="s">
        <v>1172</v>
      </c>
      <c r="AC278" s="324"/>
    </row>
    <row r="279" spans="1:29" ht="60" customHeight="1">
      <c r="A279" s="63">
        <v>270</v>
      </c>
      <c r="B279" s="65">
        <v>45099</v>
      </c>
      <c r="C279" s="63" t="s">
        <v>76</v>
      </c>
      <c r="D279" s="63" t="s">
        <v>1259</v>
      </c>
      <c r="E279" s="64" t="s">
        <v>1464</v>
      </c>
      <c r="F279" s="63">
        <v>3</v>
      </c>
      <c r="G279" s="63" t="s">
        <v>29</v>
      </c>
      <c r="H279" s="208">
        <v>45107</v>
      </c>
      <c r="I279" s="63" t="s">
        <v>73</v>
      </c>
      <c r="J279" s="65" t="s">
        <v>1216</v>
      </c>
      <c r="K279" s="7">
        <f>IFERROR(VLOOKUP(J279,Jueces!$A$1:$B$11,2,FALSE),"")</f>
        <v>1</v>
      </c>
      <c r="L279" s="63" t="s">
        <v>810</v>
      </c>
      <c r="M279" s="63" t="s">
        <v>692</v>
      </c>
      <c r="N279" s="63" t="s">
        <v>235</v>
      </c>
      <c r="O279" s="63" t="str">
        <f ca="1">IF(H279&lt;&gt;"",IF(H279&lt;=TODAY(),"SI","NO"),"LIMBO")</f>
        <v>SI</v>
      </c>
      <c r="P279" s="63" t="str">
        <f>IF($P$1=H279,"DIASOL", "DIANOSOL")</f>
        <v>DIANOSOL</v>
      </c>
      <c r="Q279" s="63" t="s">
        <v>151</v>
      </c>
      <c r="R279" s="7" t="str">
        <f>VLOOKUP($Q279,Resultados!$A$1:$B$49,2,FALSE)</f>
        <v>Prisión Preventiva</v>
      </c>
      <c r="S279" s="63" t="s">
        <v>1242</v>
      </c>
      <c r="T279" s="72" t="str">
        <f>IF(G279=$J$1,"SI","NO")</f>
        <v>NO</v>
      </c>
      <c r="U279" s="72"/>
      <c r="V279" s="7" t="str">
        <f ca="1">IF(color_Celda(E279)=12106214,"ROSA",IF(color_Celda(E279)=65535,"AMARILLO",IF(color_Celda(E279)=5296274,"VERDE",IF(color_Celda(E279)=16777215,"BLANCO","NO SE"))))</f>
        <v>ROSA</v>
      </c>
      <c r="W279" s="63" t="s">
        <v>76</v>
      </c>
      <c r="X279" s="63" t="s">
        <v>1452</v>
      </c>
      <c r="Y279" s="63"/>
      <c r="Z279" s="118" t="s">
        <v>770</v>
      </c>
      <c r="AA279" s="118" t="s">
        <v>743</v>
      </c>
      <c r="AB279" s="268" t="s">
        <v>1170</v>
      </c>
      <c r="AC279" s="324"/>
    </row>
    <row r="280" spans="1:29" ht="60" customHeight="1">
      <c r="A280" s="63">
        <v>280</v>
      </c>
      <c r="B280" s="65">
        <v>45100</v>
      </c>
      <c r="C280" s="63" t="s">
        <v>73</v>
      </c>
      <c r="D280" s="63" t="s">
        <v>1284</v>
      </c>
      <c r="E280" s="64" t="s">
        <v>1463</v>
      </c>
      <c r="F280" s="63">
        <v>3</v>
      </c>
      <c r="G280" s="63" t="s">
        <v>1434</v>
      </c>
      <c r="H280" s="208">
        <v>45107</v>
      </c>
      <c r="I280" s="63" t="s">
        <v>73</v>
      </c>
      <c r="J280" s="65" t="s">
        <v>78</v>
      </c>
      <c r="K280" s="7">
        <f>IFERROR(VLOOKUP(J280,Jueces!$A$1:$B$11,2,FALSE),"")</f>
        <v>8</v>
      </c>
      <c r="L280" s="63" t="s">
        <v>806</v>
      </c>
      <c r="M280" s="63" t="s">
        <v>1453</v>
      </c>
      <c r="N280" s="63" t="s">
        <v>1454</v>
      </c>
      <c r="O280" s="63" t="str">
        <f ca="1">IF(H280&lt;&gt;"",IF(H280&lt;=TODAY(),"SI","NO"),"LIMBO")</f>
        <v>SI</v>
      </c>
      <c r="P280" s="63" t="str">
        <f>IF($P$1=H280,"DIASOL", "DIANOSOL")</f>
        <v>DIANOSOL</v>
      </c>
      <c r="Q280" s="63" t="s">
        <v>151</v>
      </c>
      <c r="R280" s="7" t="str">
        <f>VLOOKUP($Q280,Resultados!$A$1:$B$49,2,FALSE)</f>
        <v>Prisión Preventiva</v>
      </c>
      <c r="S280" s="63" t="s">
        <v>1419</v>
      </c>
      <c r="T280" s="72" t="str">
        <f>IF(G280=$J$1,"SI","NO")</f>
        <v>NO</v>
      </c>
      <c r="U280" s="72"/>
      <c r="V280" s="7" t="str">
        <f ca="1">IF(color_Celda(E280)=12106214,"ROSA",IF(color_Celda(E280)=65535,"AMARILLO",IF(color_Celda(E280)=5296274,"VERDE",IF(color_Celda(E280)=16777215,"BLANCO","NO SE"))))</f>
        <v>ROSA</v>
      </c>
      <c r="W280" s="63" t="s">
        <v>1083</v>
      </c>
      <c r="X280" s="63" t="s">
        <v>1455</v>
      </c>
      <c r="Y280" s="63"/>
      <c r="Z280" s="118" t="s">
        <v>1038</v>
      </c>
      <c r="AA280" s="118" t="s">
        <v>1165</v>
      </c>
      <c r="AB280" s="118" t="s">
        <v>1169</v>
      </c>
      <c r="AC280" s="324"/>
    </row>
    <row r="281" spans="1:29" ht="60" customHeight="1">
      <c r="A281" s="63">
        <v>299</v>
      </c>
      <c r="B281" s="65">
        <v>45104</v>
      </c>
      <c r="C281" s="63" t="s">
        <v>76</v>
      </c>
      <c r="D281" s="63" t="s">
        <v>1360</v>
      </c>
      <c r="E281" s="64" t="s">
        <v>1462</v>
      </c>
      <c r="F281" s="63">
        <v>3</v>
      </c>
      <c r="G281" s="63" t="s">
        <v>283</v>
      </c>
      <c r="H281" s="208">
        <v>45107</v>
      </c>
      <c r="I281" s="63" t="s">
        <v>73</v>
      </c>
      <c r="J281" s="65" t="s">
        <v>1219</v>
      </c>
      <c r="K281" s="63" t="s">
        <v>1321</v>
      </c>
      <c r="L281" s="63" t="s">
        <v>809</v>
      </c>
      <c r="M281" s="63" t="s">
        <v>694</v>
      </c>
      <c r="N281" s="63" t="s">
        <v>1449</v>
      </c>
      <c r="O281" s="63" t="str">
        <f ca="1">IF(H281&lt;&gt;"",IF(H281&lt;=TODAY(),"SI","NO"),"LIMBO")</f>
        <v>SI</v>
      </c>
      <c r="P281" s="63" t="str">
        <f>IF($P$1=H281,"DIASOL", "DIANOSOL")</f>
        <v>DIANOSOL</v>
      </c>
      <c r="Q281" s="63" t="s">
        <v>902</v>
      </c>
      <c r="R281" s="7" t="str">
        <f>VLOOKUP($Q281,Resultados!$A$1:$B$49,2,FALSE)</f>
        <v>Juicio Abreviado</v>
      </c>
      <c r="S281" s="63" t="s">
        <v>1083</v>
      </c>
      <c r="T281" s="72" t="str">
        <f>IF(G281=$J$1,"SI","NO")</f>
        <v>NO</v>
      </c>
      <c r="U281" s="72"/>
      <c r="V281" s="7" t="str">
        <f ca="1">IF(color_Celda(E281)=12106214,"ROSA",IF(color_Celda(E281)=65535,"AMARILLO",IF(color_Celda(E281)=5296274,"VERDE",IF(color_Celda(E281)=16777215,"BLANCO","NO SE"))))</f>
        <v>ROSA</v>
      </c>
      <c r="W281" s="63" t="s">
        <v>1450</v>
      </c>
      <c r="X281" s="63" t="s">
        <v>1451</v>
      </c>
      <c r="Y281" s="63"/>
      <c r="Z281" s="118" t="s">
        <v>1039</v>
      </c>
      <c r="AA281" s="118" t="s">
        <v>1167</v>
      </c>
      <c r="AB281" s="268" t="s">
        <v>1171</v>
      </c>
      <c r="AC281" s="324"/>
    </row>
    <row r="282" spans="1:29" ht="60" customHeight="1">
      <c r="A282" s="63">
        <v>303</v>
      </c>
      <c r="B282" s="65">
        <v>45104</v>
      </c>
      <c r="C282" s="70">
        <v>0.4375</v>
      </c>
      <c r="D282" s="63" t="s">
        <v>1071</v>
      </c>
      <c r="E282" s="64" t="s">
        <v>1466</v>
      </c>
      <c r="F282" s="63">
        <v>4</v>
      </c>
      <c r="G282" s="63" t="s">
        <v>1435</v>
      </c>
      <c r="H282" s="208">
        <v>45107</v>
      </c>
      <c r="I282" s="70" t="s">
        <v>73</v>
      </c>
      <c r="J282" s="65" t="s">
        <v>31</v>
      </c>
      <c r="K282" s="63">
        <f>IFERROR(VLOOKUP(J282,Jueces!$A$1:$B$11,2,FALSE),"")</f>
        <v>2</v>
      </c>
      <c r="L282" s="63" t="s">
        <v>1445</v>
      </c>
      <c r="M282" s="63" t="s">
        <v>701</v>
      </c>
      <c r="N282" s="63" t="s">
        <v>1446</v>
      </c>
      <c r="O282" s="63" t="str">
        <f ca="1">IF(H282&lt;&gt;"",IF(H282&lt;=TODAY(),"SI","NO"),"LIMBO")</f>
        <v>SI</v>
      </c>
      <c r="P282" s="63" t="str">
        <f>IF($P$1=H282,"DIASOL", "DIANOSOL")</f>
        <v>DIANOSOL</v>
      </c>
      <c r="Q282" s="63" t="s">
        <v>151</v>
      </c>
      <c r="R282" s="7" t="str">
        <f>VLOOKUP($Q282,Resultados!$A$1:$B$49,2,FALSE)</f>
        <v>Prisión Preventiva</v>
      </c>
      <c r="S282" s="63"/>
      <c r="T282" s="72" t="str">
        <f>IF(G282=$J$1,"SI","NO")</f>
        <v>SI</v>
      </c>
      <c r="U282" s="72"/>
      <c r="V282" s="7" t="str">
        <f ca="1">IF(color_Celda(E282)=12106214,"ROSA",IF(color_Celda(E282)=65535,"AMARILLO",IF(color_Celda(E282)=5296274,"VERDE",IF(color_Celda(E282)=16777215,"BLANCO","NO SE"))))</f>
        <v>ROSA</v>
      </c>
      <c r="W282" s="63"/>
      <c r="X282" s="63"/>
      <c r="Y282" s="63"/>
      <c r="Z282" s="118" t="s">
        <v>748</v>
      </c>
      <c r="AA282" s="118" t="s">
        <v>743</v>
      </c>
      <c r="AB282" s="268" t="s">
        <v>1172</v>
      </c>
      <c r="AC282" s="324"/>
    </row>
    <row r="283" spans="1:29" ht="60" customHeight="1">
      <c r="A283" s="63">
        <v>269</v>
      </c>
      <c r="B283" s="65">
        <v>45099</v>
      </c>
      <c r="C283" s="63" t="s">
        <v>76</v>
      </c>
      <c r="D283" s="63" t="s">
        <v>1246</v>
      </c>
      <c r="E283" s="64" t="s">
        <v>1461</v>
      </c>
      <c r="F283" s="63">
        <v>3</v>
      </c>
      <c r="G283" s="63" t="s">
        <v>32</v>
      </c>
      <c r="H283" s="208">
        <v>45107</v>
      </c>
      <c r="I283" s="63" t="s">
        <v>1083</v>
      </c>
      <c r="J283" s="65" t="s">
        <v>33</v>
      </c>
      <c r="K283" s="63">
        <f>IFERROR(VLOOKUP(J283,Jueces!$A$1:$B$11,2,FALSE),"")</f>
        <v>4</v>
      </c>
      <c r="L283" s="63" t="s">
        <v>1445</v>
      </c>
      <c r="M283" s="63" t="s">
        <v>1459</v>
      </c>
      <c r="N283" s="63" t="s">
        <v>1460</v>
      </c>
      <c r="O283" s="63" t="str">
        <f ca="1">IF(H283&lt;&gt;"",IF(H283&lt;=TODAY(),"SI","NO"),"LIMBO")</f>
        <v>SI</v>
      </c>
      <c r="P283" s="63" t="str">
        <f>IF($P$1=H283,"DIASOL", "DIANOSOL")</f>
        <v>DIANOSOL</v>
      </c>
      <c r="Q283" s="63" t="s">
        <v>151</v>
      </c>
      <c r="R283" s="7" t="str">
        <f>VLOOKUP($Q283,Resultados!$A$1:$B$49,2,FALSE)</f>
        <v>Prisión Preventiva</v>
      </c>
      <c r="S283" s="63" t="s">
        <v>1457</v>
      </c>
      <c r="T283" s="72" t="str">
        <f>IF(G283=$J$1,"SI","NO")</f>
        <v>NO</v>
      </c>
      <c r="U283" s="72"/>
      <c r="V283" s="7" t="str">
        <f ca="1">IF(color_Celda(E283)=12106214,"ROSA",IF(color_Celda(E283)=65535,"AMARILLO",IF(color_Celda(E283)=5296274,"VERDE",IF(color_Celda(E283)=16777215,"BLANCO","NO SE"))))</f>
        <v>ROSA</v>
      </c>
      <c r="W283" s="63" t="s">
        <v>1458</v>
      </c>
      <c r="X283" s="63"/>
      <c r="Y283" s="63"/>
      <c r="Z283" s="118" t="s">
        <v>743</v>
      </c>
      <c r="AA283" s="118" t="s">
        <v>1165</v>
      </c>
      <c r="AB283" s="268" t="s">
        <v>1173</v>
      </c>
      <c r="AC283" s="324"/>
    </row>
    <row r="284" spans="1:29" ht="60" customHeight="1">
      <c r="A284" s="63">
        <v>300</v>
      </c>
      <c r="B284" s="65">
        <v>45104</v>
      </c>
      <c r="C284" s="63" t="s">
        <v>75</v>
      </c>
      <c r="D284" s="63" t="s">
        <v>1363</v>
      </c>
      <c r="E284" s="64" t="s">
        <v>1364</v>
      </c>
      <c r="F284" s="63">
        <v>3</v>
      </c>
      <c r="G284" s="63" t="s">
        <v>43</v>
      </c>
      <c r="H284" s="208">
        <v>45107</v>
      </c>
      <c r="I284" s="70" t="s">
        <v>75</v>
      </c>
      <c r="J284" s="65" t="s">
        <v>35</v>
      </c>
      <c r="K284" s="63">
        <f>IFERROR(VLOOKUP(J284,Jueces!$A$1:$B$11,2,FALSE),"")</f>
        <v>3</v>
      </c>
      <c r="L284" s="63" t="s">
        <v>810</v>
      </c>
      <c r="M284" s="63" t="s">
        <v>1378</v>
      </c>
      <c r="N284" s="63" t="s">
        <v>1467</v>
      </c>
      <c r="O284" s="63" t="str">
        <f ca="1">IF(H284&lt;&gt;"",IF(H284&lt;=TODAY(),"SI","NO"),"LIMBO")</f>
        <v>SI</v>
      </c>
      <c r="P284" s="63" t="str">
        <f>IF($P$1=H284,"DIASOL", "DIANOSOL")</f>
        <v>DIANOSOL</v>
      </c>
      <c r="Q284" s="63" t="s">
        <v>903</v>
      </c>
      <c r="R284" s="7" t="str">
        <f>VLOOKUP($Q284,Resultados!$A$1:$B$49,2,FALSE)</f>
        <v>Juicio Abreviado</v>
      </c>
      <c r="S284" s="63" t="s">
        <v>75</v>
      </c>
      <c r="T284" s="72" t="str">
        <f>IF(G284=$J$1,"SI","NO")</f>
        <v>NO</v>
      </c>
      <c r="U284" s="72"/>
      <c r="V284" s="7" t="str">
        <f ca="1">IF(color_Celda(E284)=12106214,"ROSA",IF(color_Celda(E284)=65535,"AMARILLO",IF(color_Celda(E284)=5296274,"VERDE",IF(color_Celda(E284)=16777215,"BLANCO","NO SE"))))</f>
        <v>ROSA</v>
      </c>
      <c r="W284" s="63" t="s">
        <v>1240</v>
      </c>
      <c r="X284" s="63"/>
      <c r="Y284" s="63"/>
      <c r="Z284" s="118" t="s">
        <v>743</v>
      </c>
      <c r="AA284" s="118" t="s">
        <v>1165</v>
      </c>
      <c r="AB284" s="268" t="s">
        <v>1172</v>
      </c>
      <c r="AC284" s="324"/>
    </row>
    <row r="285" spans="1:29" ht="60" customHeight="1">
      <c r="A285" s="63">
        <v>282</v>
      </c>
      <c r="B285" s="65">
        <v>45100</v>
      </c>
      <c r="C285" s="70">
        <v>0.35902777777777778</v>
      </c>
      <c r="D285" s="63" t="s">
        <v>1313</v>
      </c>
      <c r="E285" s="64" t="s">
        <v>1505</v>
      </c>
      <c r="F285" s="63">
        <v>3</v>
      </c>
      <c r="G285" s="63" t="s">
        <v>1435</v>
      </c>
      <c r="H285" s="208">
        <v>45110</v>
      </c>
      <c r="I285" s="70" t="s">
        <v>73</v>
      </c>
      <c r="J285" s="65" t="s">
        <v>1217</v>
      </c>
      <c r="K285" s="63">
        <f>IFERROR(VLOOKUP(J285,Jueces!$A$1:$B$11,2,FALSE),"")</f>
        <v>7</v>
      </c>
      <c r="L285" s="63" t="s">
        <v>810</v>
      </c>
      <c r="M285" s="63" t="s">
        <v>693</v>
      </c>
      <c r="N285" s="63" t="s">
        <v>1497</v>
      </c>
      <c r="O285" s="63" t="str">
        <f ca="1">IF(H285&lt;&gt;"",IF(H285&lt;=TODAY(),"SI","NO"),"LIMBO")</f>
        <v>SI</v>
      </c>
      <c r="P285" s="63" t="str">
        <f>IF($P$1=H285,"DIASOL", "DIANOSOL")</f>
        <v>DIANOSOL</v>
      </c>
      <c r="Q285" s="63" t="s">
        <v>902</v>
      </c>
      <c r="R285" s="7" t="str">
        <f>VLOOKUP($Q285,Resultados!$A$1:$B$49,2,FALSE)</f>
        <v>Juicio Abreviado</v>
      </c>
      <c r="S285" s="70">
        <v>0.36458333333333331</v>
      </c>
      <c r="T285" s="72" t="str">
        <f>IF(G285=$J$1,"SI","NO")</f>
        <v>SI</v>
      </c>
      <c r="U285" s="72"/>
      <c r="V285" s="7" t="str">
        <f ca="1">IF(color_Celda(E285)=12106214,"ROSA",IF(color_Celda(E285)=65535,"AMARILLO",IF(color_Celda(E285)=5296274,"VERDE",IF(color_Celda(E285)=16777215,"BLANCO","NO SE"))))</f>
        <v>ROSA</v>
      </c>
      <c r="W285" s="70">
        <v>0.375</v>
      </c>
      <c r="X285" s="63" t="s">
        <v>1498</v>
      </c>
      <c r="Y285" s="63"/>
      <c r="Z285" s="118" t="s">
        <v>770</v>
      </c>
      <c r="AA285" s="118" t="s">
        <v>1165</v>
      </c>
      <c r="AB285" s="118" t="s">
        <v>1170</v>
      </c>
      <c r="AC285" s="324"/>
    </row>
    <row r="286" spans="1:29" ht="60" customHeight="1">
      <c r="A286" s="63">
        <v>283</v>
      </c>
      <c r="B286" s="65">
        <v>45100</v>
      </c>
      <c r="C286" s="70">
        <v>0.42638888888888887</v>
      </c>
      <c r="D286" s="63" t="s">
        <v>1307</v>
      </c>
      <c r="E286" s="64" t="s">
        <v>1506</v>
      </c>
      <c r="F286" s="63">
        <v>2</v>
      </c>
      <c r="G286" s="63" t="s">
        <v>568</v>
      </c>
      <c r="H286" s="208">
        <v>45110</v>
      </c>
      <c r="I286" s="63" t="s">
        <v>73</v>
      </c>
      <c r="J286" s="65" t="s">
        <v>78</v>
      </c>
      <c r="K286" s="63">
        <f>IFERROR(VLOOKUP(J286,Jueces!$A$1:$B$11,2,FALSE),"")</f>
        <v>8</v>
      </c>
      <c r="L286" s="63" t="s">
        <v>809</v>
      </c>
      <c r="M286" s="63" t="s">
        <v>1490</v>
      </c>
      <c r="N286" s="63" t="s">
        <v>897</v>
      </c>
      <c r="O286" s="63" t="str">
        <f ca="1">IF(H286&lt;&gt;"",IF(H286&lt;=TODAY(),"SI","NO"),"LIMBO")</f>
        <v>SI</v>
      </c>
      <c r="P286" s="63" t="str">
        <f>IF($P$1=H286,"DIASOL", "DIANOSOL")</f>
        <v>DIANOSOL</v>
      </c>
      <c r="Q286" s="63" t="s">
        <v>897</v>
      </c>
      <c r="R286" s="7" t="str">
        <f>VLOOKUP($Q286,Resultados!$A$1:$B$49,2,FALSE)</f>
        <v>Libertad</v>
      </c>
      <c r="S286" s="63" t="s">
        <v>1292</v>
      </c>
      <c r="T286" s="72" t="str">
        <f>IF(G286=$J$1,"SI","NO")</f>
        <v>NO</v>
      </c>
      <c r="U286" s="72"/>
      <c r="V286" s="7" t="str">
        <f ca="1">IF(color_Celda(E286)=12106214,"ROSA",IF(color_Celda(E286)=65535,"AMARILLO",IF(color_Celda(E286)=5296274,"VERDE",IF(color_Celda(E286)=16777215,"BLANCO","NO SE"))))</f>
        <v>ROSA</v>
      </c>
      <c r="W286" s="63" t="s">
        <v>1489</v>
      </c>
      <c r="X286" s="63" t="s">
        <v>1499</v>
      </c>
      <c r="Y286" s="63"/>
      <c r="Z286" s="118" t="s">
        <v>1038</v>
      </c>
      <c r="AA286" s="118" t="s">
        <v>1167</v>
      </c>
      <c r="AB286" s="118" t="s">
        <v>1169</v>
      </c>
      <c r="AC286" s="324"/>
    </row>
    <row r="287" spans="1:29" ht="60" customHeight="1">
      <c r="A287" s="63">
        <v>284</v>
      </c>
      <c r="B287" s="65">
        <v>45100</v>
      </c>
      <c r="C287" s="70">
        <v>0.43958333333333338</v>
      </c>
      <c r="D287" s="63" t="s">
        <v>1309</v>
      </c>
      <c r="E287" s="64" t="s">
        <v>1507</v>
      </c>
      <c r="F287" s="63">
        <v>2</v>
      </c>
      <c r="G287" s="63" t="s">
        <v>29</v>
      </c>
      <c r="H287" s="208">
        <v>45110</v>
      </c>
      <c r="I287" s="63" t="s">
        <v>73</v>
      </c>
      <c r="J287" s="65" t="s">
        <v>35</v>
      </c>
      <c r="K287" s="63">
        <f>IFERROR(VLOOKUP(J287,Jueces!$A$1:$B$11,2,FALSE),"")</f>
        <v>3</v>
      </c>
      <c r="L287" s="63" t="s">
        <v>326</v>
      </c>
      <c r="M287" s="63" t="s">
        <v>1175</v>
      </c>
      <c r="N287" s="63" t="s">
        <v>1487</v>
      </c>
      <c r="O287" s="63" t="str">
        <f ca="1">IF(H287&lt;&gt;"",IF(H287&lt;=TODAY(),"SI","NO"),"LIMBO")</f>
        <v>SI</v>
      </c>
      <c r="P287" s="63" t="str">
        <f>IF($P$1=H287,"DIASOL", "DIANOSOL")</f>
        <v>DIANOSOL</v>
      </c>
      <c r="Q287" s="63" t="s">
        <v>151</v>
      </c>
      <c r="R287" s="7" t="str">
        <f>VLOOKUP($Q287,Resultados!$A$1:$B$49,2,FALSE)</f>
        <v>Prisión Preventiva</v>
      </c>
      <c r="S287" s="70">
        <v>0.36249999999999999</v>
      </c>
      <c r="T287" s="72" t="str">
        <f>IF(G287=$J$1,"SI","NO")</f>
        <v>NO</v>
      </c>
      <c r="U287" s="72"/>
      <c r="V287" s="7" t="str">
        <f ca="1">IF(color_Celda(E287)=12106214,"ROSA",IF(color_Celda(E287)=65535,"AMARILLO",IF(color_Celda(E287)=5296274,"VERDE",IF(color_Celda(E287)=16777215,"BLANCO","NO SE"))))</f>
        <v>ROSA</v>
      </c>
      <c r="W287" s="70">
        <v>0.37777777777777777</v>
      </c>
      <c r="X287" s="63" t="s">
        <v>1488</v>
      </c>
      <c r="Y287" s="63"/>
      <c r="Z287" s="118" t="s">
        <v>1039</v>
      </c>
      <c r="AA287" s="118" t="s">
        <v>743</v>
      </c>
      <c r="AB287" s="118" t="s">
        <v>1171</v>
      </c>
      <c r="AC287" s="324"/>
    </row>
    <row r="288" spans="1:29" ht="60" customHeight="1">
      <c r="A288" s="63">
        <v>315</v>
      </c>
      <c r="B288" s="65">
        <v>45105</v>
      </c>
      <c r="C288" s="70">
        <v>0.5395833333333333</v>
      </c>
      <c r="D288" s="63" t="s">
        <v>1402</v>
      </c>
      <c r="E288" s="64" t="s">
        <v>1508</v>
      </c>
      <c r="F288" s="63">
        <v>2</v>
      </c>
      <c r="G288" s="63" t="s">
        <v>32</v>
      </c>
      <c r="H288" s="208">
        <v>45110</v>
      </c>
      <c r="I288" s="65" t="s">
        <v>73</v>
      </c>
      <c r="J288" s="65" t="s">
        <v>1216</v>
      </c>
      <c r="K288" s="63">
        <f>IFERROR(VLOOKUP(J288,Jueces!$A$1:$B$11,2,FALSE),"")</f>
        <v>1</v>
      </c>
      <c r="L288" s="63" t="s">
        <v>791</v>
      </c>
      <c r="M288" s="63" t="s">
        <v>1426</v>
      </c>
      <c r="N288" s="63" t="s">
        <v>510</v>
      </c>
      <c r="O288" s="63" t="str">
        <f ca="1">IF(H288&lt;&gt;"",IF(H288&lt;=TODAY(),"SI","NO"),"LIMBO")</f>
        <v>SI</v>
      </c>
      <c r="P288" s="63" t="str">
        <f>IF($P$1=H288,"DIASOL", "DIANOSOL")</f>
        <v>DIANOSOL</v>
      </c>
      <c r="Q288" s="63" t="s">
        <v>897</v>
      </c>
      <c r="R288" s="7" t="str">
        <f>VLOOKUP($Q288,Resultados!$A$1:$B$49,2,FALSE)</f>
        <v>Libertad</v>
      </c>
      <c r="S288" s="63" t="s">
        <v>1491</v>
      </c>
      <c r="T288" s="72" t="str">
        <f>IF(G288=$J$1,"SI","NO")</f>
        <v>NO</v>
      </c>
      <c r="U288" s="72"/>
      <c r="V288" s="7" t="str">
        <f ca="1">IF(color_Celda(E288)=12106214,"ROSA",IF(color_Celda(E288)=65535,"AMARILLO",IF(color_Celda(E288)=5296274,"VERDE",IF(color_Celda(E288)=16777215,"BLANCO","NO SE"))))</f>
        <v>ROSA</v>
      </c>
      <c r="W288" s="63" t="s">
        <v>1126</v>
      </c>
      <c r="X288" s="63" t="s">
        <v>1500</v>
      </c>
      <c r="Y288" s="63"/>
      <c r="Z288" s="118" t="s">
        <v>748</v>
      </c>
      <c r="AA288" s="118" t="s">
        <v>1165</v>
      </c>
      <c r="AB288" s="118" t="s">
        <v>1173</v>
      </c>
      <c r="AC288" s="324"/>
    </row>
    <row r="289" spans="1:29" ht="60" customHeight="1">
      <c r="A289" s="63">
        <v>268</v>
      </c>
      <c r="B289" s="65">
        <v>45099</v>
      </c>
      <c r="C289" s="70" t="s">
        <v>76</v>
      </c>
      <c r="D289" s="63" t="s">
        <v>1258</v>
      </c>
      <c r="E289" s="64" t="s">
        <v>1509</v>
      </c>
      <c r="F289" s="63">
        <v>2</v>
      </c>
      <c r="G289" s="63" t="s">
        <v>1435</v>
      </c>
      <c r="H289" s="208">
        <v>45110</v>
      </c>
      <c r="I289" s="63" t="s">
        <v>1083</v>
      </c>
      <c r="J289" s="65" t="s">
        <v>1217</v>
      </c>
      <c r="K289" s="63">
        <f>IFERROR(VLOOKUP(J289,Jueces!$A$1:$B$11,2,FALSE),"")</f>
        <v>7</v>
      </c>
      <c r="L289" s="63" t="s">
        <v>811</v>
      </c>
      <c r="M289" s="63" t="s">
        <v>1285</v>
      </c>
      <c r="N289" s="63" t="s">
        <v>1495</v>
      </c>
      <c r="O289" s="63" t="str">
        <f ca="1">IF(H289&lt;&gt;"",IF(H289&lt;=TODAY(),"SI","NO"),"LIMBO")</f>
        <v>SI</v>
      </c>
      <c r="P289" s="63" t="str">
        <f>IF($P$1=H289,"DIASOL", "DIANOSOL")</f>
        <v>DIANOSOL</v>
      </c>
      <c r="Q289" s="63" t="s">
        <v>902</v>
      </c>
      <c r="R289" s="7" t="str">
        <f>VLOOKUP($Q289,Resultados!$A$1:$B$49,2,FALSE)</f>
        <v>Juicio Abreviado</v>
      </c>
      <c r="S289" s="70">
        <v>0.40625</v>
      </c>
      <c r="T289" s="72" t="str">
        <f>IF(G289=$J$1,"SI","NO")</f>
        <v>SI</v>
      </c>
      <c r="U289" s="72"/>
      <c r="V289" s="7" t="str">
        <f ca="1">IF(color_Celda(E289)=12106214,"ROSA",IF(color_Celda(E289)=65535,"AMARILLO",IF(color_Celda(E289)=5296274,"VERDE",IF(color_Celda(E289)=16777215,"BLANCO","NO SE"))))</f>
        <v>ROSA</v>
      </c>
      <c r="W289" s="70">
        <v>0.41388888888888892</v>
      </c>
      <c r="X289" s="63" t="s">
        <v>1496</v>
      </c>
      <c r="Y289" s="63"/>
      <c r="Z289" s="118" t="s">
        <v>743</v>
      </c>
      <c r="AA289" s="118" t="s">
        <v>1165</v>
      </c>
      <c r="AB289" s="118" t="s">
        <v>1172</v>
      </c>
      <c r="AC289" s="324"/>
    </row>
    <row r="290" spans="1:29" ht="60" customHeight="1">
      <c r="A290" s="7">
        <v>289</v>
      </c>
      <c r="B290" s="19">
        <v>45100</v>
      </c>
      <c r="C290" s="15">
        <v>0.4770833333333333</v>
      </c>
      <c r="D290" s="7" t="s">
        <v>1315</v>
      </c>
      <c r="E290" s="40" t="s">
        <v>1510</v>
      </c>
      <c r="F290" s="7">
        <v>3</v>
      </c>
      <c r="G290" s="7" t="s">
        <v>43</v>
      </c>
      <c r="H290" s="297">
        <v>45110</v>
      </c>
      <c r="I290" s="7" t="s">
        <v>1083</v>
      </c>
      <c r="J290" s="65" t="s">
        <v>1216</v>
      </c>
      <c r="K290" s="63">
        <f>IFERROR(VLOOKUP(J290,Jueces!$A$1:$B$11,2,FALSE),"")</f>
        <v>1</v>
      </c>
      <c r="L290" s="7" t="s">
        <v>810</v>
      </c>
      <c r="M290" s="7" t="s">
        <v>693</v>
      </c>
      <c r="N290" s="7" t="s">
        <v>1503</v>
      </c>
      <c r="O290" s="7" t="str">
        <f ca="1">IF(H290&lt;&gt;"",IF(H290&lt;=TODAY(),"SI","NO"),"LIMBO")</f>
        <v>SI</v>
      </c>
      <c r="P290" s="7" t="str">
        <f>IF($P$1=H290,"DIASOL", "DIANOSOL")</f>
        <v>DIANOSOL</v>
      </c>
      <c r="Q290" s="7" t="s">
        <v>902</v>
      </c>
      <c r="R290" s="7" t="str">
        <f>VLOOKUP($Q290,Resultados!$A$1:$B$49,2,FALSE)</f>
        <v>Juicio Abreviado</v>
      </c>
      <c r="S290" s="7" t="s">
        <v>1501</v>
      </c>
      <c r="T290" s="68" t="str">
        <f>IF(G290=$J$1,"SI","NO")</f>
        <v>NO</v>
      </c>
      <c r="U290" s="68"/>
      <c r="V290" s="7" t="str">
        <f ca="1">IF(color_Celda(E290)=12106214,"ROSA",IF(color_Celda(E290)=65535,"AMARILLO",IF(color_Celda(E290)=5296274,"VERDE",IF(color_Celda(E290)=16777215,"BLANCO","NO SE"))))</f>
        <v>ROSA</v>
      </c>
      <c r="W290" s="7" t="s">
        <v>1502</v>
      </c>
      <c r="X290" s="7"/>
      <c r="Y290" s="7"/>
      <c r="Z290" s="268" t="s">
        <v>770</v>
      </c>
      <c r="AA290" s="118" t="s">
        <v>1167</v>
      </c>
      <c r="AB290" s="268" t="s">
        <v>1170</v>
      </c>
      <c r="AC290" s="324"/>
    </row>
    <row r="291" spans="1:29" ht="60" customHeight="1">
      <c r="A291" s="107">
        <v>294</v>
      </c>
      <c r="B291" s="253">
        <v>45103</v>
      </c>
      <c r="C291" s="258">
        <v>0.45416666666666666</v>
      </c>
      <c r="D291" s="107" t="s">
        <v>1338</v>
      </c>
      <c r="E291" s="108" t="s">
        <v>1511</v>
      </c>
      <c r="F291" s="107">
        <v>2</v>
      </c>
      <c r="G291" s="63" t="s">
        <v>1434</v>
      </c>
      <c r="H291" s="497">
        <v>45110</v>
      </c>
      <c r="I291" s="107" t="s">
        <v>1083</v>
      </c>
      <c r="J291" s="65" t="s">
        <v>78</v>
      </c>
      <c r="K291" s="63">
        <f>IFERROR(VLOOKUP(J291,Jueces!$A$1:$B$11,2,FALSE),"")</f>
        <v>8</v>
      </c>
      <c r="L291" s="63" t="s">
        <v>1494</v>
      </c>
      <c r="M291" s="63" t="s">
        <v>1175</v>
      </c>
      <c r="N291" s="107" t="s">
        <v>1492</v>
      </c>
      <c r="O291" s="63" t="str">
        <f ca="1">IF(H291&lt;&gt;"",IF(H291&lt;=TODAY(),"SI","NO"),"LIMBO")</f>
        <v>SI</v>
      </c>
      <c r="P291" s="63" t="str">
        <f>IF($P$1=H291,"DIASOL", "DIANOSOL")</f>
        <v>DIANOSOL</v>
      </c>
      <c r="Q291" s="107" t="s">
        <v>903</v>
      </c>
      <c r="R291" s="7" t="str">
        <f>VLOOKUP($Q291,Resultados!$A$1:$B$49,2,FALSE)</f>
        <v>Juicio Abreviado</v>
      </c>
      <c r="S291" s="258">
        <v>0.3923611111111111</v>
      </c>
      <c r="T291" s="72" t="str">
        <f>IF(G291=$J$1,"SI","NO")</f>
        <v>NO</v>
      </c>
      <c r="U291" s="109"/>
      <c r="V291" s="7" t="str">
        <f ca="1">IF(color_Celda(E291)=12106214,"ROSA",IF(color_Celda(E291)=65535,"AMARILLO",IF(color_Celda(E291)=5296274,"VERDE",IF(color_Celda(E291)=16777215,"BLANCO","NO SE"))))</f>
        <v>ROSA</v>
      </c>
      <c r="W291" s="258">
        <v>0.40208333333333335</v>
      </c>
      <c r="X291" s="107" t="s">
        <v>1493</v>
      </c>
      <c r="Y291" s="107"/>
      <c r="Z291" s="268" t="s">
        <v>1038</v>
      </c>
      <c r="AA291" s="118" t="s">
        <v>743</v>
      </c>
      <c r="AB291" s="118" t="s">
        <v>1169</v>
      </c>
      <c r="AC291" s="324"/>
    </row>
    <row r="292" spans="1:29" ht="60" customHeight="1">
      <c r="A292" s="63">
        <v>286</v>
      </c>
      <c r="B292" s="65">
        <v>45099</v>
      </c>
      <c r="C292" s="70">
        <v>0.39583333333333331</v>
      </c>
      <c r="D292" s="63" t="s">
        <v>1310</v>
      </c>
      <c r="E292" s="64" t="s">
        <v>1538</v>
      </c>
      <c r="F292" s="63">
        <v>3</v>
      </c>
      <c r="G292" s="63" t="s">
        <v>32</v>
      </c>
      <c r="H292" s="208">
        <v>45111</v>
      </c>
      <c r="I292" s="63" t="s">
        <v>73</v>
      </c>
      <c r="J292" s="65" t="s">
        <v>1217</v>
      </c>
      <c r="K292" s="63">
        <f>IFERROR(VLOOKUP(J292,Jueces!$A$1:$B$11,2,FALSE),"")</f>
        <v>7</v>
      </c>
      <c r="L292" s="63" t="s">
        <v>806</v>
      </c>
      <c r="M292" s="63" t="s">
        <v>1519</v>
      </c>
      <c r="N292" s="63" t="s">
        <v>1520</v>
      </c>
      <c r="O292" s="63" t="str">
        <f ca="1">IF(H292&lt;&gt;"",IF(H292&lt;=TODAY(),"SI","NO"),"LIMBO")</f>
        <v>SI</v>
      </c>
      <c r="P292" s="63" t="str">
        <f>IF($P$1=H292,"DIASOL", "DIANOSOL")</f>
        <v>DIANOSOL</v>
      </c>
      <c r="Q292" s="63" t="s">
        <v>151</v>
      </c>
      <c r="R292" s="7" t="str">
        <f>VLOOKUP($Q292,Resultados!$A$1:$B$49,2,FALSE)</f>
        <v>Prisión Preventiva</v>
      </c>
      <c r="S292" s="63" t="s">
        <v>1419</v>
      </c>
      <c r="T292" s="72" t="str">
        <f>IF(G292=$J$1,"SI","NO")</f>
        <v>NO</v>
      </c>
      <c r="U292" s="72"/>
      <c r="V292" s="7" t="str">
        <f ca="1">IF(color_Celda(E292)=12106214,"ROSA",IF(color_Celda(E292)=65535,"AMARILLO",IF(color_Celda(E292)=5296274,"VERDE",IF(color_Celda(E292)=16777215,"BLANCO","NO SE"))))</f>
        <v>ROSA</v>
      </c>
      <c r="W292" s="63" t="s">
        <v>1006</v>
      </c>
      <c r="X292" s="63" t="s">
        <v>1521</v>
      </c>
      <c r="Y292" s="63"/>
      <c r="Z292" s="118" t="s">
        <v>1039</v>
      </c>
      <c r="AA292" s="118" t="s">
        <v>1165</v>
      </c>
      <c r="AB292" s="118" t="s">
        <v>1171</v>
      </c>
      <c r="AC292" s="324"/>
    </row>
    <row r="293" spans="1:29" ht="60" customHeight="1">
      <c r="A293" s="63">
        <v>290</v>
      </c>
      <c r="B293" s="65">
        <v>45100</v>
      </c>
      <c r="C293" s="70">
        <v>0.5083333333333333</v>
      </c>
      <c r="D293" s="63" t="s">
        <v>1322</v>
      </c>
      <c r="E293" s="64" t="s">
        <v>1537</v>
      </c>
      <c r="F293" s="63">
        <v>1</v>
      </c>
      <c r="G293" s="63" t="s">
        <v>1433</v>
      </c>
      <c r="H293" s="208">
        <v>45111</v>
      </c>
      <c r="I293" s="63" t="s">
        <v>73</v>
      </c>
      <c r="J293" s="65" t="s">
        <v>35</v>
      </c>
      <c r="K293" s="63">
        <f>IFERROR(VLOOKUP(J293,Jueces!$A$1:$B$11,2,FALSE),"")</f>
        <v>3</v>
      </c>
      <c r="L293" s="63" t="s">
        <v>405</v>
      </c>
      <c r="M293" s="63" t="s">
        <v>1084</v>
      </c>
      <c r="N293" s="63" t="s">
        <v>1522</v>
      </c>
      <c r="O293" s="63" t="str">
        <f ca="1">IF(H293&lt;&gt;"",IF(H293&lt;=TODAY(),"SI","NO"),"LIMBO")</f>
        <v>SI</v>
      </c>
      <c r="P293" s="63" t="str">
        <f>IF($P$1=H293,"DIASOL", "DIANOSOL")</f>
        <v>DIANOSOL</v>
      </c>
      <c r="Q293" s="63" t="s">
        <v>897</v>
      </c>
      <c r="R293" s="7" t="str">
        <f>VLOOKUP($Q293,Resultados!$A$1:$B$49,2,FALSE)</f>
        <v>Libertad</v>
      </c>
      <c r="S293" s="63" t="s">
        <v>73</v>
      </c>
      <c r="T293" s="72" t="str">
        <f>IF(G293=$J$1,"SI","NO")</f>
        <v>NO</v>
      </c>
      <c r="U293" s="72"/>
      <c r="V293" s="7" t="str">
        <f ca="1">IF(color_Celda(E293)=12106214,"ROSA",IF(color_Celda(E293)=65535,"AMARILLO",IF(color_Celda(E293)=5296274,"VERDE",IF(color_Celda(E293)=16777215,"BLANCO","NO SE"))))</f>
        <v>ROSA</v>
      </c>
      <c r="W293" s="63" t="s">
        <v>1006</v>
      </c>
      <c r="X293" s="63" t="s">
        <v>1523</v>
      </c>
      <c r="Y293" s="63"/>
      <c r="Z293" s="118" t="s">
        <v>748</v>
      </c>
      <c r="AA293" s="118" t="s">
        <v>1167</v>
      </c>
      <c r="AB293" s="118" t="s">
        <v>1169</v>
      </c>
      <c r="AC293" s="324"/>
    </row>
    <row r="294" spans="1:29" ht="60" customHeight="1">
      <c r="A294" s="63">
        <v>298</v>
      </c>
      <c r="B294" s="65">
        <v>45104</v>
      </c>
      <c r="C294" s="70" t="s">
        <v>76</v>
      </c>
      <c r="D294" s="63" t="s">
        <v>1403</v>
      </c>
      <c r="E294" s="64" t="s">
        <v>1536</v>
      </c>
      <c r="F294" s="63">
        <v>2</v>
      </c>
      <c r="G294" s="63" t="s">
        <v>1434</v>
      </c>
      <c r="H294" s="208">
        <v>45111</v>
      </c>
      <c r="I294" s="63" t="s">
        <v>73</v>
      </c>
      <c r="J294" s="65" t="s">
        <v>1216</v>
      </c>
      <c r="K294" s="63">
        <f>IFERROR(VLOOKUP(J294,Jueces!$A$1:$B$11,2,FALSE),"")</f>
        <v>1</v>
      </c>
      <c r="L294" s="63" t="s">
        <v>185</v>
      </c>
      <c r="M294" s="63" t="s">
        <v>1175</v>
      </c>
      <c r="N294" s="63" t="s">
        <v>1525</v>
      </c>
      <c r="O294" s="63" t="str">
        <f ca="1">IF(H294&lt;&gt;"",IF(H294&lt;=TODAY(),"SI","NO"),"LIMBO")</f>
        <v>SI</v>
      </c>
      <c r="P294" s="63" t="str">
        <f>IF($P$1=H294,"DIASOL", "DIANOSOL")</f>
        <v>DIANOSOL</v>
      </c>
      <c r="Q294" s="63" t="s">
        <v>902</v>
      </c>
      <c r="R294" s="7" t="str">
        <f>VLOOKUP($Q294,Resultados!$A$1:$B$49,2,FALSE)</f>
        <v>Juicio Abreviado</v>
      </c>
      <c r="S294" s="63" t="s">
        <v>1524</v>
      </c>
      <c r="T294" s="72" t="str">
        <f>IF(G294=$J$1,"SI","NO")</f>
        <v>NO</v>
      </c>
      <c r="U294" s="72"/>
      <c r="V294" s="7" t="str">
        <f ca="1">IF(color_Celda(E294)=12106214,"ROSA",IF(color_Celda(E294)=65535,"AMARILLO",IF(color_Celda(E294)=5296274,"VERDE",IF(color_Celda(E294)=16777215,"BLANCO","NO SE"))))</f>
        <v>ROSA</v>
      </c>
      <c r="W294" s="63" t="s">
        <v>686</v>
      </c>
      <c r="X294" s="63"/>
      <c r="Y294" s="63"/>
      <c r="Z294" s="118" t="s">
        <v>743</v>
      </c>
      <c r="AA294" s="118" t="s">
        <v>1165</v>
      </c>
      <c r="AB294" s="118" t="s">
        <v>1172</v>
      </c>
      <c r="AC294" s="324"/>
    </row>
    <row r="295" spans="1:29" ht="60" customHeight="1">
      <c r="A295" s="63">
        <v>304</v>
      </c>
      <c r="B295" s="65">
        <v>45104</v>
      </c>
      <c r="C295" s="63" t="s">
        <v>77</v>
      </c>
      <c r="D295" s="63" t="s">
        <v>1377</v>
      </c>
      <c r="E295" s="64" t="s">
        <v>1535</v>
      </c>
      <c r="F295" s="63">
        <v>2</v>
      </c>
      <c r="G295" s="63" t="s">
        <v>29</v>
      </c>
      <c r="H295" s="208">
        <v>45111</v>
      </c>
      <c r="I295" s="65" t="s">
        <v>73</v>
      </c>
      <c r="J295" s="65" t="s">
        <v>78</v>
      </c>
      <c r="K295" s="63">
        <f>IFERROR(VLOOKUP(J295,Jueces!$A$1:$B$11,2,FALSE),"")</f>
        <v>8</v>
      </c>
      <c r="L295" s="63" t="s">
        <v>810</v>
      </c>
      <c r="M295" s="63" t="s">
        <v>783</v>
      </c>
      <c r="N295" s="63" t="s">
        <v>1526</v>
      </c>
      <c r="O295" s="63" t="str">
        <f ca="1">IF(H295&lt;&gt;"",IF(H295&lt;=TODAY(),"SI","NO"),"LIMBO")</f>
        <v>SI</v>
      </c>
      <c r="P295" s="63" t="str">
        <f>IF($P$1=H295,"DIASOL", "DIANOSOL")</f>
        <v>DIANOSOL</v>
      </c>
      <c r="Q295" s="63" t="s">
        <v>903</v>
      </c>
      <c r="R295" s="7" t="str">
        <f>VLOOKUP($Q295,Resultados!$A$1:$B$49,2,FALSE)</f>
        <v>Juicio Abreviado</v>
      </c>
      <c r="S295" s="63" t="s">
        <v>1233</v>
      </c>
      <c r="T295" s="72" t="str">
        <f>IF(G295=$J$1,"SI","NO")</f>
        <v>NO</v>
      </c>
      <c r="U295" s="72"/>
      <c r="V295" s="7" t="str">
        <f ca="1">IF(color_Celda(E295)=12106214,"ROSA",IF(color_Celda(E295)=65535,"AMARILLO",IF(color_Celda(E295)=5296274,"VERDE",IF(color_Celda(E295)=16777215,"BLANCO","NO SE"))))</f>
        <v>ROSA</v>
      </c>
      <c r="W295" s="63" t="s">
        <v>1227</v>
      </c>
      <c r="X295" s="63" t="s">
        <v>1527</v>
      </c>
      <c r="Y295" s="63"/>
      <c r="Z295" s="268" t="s">
        <v>770</v>
      </c>
      <c r="AA295" s="118" t="s">
        <v>1167</v>
      </c>
      <c r="AB295" s="268" t="s">
        <v>1170</v>
      </c>
      <c r="AC295" s="324"/>
    </row>
    <row r="296" spans="1:29" ht="60" customHeight="1">
      <c r="A296" s="63">
        <v>293</v>
      </c>
      <c r="B296" s="65">
        <v>45103</v>
      </c>
      <c r="C296" s="70">
        <v>0.42569444444444443</v>
      </c>
      <c r="D296" s="63" t="s">
        <v>1337</v>
      </c>
      <c r="E296" s="64" t="s">
        <v>1534</v>
      </c>
      <c r="F296" s="63">
        <v>3</v>
      </c>
      <c r="G296" s="63" t="s">
        <v>283</v>
      </c>
      <c r="H296" s="208">
        <v>45111</v>
      </c>
      <c r="I296" s="63" t="s">
        <v>1083</v>
      </c>
      <c r="J296" s="65" t="s">
        <v>35</v>
      </c>
      <c r="K296" s="63">
        <f>IFERROR(VLOOKUP(J296,Jueces!$A$1:$B$11,2,FALSE),"")</f>
        <v>3</v>
      </c>
      <c r="L296" s="63" t="s">
        <v>810</v>
      </c>
      <c r="M296" s="63" t="s">
        <v>693</v>
      </c>
      <c r="N296" s="63" t="s">
        <v>235</v>
      </c>
      <c r="O296" s="63" t="str">
        <f ca="1">IF(H296&lt;&gt;"",IF(H296&lt;=TODAY(),"SI","NO"),"LIMBO")</f>
        <v>SI</v>
      </c>
      <c r="P296" s="63" t="str">
        <f>IF($P$1=H296,"DIASOL", "DIANOSOL")</f>
        <v>DIANOSOL</v>
      </c>
      <c r="Q296" s="63" t="s">
        <v>151</v>
      </c>
      <c r="R296" s="7" t="str">
        <f>VLOOKUP($Q296,Resultados!$A$1:$B$49,2,FALSE)</f>
        <v>Prisión Preventiva</v>
      </c>
      <c r="S296" s="63" t="s">
        <v>1081</v>
      </c>
      <c r="T296" s="72" t="str">
        <f>IF(G296=$J$1,"SI","NO")</f>
        <v>NO</v>
      </c>
      <c r="U296" s="72"/>
      <c r="V296" s="7" t="str">
        <f ca="1">IF(color_Celda(E296)=12106214,"ROSA",IF(color_Celda(E296)=65535,"AMARILLO",IF(color_Celda(E296)=5296274,"VERDE",IF(color_Celda(E296)=16777215,"BLANCO","NO SE"))))</f>
        <v>ROSA</v>
      </c>
      <c r="W296" s="63" t="s">
        <v>1528</v>
      </c>
      <c r="X296" s="63" t="s">
        <v>1529</v>
      </c>
      <c r="Y296" s="63"/>
      <c r="Z296" s="268" t="s">
        <v>1038</v>
      </c>
      <c r="AA296" s="118" t="s">
        <v>743</v>
      </c>
      <c r="AB296" s="118" t="s">
        <v>1169</v>
      </c>
      <c r="AC296" s="324"/>
    </row>
    <row r="297" spans="1:29" ht="60" customHeight="1">
      <c r="A297" s="63">
        <v>296</v>
      </c>
      <c r="B297" s="65">
        <v>45103</v>
      </c>
      <c r="C297" s="70">
        <v>0.47013888888888888</v>
      </c>
      <c r="D297" s="63" t="s">
        <v>1340</v>
      </c>
      <c r="E297" s="64" t="s">
        <v>1533</v>
      </c>
      <c r="F297" s="63">
        <v>2</v>
      </c>
      <c r="G297" s="63" t="s">
        <v>1435</v>
      </c>
      <c r="H297" s="208">
        <v>45111</v>
      </c>
      <c r="I297" s="63" t="s">
        <v>1083</v>
      </c>
      <c r="J297" s="65" t="s">
        <v>1218</v>
      </c>
      <c r="K297" s="63" t="s">
        <v>1512</v>
      </c>
      <c r="L297" s="63" t="s">
        <v>808</v>
      </c>
      <c r="M297" s="63" t="s">
        <v>1005</v>
      </c>
      <c r="N297" s="63" t="s">
        <v>235</v>
      </c>
      <c r="O297" s="63" t="str">
        <f ca="1">IF(H297&lt;&gt;"",IF(H297&lt;=TODAY(),"SI","NO"),"LIMBO")</f>
        <v>SI</v>
      </c>
      <c r="P297" s="63" t="str">
        <f>IF($P$1=H297,"DIASOL", "DIANOSOL")</f>
        <v>DIANOSOL</v>
      </c>
      <c r="Q297" s="63" t="s">
        <v>151</v>
      </c>
      <c r="R297" s="7" t="str">
        <f>VLOOKUP($Q297,Resultados!$A$1:$B$49,2,FALSE)</f>
        <v>Prisión Preventiva</v>
      </c>
      <c r="S297" s="63" t="s">
        <v>1083</v>
      </c>
      <c r="T297" s="72" t="str">
        <f>IF(G297=$J$1,"SI","NO")</f>
        <v>SI</v>
      </c>
      <c r="U297" s="72"/>
      <c r="V297" s="7" t="str">
        <f ca="1">IF(color_Celda(E297)=12106214,"ROSA",IF(color_Celda(E297)=65535,"AMARILLO",IF(color_Celda(E297)=5296274,"VERDE",IF(color_Celda(E297)=16777215,"BLANCO","NO SE"))))</f>
        <v>ROSA</v>
      </c>
      <c r="W297" s="63" t="s">
        <v>1388</v>
      </c>
      <c r="X297" s="63"/>
      <c r="Y297" s="63"/>
      <c r="Z297" s="118" t="s">
        <v>1039</v>
      </c>
      <c r="AA297" s="118" t="s">
        <v>743</v>
      </c>
      <c r="AB297" s="118" t="s">
        <v>1171</v>
      </c>
      <c r="AC297" s="324"/>
    </row>
    <row r="298" spans="1:29" ht="60" customHeight="1">
      <c r="A298" s="63">
        <v>305</v>
      </c>
      <c r="B298" s="65">
        <v>45104</v>
      </c>
      <c r="C298" s="70">
        <v>0.45833333333333331</v>
      </c>
      <c r="D298" s="63" t="s">
        <v>1375</v>
      </c>
      <c r="E298" s="64" t="s">
        <v>1532</v>
      </c>
      <c r="F298" s="63">
        <v>2</v>
      </c>
      <c r="G298" s="63" t="s">
        <v>43</v>
      </c>
      <c r="H298" s="208">
        <v>45111</v>
      </c>
      <c r="I298" s="63" t="s">
        <v>1083</v>
      </c>
      <c r="J298" s="65" t="s">
        <v>1217</v>
      </c>
      <c r="K298" s="63">
        <f>IFERROR(VLOOKUP(J298,Jueces!$A$1:$B$11,2,FALSE),"")</f>
        <v>7</v>
      </c>
      <c r="L298" s="63" t="s">
        <v>1494</v>
      </c>
      <c r="M298" s="63" t="s">
        <v>1175</v>
      </c>
      <c r="N298" s="63" t="s">
        <v>235</v>
      </c>
      <c r="O298" s="63" t="str">
        <f ca="1">IF(H298&lt;&gt;"",IF(H298&lt;=TODAY(),"SI","NO"),"LIMBO")</f>
        <v>SI</v>
      </c>
      <c r="P298" s="63" t="str">
        <f>IF($P$1=H298,"DIASOL", "DIANOSOL")</f>
        <v>DIANOSOL</v>
      </c>
      <c r="Q298" s="63" t="s">
        <v>151</v>
      </c>
      <c r="R298" s="7" t="str">
        <f>VLOOKUP($Q298,Resultados!$A$1:$B$49,2,FALSE)</f>
        <v>Prisión Preventiva</v>
      </c>
      <c r="S298" s="63" t="s">
        <v>1530</v>
      </c>
      <c r="T298" s="72" t="str">
        <f>IF(G298=$J$1,"SI","NO")</f>
        <v>NO</v>
      </c>
      <c r="U298" s="72"/>
      <c r="V298" s="7" t="str">
        <f ca="1">IF(color_Celda(E298)=12106214,"ROSA",IF(color_Celda(E298)=65535,"AMARILLO",IF(color_Celda(E298)=5296274,"VERDE",IF(color_Celda(E298)=16777215,"BLANCO","NO SE"))))</f>
        <v>ROSA</v>
      </c>
      <c r="W298" s="63" t="s">
        <v>1457</v>
      </c>
      <c r="X298" s="63" t="s">
        <v>1531</v>
      </c>
      <c r="Y298" s="63"/>
      <c r="Z298" s="118" t="s">
        <v>748</v>
      </c>
      <c r="AA298" s="118" t="s">
        <v>1165</v>
      </c>
      <c r="AB298" s="118" t="s">
        <v>1173</v>
      </c>
      <c r="AC298" s="324"/>
    </row>
    <row r="299" spans="1:29" ht="60" customHeight="1">
      <c r="A299" s="63">
        <v>278</v>
      </c>
      <c r="B299" s="65">
        <v>45099</v>
      </c>
      <c r="C299" s="70">
        <v>0.52430555555555558</v>
      </c>
      <c r="D299" s="63" t="s">
        <v>1278</v>
      </c>
      <c r="E299" s="64" t="s">
        <v>1578</v>
      </c>
      <c r="F299" s="63">
        <v>2</v>
      </c>
      <c r="G299" s="63" t="s">
        <v>568</v>
      </c>
      <c r="H299" s="208">
        <v>45112</v>
      </c>
      <c r="I299" s="63" t="s">
        <v>73</v>
      </c>
      <c r="J299" s="65" t="s">
        <v>35</v>
      </c>
      <c r="K299" s="63">
        <f>IFERROR(VLOOKUP(J299,Jueces!$A$1:$B$11,2,FALSE),"")</f>
        <v>3</v>
      </c>
      <c r="L299" s="63" t="s">
        <v>688</v>
      </c>
      <c r="M299" s="63" t="s">
        <v>1175</v>
      </c>
      <c r="N299" s="63" t="s">
        <v>235</v>
      </c>
      <c r="O299" s="63" t="str">
        <f ca="1">IF(H299&lt;&gt;"",IF(H299&lt;=TODAY(),"SI","NO"),"LIMBO")</f>
        <v>SI</v>
      </c>
      <c r="P299" s="63" t="str">
        <f>IF($P$1=H299,"DIASOL", "DIANOSOL")</f>
        <v>DIANOSOL</v>
      </c>
      <c r="Q299" s="63" t="s">
        <v>151</v>
      </c>
      <c r="R299" s="7" t="str">
        <f>VLOOKUP($Q299,Resultados!$A$1:$B$49,2,FALSE)</f>
        <v>Prisión Preventiva</v>
      </c>
      <c r="S299" s="63" t="s">
        <v>1576</v>
      </c>
      <c r="T299" s="72" t="str">
        <f>IF(G299=$J$1,"SI","NO")</f>
        <v>NO</v>
      </c>
      <c r="U299" s="72"/>
      <c r="V299" s="7" t="str">
        <f ca="1">IF(color_Celda(E299)=12106214,"ROSA",IF(color_Celda(E299)=65535,"AMARILLO",IF(color_Celda(E299)=5296274,"VERDE",IF(color_Celda(E299)=16777215,"BLANCO","NO SE"))))</f>
        <v>ROSA</v>
      </c>
      <c r="W299" s="63" t="s">
        <v>1489</v>
      </c>
      <c r="X299" s="63" t="s">
        <v>1577</v>
      </c>
      <c r="Y299" s="63"/>
      <c r="Z299" s="118" t="s">
        <v>743</v>
      </c>
      <c r="AA299" s="118" t="s">
        <v>1167</v>
      </c>
      <c r="AB299" s="118" t="s">
        <v>1172</v>
      </c>
      <c r="AC299" s="324"/>
    </row>
    <row r="300" spans="1:29" ht="60" customHeight="1">
      <c r="A300" s="63">
        <v>291</v>
      </c>
      <c r="B300" s="65">
        <v>45103</v>
      </c>
      <c r="C300" s="70">
        <v>0.39444444444444443</v>
      </c>
      <c r="D300" s="63" t="s">
        <v>1334</v>
      </c>
      <c r="E300" s="64" t="s">
        <v>1582</v>
      </c>
      <c r="F300" s="63">
        <v>3</v>
      </c>
      <c r="G300" s="63" t="s">
        <v>1435</v>
      </c>
      <c r="H300" s="208">
        <v>45112</v>
      </c>
      <c r="I300" s="63" t="s">
        <v>73</v>
      </c>
      <c r="J300" s="65" t="s">
        <v>1217</v>
      </c>
      <c r="K300" s="63">
        <f>IFERROR(VLOOKUP(J300,Jueces!$A$1:$B$11,2,FALSE),"")</f>
        <v>7</v>
      </c>
      <c r="L300" s="63" t="s">
        <v>810</v>
      </c>
      <c r="M300" s="63" t="s">
        <v>1571</v>
      </c>
      <c r="N300" s="63" t="s">
        <v>1572</v>
      </c>
      <c r="O300" s="63" t="str">
        <f ca="1">IF(H300&lt;&gt;"",IF(H300&lt;=TODAY(),"SI","NO"),"LIMBO")</f>
        <v>SI</v>
      </c>
      <c r="P300" s="63" t="str">
        <f>IF($P$1=H300,"DIASOL", "DIANOSOL")</f>
        <v>DIANOSOL</v>
      </c>
      <c r="Q300" s="63" t="s">
        <v>907</v>
      </c>
      <c r="R300" s="7" t="str">
        <f>VLOOKUP($Q300,Resultados!$A$1:$B$49,2,FALSE)</f>
        <v>Suspensión de juicio a prueba</v>
      </c>
      <c r="S300" s="63" t="s">
        <v>1013</v>
      </c>
      <c r="T300" s="72" t="str">
        <f>IF(G300=$J$1,"SI","NO")</f>
        <v>SI</v>
      </c>
      <c r="U300" s="72"/>
      <c r="V300" s="7" t="str">
        <f ca="1">IF(color_Celda(E300)=12106214,"ROSA",IF(color_Celda(E300)=65535,"AMARILLO",IF(color_Celda(E300)=5296274,"VERDE",IF(color_Celda(E300)=16777215,"BLANCO","NO SE"))))</f>
        <v>ROSA</v>
      </c>
      <c r="W300" s="63" t="s">
        <v>1570</v>
      </c>
      <c r="X300" s="63" t="s">
        <v>1573</v>
      </c>
      <c r="Y300" s="63"/>
      <c r="Z300" s="268" t="s">
        <v>770</v>
      </c>
      <c r="AA300" s="118" t="s">
        <v>1165</v>
      </c>
      <c r="AB300" s="268" t="s">
        <v>1169</v>
      </c>
      <c r="AC300" s="324"/>
    </row>
    <row r="301" spans="1:29" ht="60" customHeight="1">
      <c r="A301" s="63">
        <v>297</v>
      </c>
      <c r="B301" s="65">
        <v>45103</v>
      </c>
      <c r="C301" s="70">
        <v>0.55277777777777781</v>
      </c>
      <c r="D301" s="63" t="s">
        <v>1343</v>
      </c>
      <c r="E301" s="64" t="s">
        <v>1583</v>
      </c>
      <c r="F301" s="63">
        <v>4</v>
      </c>
      <c r="G301" s="63" t="s">
        <v>29</v>
      </c>
      <c r="H301" s="208">
        <v>45112</v>
      </c>
      <c r="I301" s="63" t="s">
        <v>73</v>
      </c>
      <c r="J301" s="65" t="s">
        <v>1218</v>
      </c>
      <c r="K301" s="63" t="s">
        <v>1428</v>
      </c>
      <c r="L301" s="63" t="s">
        <v>812</v>
      </c>
      <c r="M301" s="63" t="s">
        <v>1345</v>
      </c>
      <c r="N301" s="63" t="s">
        <v>1580</v>
      </c>
      <c r="O301" s="63" t="str">
        <f ca="1">IF(H301&lt;&gt;"",IF(H301&lt;=TODAY(),"SI","NO"),"LIMBO")</f>
        <v>SI</v>
      </c>
      <c r="P301" s="63" t="str">
        <f>IF($P$1=H301,"DIASOL", "DIANOSOL")</f>
        <v>DIANOSOL</v>
      </c>
      <c r="Q301" s="63" t="s">
        <v>151</v>
      </c>
      <c r="R301" s="7" t="str">
        <f>VLOOKUP($Q301,Resultados!$A$1:$B$49,2,FALSE)</f>
        <v>Prisión Preventiva</v>
      </c>
      <c r="S301" s="63" t="s">
        <v>1579</v>
      </c>
      <c r="T301" s="72" t="str">
        <f>IF(G301=$J$1,"SI","NO")</f>
        <v>NO</v>
      </c>
      <c r="U301" s="72"/>
      <c r="V301" s="7" t="str">
        <f ca="1">IF(color_Celda(E301)=12106214,"ROSA",IF(color_Celda(E301)=65535,"AMARILLO",IF(color_Celda(E301)=5296274,"VERDE",IF(color_Celda(E301)=16777215,"BLANCO","NO SE"))))</f>
        <v>ROSA</v>
      </c>
      <c r="W301" s="63" t="s">
        <v>1489</v>
      </c>
      <c r="X301" s="63" t="s">
        <v>1581</v>
      </c>
      <c r="Y301" s="63"/>
      <c r="Z301" s="268" t="s">
        <v>1038</v>
      </c>
      <c r="AA301" s="118" t="s">
        <v>1167</v>
      </c>
      <c r="AB301" s="118" t="s">
        <v>1171</v>
      </c>
      <c r="AC301" s="324"/>
    </row>
    <row r="302" spans="1:29" ht="60" customHeight="1">
      <c r="A302" s="63">
        <v>281</v>
      </c>
      <c r="B302" s="65">
        <v>45100</v>
      </c>
      <c r="C302" s="70">
        <v>0.35138888888888892</v>
      </c>
      <c r="D302" s="63" t="s">
        <v>1314</v>
      </c>
      <c r="E302" s="64" t="s">
        <v>1566</v>
      </c>
      <c r="F302" s="63">
        <v>3</v>
      </c>
      <c r="G302" s="63" t="s">
        <v>1434</v>
      </c>
      <c r="H302" s="208">
        <v>45112</v>
      </c>
      <c r="I302" s="63" t="s">
        <v>1083</v>
      </c>
      <c r="J302" s="65" t="s">
        <v>1216</v>
      </c>
      <c r="K302" s="63">
        <f>IFERROR(VLOOKUP(J302,Jueces!$A$1:$B$11,2,FALSE),"")</f>
        <v>1</v>
      </c>
      <c r="L302" s="63" t="s">
        <v>796</v>
      </c>
      <c r="M302" s="63" t="s">
        <v>1563</v>
      </c>
      <c r="N302" s="63" t="s">
        <v>1564</v>
      </c>
      <c r="O302" s="63" t="str">
        <f ca="1">IF(H302&lt;&gt;"",IF(H302&lt;=TODAY(),"SI","NO"),"LIMBO")</f>
        <v>SI</v>
      </c>
      <c r="P302" s="63" t="str">
        <f>IF($P$1=H302,"DIASOL", "DIANOSOL")</f>
        <v>DIANOSOL</v>
      </c>
      <c r="Q302" s="63" t="s">
        <v>900</v>
      </c>
      <c r="R302" s="7" t="str">
        <f>VLOOKUP($Q302,Resultados!$A$1:$B$49,2,FALSE)</f>
        <v>Libertad</v>
      </c>
      <c r="S302" s="63" t="s">
        <v>1189</v>
      </c>
      <c r="T302" s="72" t="str">
        <f>IF(G302=$J$1,"SI","NO")</f>
        <v>NO</v>
      </c>
      <c r="U302" s="72"/>
      <c r="V302" s="7" t="str">
        <f ca="1">IF(color_Celda(E302)=12106214,"ROSA",IF(color_Celda(E302)=65535,"AMARILLO",IF(color_Celda(E302)=5296274,"VERDE",IF(color_Celda(E302)=16777215,"BLANCO","NO SE"))))</f>
        <v>ROSA</v>
      </c>
      <c r="W302" s="63" t="s">
        <v>1562</v>
      </c>
      <c r="X302" s="63" t="s">
        <v>1565</v>
      </c>
      <c r="Y302" s="63"/>
      <c r="Z302" s="118" t="s">
        <v>1039</v>
      </c>
      <c r="AA302" s="118" t="s">
        <v>743</v>
      </c>
      <c r="AB302" s="118" t="s">
        <v>1173</v>
      </c>
      <c r="AC302" s="324"/>
    </row>
    <row r="303" spans="1:29" ht="60" customHeight="1">
      <c r="A303" s="63">
        <v>307</v>
      </c>
      <c r="B303" s="65">
        <v>45104</v>
      </c>
      <c r="C303" s="70">
        <v>0.53125</v>
      </c>
      <c r="D303" s="63" t="s">
        <v>1109</v>
      </c>
      <c r="E303" s="64" t="s">
        <v>1568</v>
      </c>
      <c r="F303" s="63">
        <v>2</v>
      </c>
      <c r="G303" s="63" t="s">
        <v>32</v>
      </c>
      <c r="H303" s="208">
        <v>45112</v>
      </c>
      <c r="I303" s="65" t="s">
        <v>1083</v>
      </c>
      <c r="J303" s="65" t="s">
        <v>78</v>
      </c>
      <c r="K303" s="63">
        <f>IFERROR(VLOOKUP(J303,Jueces!$A$1:$B$11,2,FALSE),"")</f>
        <v>8</v>
      </c>
      <c r="L303" s="63" t="s">
        <v>807</v>
      </c>
      <c r="M303" s="63" t="s">
        <v>713</v>
      </c>
      <c r="N303" s="63" t="s">
        <v>1569</v>
      </c>
      <c r="O303" s="63" t="str">
        <f ca="1">IF(H303&lt;&gt;"",IF(H303&lt;=TODAY(),"SI","NO"),"LIMBO")</f>
        <v>SI</v>
      </c>
      <c r="P303" s="63" t="str">
        <f>IF($P$1=H303,"DIASOL", "DIANOSOL")</f>
        <v>DIANOSOL</v>
      </c>
      <c r="Q303" s="63" t="s">
        <v>151</v>
      </c>
      <c r="R303" s="7" t="str">
        <f>VLOOKUP($Q303,Resultados!$A$1:$B$49,2,FALSE)</f>
        <v>Prisión Preventiva</v>
      </c>
      <c r="S303" s="63" t="s">
        <v>1083</v>
      </c>
      <c r="T303" s="72" t="str">
        <f>IF(G303=$J$1,"SI","NO")</f>
        <v>NO</v>
      </c>
      <c r="U303" s="72"/>
      <c r="V303" s="7" t="str">
        <f ca="1">IF(color_Celda(E303)=12106214,"ROSA",IF(color_Celda(E303)=65535,"AMARILLO",IF(color_Celda(E303)=5296274,"VERDE",IF(color_Celda(E303)=16777215,"BLANCO","NO SE"))))</f>
        <v>ROSA</v>
      </c>
      <c r="W303" s="63" t="s">
        <v>1128</v>
      </c>
      <c r="X303" s="63" t="s">
        <v>1567</v>
      </c>
      <c r="Y303" s="63"/>
      <c r="Z303" s="118" t="s">
        <v>748</v>
      </c>
      <c r="AA303" s="118" t="s">
        <v>1167</v>
      </c>
      <c r="AB303" s="118" t="s">
        <v>1172</v>
      </c>
      <c r="AC303" s="324"/>
    </row>
    <row r="304" spans="1:29" ht="60" customHeight="1">
      <c r="A304" s="63">
        <v>288</v>
      </c>
      <c r="B304" s="65">
        <v>45100</v>
      </c>
      <c r="C304" s="70">
        <v>0.38541666666666669</v>
      </c>
      <c r="D304" s="63" t="s">
        <v>1312</v>
      </c>
      <c r="E304" s="64" t="s">
        <v>1607</v>
      </c>
      <c r="F304" s="63">
        <v>2</v>
      </c>
      <c r="G304" s="63" t="s">
        <v>29</v>
      </c>
      <c r="H304" s="208">
        <v>45113</v>
      </c>
      <c r="I304" s="63" t="s">
        <v>73</v>
      </c>
      <c r="J304" s="65" t="s">
        <v>1218</v>
      </c>
      <c r="K304" s="63" t="s">
        <v>1341</v>
      </c>
      <c r="L304" s="63" t="s">
        <v>688</v>
      </c>
      <c r="M304" s="63" t="s">
        <v>1639</v>
      </c>
      <c r="N304" s="63" t="s">
        <v>1602</v>
      </c>
      <c r="O304" s="63" t="str">
        <f ca="1">IF(H304&lt;&gt;"",IF(H304&lt;=TODAY(),"SI","NO"),"LIMBO")</f>
        <v>SI</v>
      </c>
      <c r="P304" s="63" t="str">
        <f>IF($P$1=H304,"DIASOL", "DIANOSOL")</f>
        <v>DIANOSOL</v>
      </c>
      <c r="Q304" s="63" t="s">
        <v>903</v>
      </c>
      <c r="R304" s="7" t="str">
        <f>VLOOKUP($Q304,Resultados!$A$1:$B$49,2,FALSE)</f>
        <v>Juicio Abreviado</v>
      </c>
      <c r="S304" s="63" t="s">
        <v>1062</v>
      </c>
      <c r="T304" s="72" t="str">
        <f>IF(G304=$J$1,"SI","NO")</f>
        <v>NO</v>
      </c>
      <c r="U304" s="72"/>
      <c r="V304" s="7" t="str">
        <f ca="1">IF(color_Celda(E304)=12106214,"ROSA",IF(color_Celda(E304)=65535,"AMARILLO",IF(color_Celda(E304)=5296274,"VERDE",IF(color_Celda(E304)=16777215,"BLANCO","NO SE"))))</f>
        <v>ROSA</v>
      </c>
      <c r="W304" s="63" t="s">
        <v>1601</v>
      </c>
      <c r="X304" s="63" t="s">
        <v>1498</v>
      </c>
      <c r="Y304" s="63"/>
      <c r="Z304" s="118" t="s">
        <v>743</v>
      </c>
      <c r="AA304" s="118" t="s">
        <v>1165</v>
      </c>
      <c r="AB304" s="118" t="s">
        <v>1169</v>
      </c>
      <c r="AC304" s="324"/>
    </row>
    <row r="305" spans="1:29" ht="60" customHeight="1">
      <c r="A305" s="63">
        <v>292</v>
      </c>
      <c r="B305" s="65">
        <v>45103</v>
      </c>
      <c r="C305" s="70">
        <v>0.39652777777777781</v>
      </c>
      <c r="D305" s="63" t="s">
        <v>1335</v>
      </c>
      <c r="E305" s="64" t="s">
        <v>1609</v>
      </c>
      <c r="F305" s="63">
        <v>3</v>
      </c>
      <c r="G305" s="63" t="s">
        <v>283</v>
      </c>
      <c r="H305" s="208">
        <v>45113</v>
      </c>
      <c r="I305" s="63" t="s">
        <v>73</v>
      </c>
      <c r="J305" s="65" t="s">
        <v>35</v>
      </c>
      <c r="K305" s="63">
        <f>IFERROR(VLOOKUP(J305,Jueces!$A$1:$B$11,2,FALSE),"")</f>
        <v>3</v>
      </c>
      <c r="L305" s="63" t="s">
        <v>811</v>
      </c>
      <c r="M305" s="63" t="s">
        <v>693</v>
      </c>
      <c r="N305" s="63" t="s">
        <v>1606</v>
      </c>
      <c r="O305" s="63" t="str">
        <f ca="1">IF(H305&lt;&gt;"",IF(H305&lt;=TODAY(),"SI","NO"),"LIMBO")</f>
        <v>SI</v>
      </c>
      <c r="P305" s="63" t="str">
        <f>IF($P$1=H305,"DIASOL", "DIANOSOL")</f>
        <v>DIANOSOL</v>
      </c>
      <c r="Q305" s="63" t="s">
        <v>903</v>
      </c>
      <c r="R305" s="7" t="str">
        <f>VLOOKUP($Q305,Resultados!$A$1:$B$49,2,FALSE)</f>
        <v>Juicio Abreviado</v>
      </c>
      <c r="S305" s="63" t="s">
        <v>1604</v>
      </c>
      <c r="T305" s="72" t="str">
        <f>IF(G305=$J$1,"SI","NO")</f>
        <v>NO</v>
      </c>
      <c r="U305" s="72"/>
      <c r="V305" s="7" t="str">
        <f ca="1">IF(color_Celda(E305)=12106214,"ROSA",IF(color_Celda(E305)=65535,"AMARILLO",IF(color_Celda(E305)=5296274,"VERDE",IF(color_Celda(E305)=16777215,"BLANCO","NO SE"))))</f>
        <v>ROSA</v>
      </c>
      <c r="W305" s="63" t="s">
        <v>1134</v>
      </c>
      <c r="X305" s="63" t="s">
        <v>1605</v>
      </c>
      <c r="Y305" s="63"/>
      <c r="Z305" s="268" t="s">
        <v>770</v>
      </c>
      <c r="AA305" s="118" t="s">
        <v>1167</v>
      </c>
      <c r="AB305" s="268" t="s">
        <v>1171</v>
      </c>
      <c r="AC305" s="324"/>
    </row>
    <row r="306" spans="1:29" ht="60" customHeight="1">
      <c r="A306" s="63">
        <v>311</v>
      </c>
      <c r="B306" s="65">
        <v>45105</v>
      </c>
      <c r="C306" s="70">
        <v>0.46666666666666662</v>
      </c>
      <c r="D306" s="63" t="s">
        <v>1404</v>
      </c>
      <c r="E306" s="64" t="s">
        <v>1608</v>
      </c>
      <c r="F306" s="63">
        <v>2</v>
      </c>
      <c r="G306" s="63" t="s">
        <v>43</v>
      </c>
      <c r="H306" s="208">
        <v>45113</v>
      </c>
      <c r="I306" s="65" t="s">
        <v>73</v>
      </c>
      <c r="J306" s="65" t="s">
        <v>1217</v>
      </c>
      <c r="K306" s="63">
        <f>IFERROR(VLOOKUP(J306,Jueces!$A$1:$B$11,2,FALSE),"")</f>
        <v>7</v>
      </c>
      <c r="L306" s="63" t="s">
        <v>806</v>
      </c>
      <c r="M306" s="63" t="s">
        <v>782</v>
      </c>
      <c r="N306" s="63" t="s">
        <v>1603</v>
      </c>
      <c r="O306" s="63" t="str">
        <f ca="1">IF(H306&lt;&gt;"",IF(H306&lt;=TODAY(),"SI","NO"),"LIMBO")</f>
        <v>SI</v>
      </c>
      <c r="P306" s="63" t="str">
        <f>IF($P$1=H306,"DIASOL", "DIANOSOL")</f>
        <v>DIANOSOL</v>
      </c>
      <c r="Q306" s="63" t="s">
        <v>907</v>
      </c>
      <c r="R306" s="7" t="str">
        <f>VLOOKUP($Q306,Resultados!$A$1:$B$49,2,FALSE)</f>
        <v>Suspensión de juicio a prueba</v>
      </c>
      <c r="S306" s="63" t="s">
        <v>1125</v>
      </c>
      <c r="T306" s="72" t="str">
        <f>IF(G306=$J$1,"SI","NO")</f>
        <v>NO</v>
      </c>
      <c r="U306" s="72"/>
      <c r="V306" s="7" t="str">
        <f ca="1">IF(color_Celda(E306)=12106214,"ROSA",IF(color_Celda(E306)=65535,"AMARILLO",IF(color_Celda(E306)=5296274,"VERDE",IF(color_Celda(E306)=16777215,"BLANCO","NO SE"))))</f>
        <v>ROSA</v>
      </c>
      <c r="W306" s="63" t="s">
        <v>1234</v>
      </c>
      <c r="X306" s="63" t="s">
        <v>1498</v>
      </c>
      <c r="Y306" s="63"/>
      <c r="Z306" s="268" t="s">
        <v>1038</v>
      </c>
      <c r="AA306" s="118" t="s">
        <v>743</v>
      </c>
      <c r="AB306" s="118" t="s">
        <v>1173</v>
      </c>
      <c r="AC306" s="324"/>
    </row>
    <row r="307" spans="1:29" ht="60" customHeight="1">
      <c r="A307" s="63">
        <v>318</v>
      </c>
      <c r="B307" s="65">
        <v>45106</v>
      </c>
      <c r="C307" s="70">
        <v>0.34097222222222223</v>
      </c>
      <c r="D307" s="63" t="s">
        <v>1411</v>
      </c>
      <c r="E307" s="64" t="s">
        <v>1610</v>
      </c>
      <c r="F307" s="63">
        <v>3</v>
      </c>
      <c r="G307" s="63" t="s">
        <v>1435</v>
      </c>
      <c r="H307" s="208">
        <v>45113</v>
      </c>
      <c r="I307" s="65" t="s">
        <v>73</v>
      </c>
      <c r="J307" s="65" t="s">
        <v>78</v>
      </c>
      <c r="K307" s="63">
        <f>IFERROR(VLOOKUP(J307,Jueces!$A$1:$B$11,2,FALSE),"")</f>
        <v>8</v>
      </c>
      <c r="L307" s="63" t="s">
        <v>808</v>
      </c>
      <c r="M307" s="63" t="s">
        <v>692</v>
      </c>
      <c r="N307" s="63" t="s">
        <v>1611</v>
      </c>
      <c r="O307" s="63" t="str">
        <f ca="1">IF(H307&lt;&gt;"",IF(H307&lt;=TODAY(),"SI","NO"),"LIMBO")</f>
        <v>SI</v>
      </c>
      <c r="P307" s="63" t="str">
        <f>IF($P$1=H307,"DIASOL", "DIANOSOL")</f>
        <v>DIANOSOL</v>
      </c>
      <c r="Q307" s="63" t="s">
        <v>902</v>
      </c>
      <c r="R307" s="7" t="str">
        <f>VLOOKUP($Q307,Resultados!$A$1:$B$49,2,FALSE)</f>
        <v>Juicio Abreviado</v>
      </c>
      <c r="S307" s="63" t="s">
        <v>73</v>
      </c>
      <c r="T307" s="72" t="str">
        <f>IF(G307=$J$1,"SI","NO")</f>
        <v>SI</v>
      </c>
      <c r="U307" s="72"/>
      <c r="V307" s="7" t="str">
        <f ca="1">IF(color_Celda(E307)=12106214,"ROSA",IF(color_Celda(E307)=65535,"AMARILLO",IF(color_Celda(E307)=5296274,"VERDE",IF(color_Celda(E307)=16777215,"BLANCO","NO SE"))))</f>
        <v>ROSA</v>
      </c>
      <c r="W307" s="63" t="s">
        <v>1491</v>
      </c>
      <c r="X307" s="63" t="s">
        <v>1612</v>
      </c>
      <c r="Y307" s="63"/>
      <c r="Z307" s="118" t="s">
        <v>1039</v>
      </c>
      <c r="AA307" s="118" t="s">
        <v>1165</v>
      </c>
      <c r="AB307" s="118" t="s">
        <v>1172</v>
      </c>
      <c r="AC307" s="324"/>
    </row>
    <row r="308" spans="1:29" ht="60" customHeight="1">
      <c r="A308" s="63">
        <v>295</v>
      </c>
      <c r="B308" s="65">
        <v>45103</v>
      </c>
      <c r="C308" s="70">
        <v>0.45416666666666666</v>
      </c>
      <c r="D308" s="63" t="s">
        <v>1339</v>
      </c>
      <c r="E308" s="64" t="s">
        <v>1597</v>
      </c>
      <c r="F308" s="63">
        <v>2</v>
      </c>
      <c r="G308" s="63" t="s">
        <v>568</v>
      </c>
      <c r="H308" s="208">
        <v>45113</v>
      </c>
      <c r="I308" s="63" t="s">
        <v>1083</v>
      </c>
      <c r="J308" s="65" t="s">
        <v>35</v>
      </c>
      <c r="K308" s="63">
        <f>IFERROR(VLOOKUP(J308,Jueces!$A$1:$B$11,2,FALSE),"")</f>
        <v>3</v>
      </c>
      <c r="L308" s="63" t="s">
        <v>313</v>
      </c>
      <c r="M308" s="63" t="s">
        <v>1342</v>
      </c>
      <c r="N308" s="63" t="s">
        <v>1595</v>
      </c>
      <c r="O308" s="63" t="str">
        <f ca="1">IF(H308&lt;&gt;"",IF(H308&lt;=TODAY(),"SI","NO"),"LIMBO")</f>
        <v>SI</v>
      </c>
      <c r="P308" s="63" t="str">
        <f>IF($P$1=H308,"DIASOL", "DIANOSOL")</f>
        <v>DIANOSOL</v>
      </c>
      <c r="Q308" s="63" t="s">
        <v>897</v>
      </c>
      <c r="R308" s="7" t="str">
        <f>VLOOKUP($Q308,Resultados!$A$1:$B$49,2,FALSE)</f>
        <v>Libertad</v>
      </c>
      <c r="S308" s="63" t="s">
        <v>1189</v>
      </c>
      <c r="T308" s="72" t="str">
        <f>IF(G308=$J$1,"SI","NO")</f>
        <v>NO</v>
      </c>
      <c r="U308" s="72"/>
      <c r="V308" s="7" t="str">
        <f ca="1">IF(color_Celda(E308)=12106214,"ROSA",IF(color_Celda(E308)=65535,"AMARILLO",IF(color_Celda(E308)=5296274,"VERDE",IF(color_Celda(E308)=16777215,"BLANCO","NO SE"))))</f>
        <v>ROSA</v>
      </c>
      <c r="W308" s="63" t="s">
        <v>1272</v>
      </c>
      <c r="X308" s="63" t="s">
        <v>1596</v>
      </c>
      <c r="Y308" s="63"/>
      <c r="Z308" s="118" t="s">
        <v>748</v>
      </c>
      <c r="AA308" s="118" t="s">
        <v>1167</v>
      </c>
      <c r="AB308" s="118" t="s">
        <v>1170</v>
      </c>
      <c r="AC308" s="324"/>
    </row>
    <row r="309" spans="1:29" ht="60" customHeight="1">
      <c r="A309" s="63">
        <v>306</v>
      </c>
      <c r="B309" s="65">
        <v>45104</v>
      </c>
      <c r="C309" s="63" t="s">
        <v>77</v>
      </c>
      <c r="D309" s="63" t="s">
        <v>1376</v>
      </c>
      <c r="E309" s="64" t="s">
        <v>1598</v>
      </c>
      <c r="F309" s="63">
        <v>2</v>
      </c>
      <c r="G309" s="63" t="s">
        <v>1433</v>
      </c>
      <c r="H309" s="208">
        <v>45113</v>
      </c>
      <c r="I309" s="65" t="s">
        <v>1083</v>
      </c>
      <c r="J309" s="65" t="s">
        <v>78</v>
      </c>
      <c r="K309" s="63">
        <f>IFERROR(VLOOKUP(J309,Jueces!$A$1:$B$11,2,FALSE),"")</f>
        <v>8</v>
      </c>
      <c r="L309" s="63" t="s">
        <v>582</v>
      </c>
      <c r="M309" s="63" t="s">
        <v>693</v>
      </c>
      <c r="N309" s="63" t="s">
        <v>621</v>
      </c>
      <c r="O309" s="63" t="str">
        <f ca="1">IF(H309&lt;&gt;"",IF(H309&lt;=TODAY(),"SI","NO"),"LIMBO")</f>
        <v>SI</v>
      </c>
      <c r="P309" s="63" t="str">
        <f>IF($P$1=H309,"DIASOL", "DIANOSOL")</f>
        <v>DIANOSOL</v>
      </c>
      <c r="Q309" s="63" t="s">
        <v>151</v>
      </c>
      <c r="R309" s="7" t="str">
        <f>VLOOKUP($Q309,Resultados!$A$1:$B$49,2,FALSE)</f>
        <v>Prisión Preventiva</v>
      </c>
      <c r="S309" s="70" t="s">
        <v>1388</v>
      </c>
      <c r="T309" s="72" t="str">
        <f>IF(G309=$J$1,"SI","NO")</f>
        <v>NO</v>
      </c>
      <c r="U309" s="72"/>
      <c r="V309" s="7" t="str">
        <f ca="1">IF(color_Celda(E309)=12106214,"ROSA",IF(color_Celda(E309)=65535,"AMARILLO",IF(color_Celda(E309)=5296274,"VERDE",IF(color_Celda(E309)=16777215,"BLANCO","NO SE"))))</f>
        <v>ROSA</v>
      </c>
      <c r="W309" s="63" t="s">
        <v>1584</v>
      </c>
      <c r="X309" s="63"/>
      <c r="Y309" s="63"/>
      <c r="Z309" s="118" t="s">
        <v>743</v>
      </c>
      <c r="AA309" s="118" t="s">
        <v>743</v>
      </c>
      <c r="AB309" s="118" t="s">
        <v>1169</v>
      </c>
      <c r="AC309" s="324"/>
    </row>
    <row r="310" spans="1:29" ht="60" customHeight="1">
      <c r="A310" s="63">
        <v>314</v>
      </c>
      <c r="B310" s="65">
        <v>45105</v>
      </c>
      <c r="C310" s="70">
        <v>0.50486111111111109</v>
      </c>
      <c r="D310" s="63" t="s">
        <v>1401</v>
      </c>
      <c r="E310" s="64" t="s">
        <v>1599</v>
      </c>
      <c r="F310" s="63">
        <v>2</v>
      </c>
      <c r="G310" s="63" t="s">
        <v>32</v>
      </c>
      <c r="H310" s="208">
        <v>45113</v>
      </c>
      <c r="I310" s="65" t="s">
        <v>1083</v>
      </c>
      <c r="J310" s="65" t="s">
        <v>1216</v>
      </c>
      <c r="K310" s="63">
        <f>IFERROR(VLOOKUP(J310,Jueces!$A$1:$B$11,2,FALSE),"")</f>
        <v>1</v>
      </c>
      <c r="L310" s="63" t="s">
        <v>792</v>
      </c>
      <c r="M310" s="63" t="s">
        <v>1285</v>
      </c>
      <c r="N310" s="63" t="s">
        <v>1600</v>
      </c>
      <c r="O310" s="63" t="str">
        <f ca="1">IF(H310&lt;&gt;"",IF(H310&lt;=TODAY(),"SI","NO"),"LIMBO")</f>
        <v>SI</v>
      </c>
      <c r="P310" s="63" t="str">
        <f>IF($P$1=H310,"DIASOL", "DIANOSOL")</f>
        <v>DIANOSOL</v>
      </c>
      <c r="Q310" s="63" t="s">
        <v>903</v>
      </c>
      <c r="R310" s="7" t="str">
        <f>VLOOKUP($Q310,Resultados!$A$1:$B$49,2,FALSE)</f>
        <v>Juicio Abreviado</v>
      </c>
      <c r="S310" s="63" t="s">
        <v>1002</v>
      </c>
      <c r="T310" s="72" t="str">
        <f>IF(G310=$J$1,"SI","NO")</f>
        <v>NO</v>
      </c>
      <c r="U310" s="72"/>
      <c r="V310" s="7" t="str">
        <f ca="1">IF(color_Celda(E310)=12106214,"ROSA",IF(color_Celda(E310)=65535,"AMARILLO",IF(color_Celda(E310)=5296274,"VERDE",IF(color_Celda(E310)=16777215,"BLANCO","NO SE"))))</f>
        <v>ROSA</v>
      </c>
      <c r="W310" s="63" t="s">
        <v>1047</v>
      </c>
      <c r="X310" s="63" t="s">
        <v>1306</v>
      </c>
      <c r="Y310" s="63"/>
      <c r="Z310" s="268" t="s">
        <v>770</v>
      </c>
      <c r="AA310" s="118" t="s">
        <v>1167</v>
      </c>
      <c r="AB310" s="268" t="s">
        <v>1171</v>
      </c>
      <c r="AC310" s="324"/>
    </row>
    <row r="311" spans="1:29" ht="60" customHeight="1">
      <c r="A311" s="63">
        <v>321</v>
      </c>
      <c r="B311" s="65">
        <v>45106</v>
      </c>
      <c r="C311" s="70">
        <v>0.39513888888888887</v>
      </c>
      <c r="D311" s="63" t="s">
        <v>1425</v>
      </c>
      <c r="E311" s="64" t="s">
        <v>1594</v>
      </c>
      <c r="F311" s="63">
        <v>3</v>
      </c>
      <c r="G311" s="63" t="s">
        <v>1434</v>
      </c>
      <c r="H311" s="208">
        <v>45113</v>
      </c>
      <c r="I311" s="65" t="s">
        <v>1083</v>
      </c>
      <c r="J311" s="65" t="s">
        <v>1217</v>
      </c>
      <c r="K311" s="63">
        <f>IFERROR(VLOOKUP(J311,Jueces!$A$1:$B$11,2,FALSE),"")</f>
        <v>7</v>
      </c>
      <c r="L311" s="63" t="s">
        <v>789</v>
      </c>
      <c r="M311" s="63" t="s">
        <v>694</v>
      </c>
      <c r="N311" s="118" t="s">
        <v>1593</v>
      </c>
      <c r="O311" s="63" t="str">
        <f ca="1">IF(H311&lt;&gt;"",IF(H311&lt;=TODAY(),"SI","NO"),"LIMBO")</f>
        <v>SI</v>
      </c>
      <c r="P311" s="63" t="str">
        <f>IF($P$1=H311,"DIASOL", "DIANOSOL")</f>
        <v>DIANOSOL</v>
      </c>
      <c r="Q311" s="63" t="s">
        <v>900</v>
      </c>
      <c r="R311" s="7" t="str">
        <f>VLOOKUP($Q311,Resultados!$A$1:$B$49,2,FALSE)</f>
        <v>Libertad</v>
      </c>
      <c r="S311" s="63" t="s">
        <v>1128</v>
      </c>
      <c r="T311" s="72" t="str">
        <f>IF(G311=$J$1,"SI","NO")</f>
        <v>NO</v>
      </c>
      <c r="U311" s="72"/>
      <c r="V311" s="7" t="str">
        <f ca="1">IF(color_Celda(E311)=12106214,"ROSA",IF(color_Celda(E311)=65535,"AMARILLO",IF(color_Celda(E311)=5296274,"VERDE",IF(color_Celda(E311)=16777215,"BLANCO","NO SE"))))</f>
        <v>ROSA</v>
      </c>
      <c r="W311" s="63" t="s">
        <v>1592</v>
      </c>
      <c r="X311" s="63" t="s">
        <v>1306</v>
      </c>
      <c r="Y311" s="63"/>
      <c r="Z311" s="268" t="s">
        <v>1038</v>
      </c>
      <c r="AA311" s="118" t="s">
        <v>1165</v>
      </c>
      <c r="AB311" s="118" t="s">
        <v>1173</v>
      </c>
      <c r="AC311" s="324"/>
    </row>
    <row r="312" spans="1:29" ht="60" customHeight="1">
      <c r="A312" s="63">
        <v>285</v>
      </c>
      <c r="B312" s="65">
        <v>45100</v>
      </c>
      <c r="C312" s="70">
        <v>0.42569444444444443</v>
      </c>
      <c r="D312" s="63" t="s">
        <v>1308</v>
      </c>
      <c r="E312" s="64" t="s">
        <v>1655</v>
      </c>
      <c r="F312" s="63">
        <v>2</v>
      </c>
      <c r="G312" s="63" t="s">
        <v>1433</v>
      </c>
      <c r="H312" s="208">
        <v>45114</v>
      </c>
      <c r="I312" s="63" t="s">
        <v>73</v>
      </c>
      <c r="J312" s="65" t="s">
        <v>1216</v>
      </c>
      <c r="K312" s="63">
        <v>2</v>
      </c>
      <c r="L312" s="63" t="s">
        <v>791</v>
      </c>
      <c r="M312" s="63" t="s">
        <v>692</v>
      </c>
      <c r="N312" s="63" t="s">
        <v>1666</v>
      </c>
      <c r="O312" s="63" t="str">
        <f ca="1">IF(H312&lt;&gt;"",IF(H312&lt;=TODAY(),"SI","NO"),"LIMBO")</f>
        <v>SI</v>
      </c>
      <c r="P312" s="63" t="str">
        <f>IF($P$1=H312,"DIASOL", "DIANOSOL")</f>
        <v>DIANOSOL</v>
      </c>
      <c r="Q312" s="63" t="s">
        <v>902</v>
      </c>
      <c r="R312" s="7" t="str">
        <f>VLOOKUP($Q312,Resultados!$A$1:$B$49,2,FALSE)</f>
        <v>Juicio Abreviado</v>
      </c>
      <c r="S312" s="70">
        <v>0.33333333333333331</v>
      </c>
      <c r="T312" s="72" t="str">
        <f>IF(G312=$J$1,"SI","NO")</f>
        <v>NO</v>
      </c>
      <c r="U312" s="72"/>
      <c r="V312" s="7" t="str">
        <f ca="1">IF(color_Celda(E312)=12106214,"ROSA",IF(color_Celda(E312)=65535,"AMARILLO",IF(color_Celda(E312)=5296274,"VERDE",IF(color_Celda(E312)=16777215,"BLANCO","NO SE"))))</f>
        <v>ROSA</v>
      </c>
      <c r="W312" s="70">
        <v>0.36458333333333331</v>
      </c>
      <c r="X312" s="63" t="s">
        <v>1651</v>
      </c>
      <c r="Y312" s="63"/>
      <c r="Z312" s="268" t="s">
        <v>359</v>
      </c>
      <c r="AA312" s="118" t="s">
        <v>743</v>
      </c>
      <c r="AB312" s="118" t="s">
        <v>1172</v>
      </c>
      <c r="AC312" s="324"/>
    </row>
    <row r="313" spans="1:29" ht="60" customHeight="1">
      <c r="A313" s="63">
        <v>302</v>
      </c>
      <c r="B313" s="65">
        <v>45104</v>
      </c>
      <c r="C313" s="63" t="s">
        <v>75</v>
      </c>
      <c r="D313" s="63" t="s">
        <v>1365</v>
      </c>
      <c r="E313" s="64" t="s">
        <v>1656</v>
      </c>
      <c r="F313" s="63">
        <v>3</v>
      </c>
      <c r="G313" s="63" t="s">
        <v>43</v>
      </c>
      <c r="H313" s="208">
        <v>45114</v>
      </c>
      <c r="I313" s="63" t="s">
        <v>73</v>
      </c>
      <c r="J313" s="65" t="s">
        <v>1218</v>
      </c>
      <c r="K313" s="63" t="s">
        <v>1341</v>
      </c>
      <c r="L313" s="63" t="s">
        <v>798</v>
      </c>
      <c r="M313" s="63" t="s">
        <v>693</v>
      </c>
      <c r="N313" s="63" t="s">
        <v>1640</v>
      </c>
      <c r="O313" s="63" t="str">
        <f ca="1">IF(H313&lt;&gt;"",IF(H313&lt;=TODAY(),"SI","NO"),"LIMBO")</f>
        <v>SI</v>
      </c>
      <c r="P313" s="63" t="str">
        <f>IF($P$1=H313,"DIASOL", "DIANOSOL")</f>
        <v>DIANOSOL</v>
      </c>
      <c r="Q313" s="63" t="s">
        <v>151</v>
      </c>
      <c r="R313" s="7" t="str">
        <f>VLOOKUP($Q313,Resultados!$A$1:$B$49,2,FALSE)</f>
        <v>Prisión Preventiva</v>
      </c>
      <c r="S313" s="63" t="s">
        <v>1641</v>
      </c>
      <c r="T313" s="72" t="str">
        <f>IF(G313=$J$1,"SI","NO")</f>
        <v>NO</v>
      </c>
      <c r="U313" s="72"/>
      <c r="V313" s="7" t="str">
        <f ca="1">IF(color_Celda(E313)=12106214,"ROSA",IF(color_Celda(E313)=65535,"AMARILLO",IF(color_Celda(E313)=5296274,"VERDE",IF(color_Celda(E313)=16777215,"BLANCO","NO SE"))))</f>
        <v>ROSA</v>
      </c>
      <c r="W313" s="63" t="s">
        <v>1336</v>
      </c>
      <c r="X313" s="63"/>
      <c r="Y313" s="63"/>
      <c r="Z313" s="118" t="s">
        <v>743</v>
      </c>
      <c r="AA313" s="118" t="s">
        <v>743</v>
      </c>
      <c r="AB313" s="118" t="s">
        <v>1170</v>
      </c>
      <c r="AC313" s="324"/>
    </row>
    <row r="314" spans="1:29" ht="60" customHeight="1">
      <c r="A314" s="63">
        <v>308</v>
      </c>
      <c r="B314" s="65">
        <v>45104</v>
      </c>
      <c r="C314" s="70">
        <v>0.54652777777777783</v>
      </c>
      <c r="D314" s="63" t="s">
        <v>1405</v>
      </c>
      <c r="E314" s="64" t="s">
        <v>1657</v>
      </c>
      <c r="F314" s="63">
        <v>2</v>
      </c>
      <c r="G314" s="63" t="s">
        <v>568</v>
      </c>
      <c r="H314" s="208">
        <v>45114</v>
      </c>
      <c r="I314" s="65" t="s">
        <v>73</v>
      </c>
      <c r="J314" s="65" t="s">
        <v>35</v>
      </c>
      <c r="K314" s="63">
        <f>IFERROR(VLOOKUP(J314,Jueces!$A$1:$B$11,2,FALSE),"")</f>
        <v>3</v>
      </c>
      <c r="L314" s="63" t="s">
        <v>796</v>
      </c>
      <c r="M314" s="63" t="s">
        <v>1175</v>
      </c>
      <c r="N314" s="63" t="s">
        <v>1642</v>
      </c>
      <c r="O314" s="63" t="str">
        <f ca="1">IF(H314&lt;&gt;"",IF(H314&lt;=TODAY(),"SI","NO"),"LIMBO")</f>
        <v>SI</v>
      </c>
      <c r="P314" s="63" t="str">
        <f>IF($P$1=H314,"DIASOL", "DIANOSOL")</f>
        <v>DIANOSOL</v>
      </c>
      <c r="Q314" s="63" t="s">
        <v>911</v>
      </c>
      <c r="R314" s="7" t="str">
        <f>VLOOKUP($Q314,Resultados!$A$1:$B$49,2,FALSE)</f>
        <v>Prision domiciliaria</v>
      </c>
      <c r="S314" s="63" t="s">
        <v>1328</v>
      </c>
      <c r="T314" s="72" t="str">
        <f>IF(G314=$J$1,"SI","NO")</f>
        <v>NO</v>
      </c>
      <c r="U314" s="72"/>
      <c r="V314" s="7" t="str">
        <f ca="1">IF(color_Celda(E314)=12106214,"ROSA",IF(color_Celda(E314)=65535,"AMARILLO",IF(color_Celda(E314)=5296274,"VERDE",IF(color_Celda(E314)=16777215,"BLANCO","NO SE"))))</f>
        <v>ROSA</v>
      </c>
      <c r="W314" s="63" t="s">
        <v>1227</v>
      </c>
      <c r="X314" s="63"/>
      <c r="Y314" s="63"/>
      <c r="Z314" s="118" t="s">
        <v>770</v>
      </c>
      <c r="AA314" s="118" t="s">
        <v>1165</v>
      </c>
      <c r="AB314" s="118" t="s">
        <v>1169</v>
      </c>
      <c r="AC314" s="324"/>
    </row>
    <row r="315" spans="1:29" ht="60" customHeight="1">
      <c r="A315" s="63">
        <v>317</v>
      </c>
      <c r="B315" s="65">
        <v>45106</v>
      </c>
      <c r="C315" s="63" t="s">
        <v>73</v>
      </c>
      <c r="D315" s="63" t="s">
        <v>1407</v>
      </c>
      <c r="E315" s="64" t="s">
        <v>1658</v>
      </c>
      <c r="F315" s="63">
        <v>3</v>
      </c>
      <c r="G315" s="63" t="s">
        <v>283</v>
      </c>
      <c r="H315" s="208">
        <v>45114</v>
      </c>
      <c r="I315" s="65" t="s">
        <v>73</v>
      </c>
      <c r="J315" s="65" t="s">
        <v>1217</v>
      </c>
      <c r="K315" s="63">
        <f>IFERROR(VLOOKUP(J315,Jueces!$A$1:$B$11,2,FALSE),"")</f>
        <v>7</v>
      </c>
      <c r="L315" s="63" t="s">
        <v>1301</v>
      </c>
      <c r="M315" s="63" t="s">
        <v>1408</v>
      </c>
      <c r="N315" s="63" t="s">
        <v>1643</v>
      </c>
      <c r="O315" s="63" t="str">
        <f ca="1">IF(H315&lt;&gt;"",IF(H315&lt;=TODAY(),"SI","NO"),"LIMBO")</f>
        <v>SI</v>
      </c>
      <c r="P315" s="63" t="str">
        <f>IF($P$1=H315,"DIASOL", "DIANOSOL")</f>
        <v>DIANOSOL</v>
      </c>
      <c r="Q315" s="63" t="s">
        <v>903</v>
      </c>
      <c r="R315" s="7" t="str">
        <f>VLOOKUP($Q315,Resultados!$A$1:$B$49,2,FALSE)</f>
        <v>Juicio Abreviado</v>
      </c>
      <c r="S315" s="63" t="s">
        <v>1231</v>
      </c>
      <c r="T315" s="72" t="str">
        <f>IF(G315=$J$1,"SI","NO")</f>
        <v>NO</v>
      </c>
      <c r="U315" s="72"/>
      <c r="V315" s="7" t="str">
        <f ca="1">IF(color_Celda(E315)=12106214,"ROSA",IF(color_Celda(E315)=65535,"AMARILLO",IF(color_Celda(E315)=5296274,"VERDE",IF(color_Celda(E315)=16777215,"BLANCO","NO SE"))))</f>
        <v>ROSA</v>
      </c>
      <c r="W315" s="63" t="s">
        <v>1450</v>
      </c>
      <c r="X315" s="7"/>
      <c r="Y315" s="63"/>
      <c r="Z315" s="268" t="s">
        <v>1038</v>
      </c>
      <c r="AA315" s="118" t="s">
        <v>743</v>
      </c>
      <c r="AB315" s="268" t="s">
        <v>1171</v>
      </c>
      <c r="AC315" s="324"/>
    </row>
    <row r="316" spans="1:29" ht="60" customHeight="1">
      <c r="A316" s="63">
        <v>320</v>
      </c>
      <c r="B316" s="65">
        <v>45106</v>
      </c>
      <c r="C316" s="70">
        <v>0.39374999999999999</v>
      </c>
      <c r="D316" s="63" t="s">
        <v>1468</v>
      </c>
      <c r="E316" s="64" t="s">
        <v>1660</v>
      </c>
      <c r="F316" s="63">
        <v>2</v>
      </c>
      <c r="G316" s="63" t="s">
        <v>1435</v>
      </c>
      <c r="H316" s="208">
        <v>45114</v>
      </c>
      <c r="I316" s="65" t="s">
        <v>73</v>
      </c>
      <c r="J316" s="65" t="s">
        <v>78</v>
      </c>
      <c r="K316" s="63">
        <f>IFERROR(VLOOKUP(J316,Jueces!$A$1:$B$11,2,FALSE),"")</f>
        <v>8</v>
      </c>
      <c r="L316" s="63" t="s">
        <v>1647</v>
      </c>
      <c r="M316" s="63" t="s">
        <v>1430</v>
      </c>
      <c r="N316" s="63" t="s">
        <v>1645</v>
      </c>
      <c r="O316" s="63" t="str">
        <f ca="1">IF(H316&lt;&gt;"",IF(H316&lt;=TODAY(),"SI","NO"),"LIMBO")</f>
        <v>SI</v>
      </c>
      <c r="P316" s="63" t="str">
        <f>IF($P$1=H316,"DIASOL", "DIANOSOL")</f>
        <v>DIANOSOL</v>
      </c>
      <c r="Q316" s="63" t="s">
        <v>151</v>
      </c>
      <c r="R316" s="7" t="str">
        <f>VLOOKUP($Q316,Resultados!$A$1:$B$49,2,FALSE)</f>
        <v>Prisión Preventiva</v>
      </c>
      <c r="S316" s="63" t="s">
        <v>1287</v>
      </c>
      <c r="T316" s="72" t="str">
        <f>IF(G316=$J$1,"SI","NO")</f>
        <v>SI</v>
      </c>
      <c r="U316" s="72"/>
      <c r="V316" s="7" t="str">
        <f ca="1">IF(color_Celda(E316)=12106214,"ROSA",IF(color_Celda(E316)=65535,"AMARILLO",IF(color_Celda(E316)=5296274,"VERDE",IF(color_Celda(E316)=16777215,"BLANCO","NO SE"))))</f>
        <v>ROSA</v>
      </c>
      <c r="W316" s="63" t="s">
        <v>1007</v>
      </c>
      <c r="X316" s="365" t="s">
        <v>1648</v>
      </c>
      <c r="Y316" s="63"/>
      <c r="Z316" s="118" t="s">
        <v>1039</v>
      </c>
      <c r="AA316" s="118" t="s">
        <v>1167</v>
      </c>
      <c r="AB316" s="118" t="s">
        <v>1173</v>
      </c>
      <c r="AC316" s="324"/>
    </row>
    <row r="317" spans="1:29" ht="60" customHeight="1">
      <c r="A317" s="63">
        <v>301</v>
      </c>
      <c r="B317" s="65">
        <v>45104</v>
      </c>
      <c r="C317" s="63" t="s">
        <v>75</v>
      </c>
      <c r="D317" s="63" t="s">
        <v>1361</v>
      </c>
      <c r="E317" s="64" t="s">
        <v>1659</v>
      </c>
      <c r="F317" s="63">
        <v>3</v>
      </c>
      <c r="G317" s="63" t="s">
        <v>32</v>
      </c>
      <c r="H317" s="208">
        <v>45114</v>
      </c>
      <c r="I317" s="63" t="s">
        <v>1083</v>
      </c>
      <c r="J317" s="65" t="s">
        <v>1216</v>
      </c>
      <c r="K317" s="63">
        <f>IFERROR(VLOOKUP(J317,Jueces!$A$1:$B$11,2,FALSE),"")</f>
        <v>1</v>
      </c>
      <c r="L317" s="63" t="s">
        <v>284</v>
      </c>
      <c r="M317" s="63" t="s">
        <v>693</v>
      </c>
      <c r="N317" s="63" t="s">
        <v>1923</v>
      </c>
      <c r="O317" s="63" t="str">
        <f ca="1">IF(H317&lt;&gt;"",IF(H317&lt;=TODAY(),"SI","NO"),"LIMBO")</f>
        <v>SI</v>
      </c>
      <c r="P317" s="63" t="str">
        <f>IF($P$1=H317,"DIASOL", "DIANOSOL")</f>
        <v>DIANOSOL</v>
      </c>
      <c r="Q317" s="63" t="s">
        <v>903</v>
      </c>
      <c r="R317" s="7" t="str">
        <f>VLOOKUP($Q317,Resultados!$A$1:$B$49,2,FALSE)</f>
        <v>Juicio Abreviado</v>
      </c>
      <c r="S317" s="63" t="s">
        <v>1442</v>
      </c>
      <c r="T317" s="72" t="str">
        <f>IF(G317=$J$1,"SI","NO")</f>
        <v>NO</v>
      </c>
      <c r="U317" s="72"/>
      <c r="V317" s="7" t="str">
        <f ca="1">IF(color_Celda(E317)=12106214,"ROSA",IF(color_Celda(E317)=65535,"AMARILLO",IF(color_Celda(E317)=5296274,"VERDE",IF(color_Celda(E317)=16777215,"BLANCO","NO SE"))))</f>
        <v>ROSA</v>
      </c>
      <c r="W317" s="63" t="s">
        <v>1437</v>
      </c>
      <c r="X317" s="63" t="s">
        <v>1382</v>
      </c>
      <c r="Y317" s="63"/>
      <c r="Z317" s="118" t="s">
        <v>743</v>
      </c>
      <c r="AA317" s="118" t="s">
        <v>1165</v>
      </c>
      <c r="AB317" s="118" t="s">
        <v>1172</v>
      </c>
      <c r="AC317" s="324"/>
    </row>
    <row r="318" spans="1:29" ht="60" customHeight="1">
      <c r="A318" s="63">
        <v>309</v>
      </c>
      <c r="B318" s="65">
        <v>45105</v>
      </c>
      <c r="C318" s="70">
        <v>0.46319444444444446</v>
      </c>
      <c r="D318" s="63" t="s">
        <v>1393</v>
      </c>
      <c r="E318" s="64" t="s">
        <v>1661</v>
      </c>
      <c r="F318" s="63">
        <v>2</v>
      </c>
      <c r="G318" s="63" t="s">
        <v>1433</v>
      </c>
      <c r="H318" s="208">
        <v>45114</v>
      </c>
      <c r="I318" s="65" t="s">
        <v>1083</v>
      </c>
      <c r="J318" s="65" t="s">
        <v>35</v>
      </c>
      <c r="K318" s="63">
        <f>IFERROR(VLOOKUP(J318,Jueces!$A$1:$B$11,2,FALSE),"")</f>
        <v>3</v>
      </c>
      <c r="L318" s="63" t="s">
        <v>811</v>
      </c>
      <c r="M318" s="63" t="s">
        <v>692</v>
      </c>
      <c r="N318" s="63" t="s">
        <v>1646</v>
      </c>
      <c r="O318" s="63" t="str">
        <f ca="1">IF(H318&lt;&gt;"",IF(H318&lt;=TODAY(),"SI","NO"),"LIMBO")</f>
        <v>SI</v>
      </c>
      <c r="P318" s="63" t="str">
        <f>IF($P$1=H318,"DIASOL", "DIANOSOL")</f>
        <v>DIANOSOL</v>
      </c>
      <c r="Q318" s="63" t="s">
        <v>902</v>
      </c>
      <c r="R318" s="7" t="str">
        <f>VLOOKUP($Q318,Resultados!$A$1:$B$49,2,FALSE)</f>
        <v>Juicio Abreviado</v>
      </c>
      <c r="S318" s="63" t="s">
        <v>1004</v>
      </c>
      <c r="T318" s="72" t="str">
        <f>IF(G318=$J$1,"SI","NO")</f>
        <v>NO</v>
      </c>
      <c r="U318" s="72"/>
      <c r="V318" s="7" t="str">
        <f ca="1">IF(color_Celda(E318)=12106214,"ROSA",IF(color_Celda(E318)=65535,"AMARILLO",IF(color_Celda(E318)=5296274,"VERDE",IF(color_Celda(E318)=16777215,"BLANCO","NO SE"))))</f>
        <v>ROSA</v>
      </c>
      <c r="W318" s="63" t="s">
        <v>1294</v>
      </c>
      <c r="X318" s="63" t="s">
        <v>1644</v>
      </c>
      <c r="Y318" s="63"/>
      <c r="Z318" s="118" t="s">
        <v>1039</v>
      </c>
      <c r="AA318" s="118" t="s">
        <v>1167</v>
      </c>
      <c r="AB318" s="118" t="s">
        <v>1170</v>
      </c>
      <c r="AC318" s="324"/>
    </row>
    <row r="319" spans="1:29" ht="60" customHeight="1">
      <c r="A319" s="63">
        <v>310</v>
      </c>
      <c r="B319" s="65">
        <v>45105</v>
      </c>
      <c r="C319" s="70">
        <v>0.46597222222222223</v>
      </c>
      <c r="D319" s="63" t="s">
        <v>1422</v>
      </c>
      <c r="E319" s="64" t="s">
        <v>1662</v>
      </c>
      <c r="F319" s="63">
        <v>1</v>
      </c>
      <c r="G319" s="63" t="s">
        <v>1434</v>
      </c>
      <c r="H319" s="208">
        <v>45114</v>
      </c>
      <c r="I319" s="65" t="s">
        <v>1083</v>
      </c>
      <c r="J319" s="65" t="s">
        <v>78</v>
      </c>
      <c r="K319" s="63">
        <f>IFERROR(VLOOKUP(J319,Jueces!$A$1:$B$11,2,FALSE),"")</f>
        <v>8</v>
      </c>
      <c r="L319" s="63" t="s">
        <v>810</v>
      </c>
      <c r="M319" s="63" t="s">
        <v>712</v>
      </c>
      <c r="N319" s="63" t="s">
        <v>1649</v>
      </c>
      <c r="O319" s="63" t="str">
        <f ca="1">IF(H319&lt;&gt;"",IF(H319&lt;=TODAY(),"SI","NO"),"LIMBO")</f>
        <v>SI</v>
      </c>
      <c r="P319" s="63" t="str">
        <f>IF($P$1=H319,"DIASOL", "DIANOSOL")</f>
        <v>DIANOSOL</v>
      </c>
      <c r="Q319" s="63" t="s">
        <v>903</v>
      </c>
      <c r="R319" s="7" t="str">
        <f>VLOOKUP($Q319,Resultados!$A$1:$B$49,2,FALSE)</f>
        <v>Juicio Abreviado</v>
      </c>
      <c r="S319" s="63" t="s">
        <v>1442</v>
      </c>
      <c r="T319" s="72" t="str">
        <f>IF(G319=$J$1,"SI","NO")</f>
        <v>NO</v>
      </c>
      <c r="U319" s="72"/>
      <c r="V319" s="7" t="str">
        <f ca="1">IF(color_Celda(E319)=12106214,"ROSA",IF(color_Celda(E319)=65535,"AMARILLO",IF(color_Celda(E319)=5296274,"VERDE",IF(color_Celda(E319)=16777215,"BLANCO","NO SE"))))</f>
        <v>ROSA</v>
      </c>
      <c r="W319" s="63" t="s">
        <v>1437</v>
      </c>
      <c r="X319" s="63" t="s">
        <v>1650</v>
      </c>
      <c r="Y319" s="63"/>
      <c r="Z319" s="118" t="s">
        <v>770</v>
      </c>
      <c r="AA319" s="118" t="s">
        <v>743</v>
      </c>
      <c r="AB319" s="118" t="s">
        <v>1169</v>
      </c>
      <c r="AC319" s="324"/>
    </row>
    <row r="320" spans="1:29" ht="60" customHeight="1">
      <c r="A320" s="63">
        <v>327</v>
      </c>
      <c r="B320" s="65">
        <v>45107</v>
      </c>
      <c r="C320" s="70">
        <v>0.46180555555555558</v>
      </c>
      <c r="D320" s="63" t="s">
        <v>1470</v>
      </c>
      <c r="E320" s="64" t="s">
        <v>1696</v>
      </c>
      <c r="F320" s="63">
        <v>3</v>
      </c>
      <c r="G320" s="63" t="s">
        <v>1434</v>
      </c>
      <c r="H320" s="208">
        <v>45117</v>
      </c>
      <c r="I320" s="65" t="s">
        <v>76</v>
      </c>
      <c r="J320" s="65" t="s">
        <v>1484</v>
      </c>
      <c r="K320" s="63" t="s">
        <v>1341</v>
      </c>
      <c r="L320" s="63" t="s">
        <v>810</v>
      </c>
      <c r="M320" s="63" t="s">
        <v>692</v>
      </c>
      <c r="N320" s="63" t="s">
        <v>1718</v>
      </c>
      <c r="O320" s="78" t="str">
        <f ca="1">IF(H320&lt;&gt;"",IF(H320&lt;=TODAY(),"SI","NO"),"LIMBO")</f>
        <v>SI</v>
      </c>
      <c r="P320" s="78" t="str">
        <f>IF($P$1=H320,"DIASOL", "DIANOSOL")</f>
        <v>DIANOSOL</v>
      </c>
      <c r="Q320" s="63" t="s">
        <v>902</v>
      </c>
      <c r="R320" s="7" t="str">
        <f>VLOOKUP($Q320,Resultados!$A$1:$B$49,2,FALSE)</f>
        <v>Juicio Abreviado</v>
      </c>
      <c r="S320" s="70">
        <v>0.40277777777777773</v>
      </c>
      <c r="T320" s="81" t="str">
        <f>IF(G320=$J$1,"SI","NO")</f>
        <v>NO</v>
      </c>
      <c r="U320" s="81"/>
      <c r="V320" s="7" t="str">
        <f ca="1">IF(color_Celda(E320)=12106214,"ROSA",IF(color_Celda(E320)=65535,"AMARILLO",IF(color_Celda(E320)=5296274,"VERDE",IF(color_Celda(E320)=16777215,"BLANCO","NO SE"))))</f>
        <v>ROSA</v>
      </c>
      <c r="W320" s="70">
        <v>0.4201388888888889</v>
      </c>
      <c r="X320" s="63" t="s">
        <v>1719</v>
      </c>
      <c r="Y320" s="63"/>
      <c r="Z320" s="268" t="s">
        <v>1039</v>
      </c>
      <c r="AA320" s="72"/>
      <c r="AB320" s="268"/>
      <c r="AC320" s="324"/>
    </row>
    <row r="321" spans="1:29" ht="60" customHeight="1">
      <c r="A321" s="63">
        <v>328</v>
      </c>
      <c r="B321" s="65">
        <v>45107</v>
      </c>
      <c r="C321" s="70">
        <v>0.46875</v>
      </c>
      <c r="D321" s="63" t="s">
        <v>1471</v>
      </c>
      <c r="E321" s="64" t="s">
        <v>1697</v>
      </c>
      <c r="F321" s="63">
        <v>3</v>
      </c>
      <c r="G321" s="63" t="s">
        <v>29</v>
      </c>
      <c r="H321" s="208">
        <v>45117</v>
      </c>
      <c r="I321" s="65" t="s">
        <v>76</v>
      </c>
      <c r="J321" s="65" t="s">
        <v>1616</v>
      </c>
      <c r="K321" s="63" t="s">
        <v>1483</v>
      </c>
      <c r="L321" s="63" t="s">
        <v>805</v>
      </c>
      <c r="M321" s="63" t="s">
        <v>694</v>
      </c>
      <c r="N321" s="63" t="s">
        <v>1731</v>
      </c>
      <c r="O321" s="63" t="str">
        <f ca="1">IF(H321&lt;&gt;"",IF(H321&lt;=TODAY(),"SI","NO"),"LIMBO")</f>
        <v>SI</v>
      </c>
      <c r="P321" s="63" t="str">
        <f>IF($P$1=H321,"DIASOL", "DIANOSOL")</f>
        <v>DIANOSOL</v>
      </c>
      <c r="Q321" s="63" t="s">
        <v>902</v>
      </c>
      <c r="R321" s="7" t="str">
        <f>VLOOKUP($Q321,Resultados!$A$1:$B$49,2,FALSE)</f>
        <v>Juicio Abreviado</v>
      </c>
      <c r="S321" s="63" t="s">
        <v>76</v>
      </c>
      <c r="T321" s="72" t="str">
        <f>IF(G321=$J$1,"SI","NO")</f>
        <v>NO</v>
      </c>
      <c r="U321" s="72"/>
      <c r="V321" s="7" t="str">
        <f ca="1">IF(color_Celda(E321)=12106214,"ROSA",IF(color_Celda(E321)=65535,"AMARILLO",IF(color_Celda(E321)=5296274,"VERDE",IF(color_Celda(E321)=16777215,"BLANCO","NO SE"))))</f>
        <v>ROSA</v>
      </c>
      <c r="W321" s="63" t="s">
        <v>1129</v>
      </c>
      <c r="X321" s="63" t="s">
        <v>1732</v>
      </c>
      <c r="Y321" s="63"/>
      <c r="Z321" s="118" t="s">
        <v>748</v>
      </c>
      <c r="AA321" s="72"/>
      <c r="AB321" s="118"/>
      <c r="AC321" s="324"/>
    </row>
    <row r="322" spans="1:29" ht="60" customHeight="1">
      <c r="A322" s="63">
        <v>322</v>
      </c>
      <c r="B322" s="65">
        <v>45106</v>
      </c>
      <c r="C322" s="63" t="s">
        <v>1431</v>
      </c>
      <c r="D322" s="63" t="s">
        <v>1432</v>
      </c>
      <c r="E322" s="64" t="s">
        <v>1698</v>
      </c>
      <c r="F322" s="63">
        <v>2</v>
      </c>
      <c r="G322" s="63" t="s">
        <v>43</v>
      </c>
      <c r="H322" s="208">
        <v>45117</v>
      </c>
      <c r="I322" s="65" t="s">
        <v>1442</v>
      </c>
      <c r="J322" s="65" t="s">
        <v>1616</v>
      </c>
      <c r="K322" s="63" t="s">
        <v>1483</v>
      </c>
      <c r="L322" s="63" t="s">
        <v>792</v>
      </c>
      <c r="M322" s="63" t="s">
        <v>1439</v>
      </c>
      <c r="N322" s="63" t="s">
        <v>510</v>
      </c>
      <c r="O322" s="63" t="str">
        <f ca="1">IF(H322&lt;&gt;"",IF(H322&lt;=TODAY(),"SI","NO"),"LIMBO")</f>
        <v>SI</v>
      </c>
      <c r="P322" s="63" t="str">
        <f>IF($P$1=H322,"DIASOL", "DIANOSOL")</f>
        <v>DIANOSOL</v>
      </c>
      <c r="Q322" s="63" t="s">
        <v>897</v>
      </c>
      <c r="R322" s="7" t="str">
        <f>VLOOKUP($Q322,Resultados!$A$1:$B$49,2,FALSE)</f>
        <v>Libertad</v>
      </c>
      <c r="S322" s="63" t="s">
        <v>1442</v>
      </c>
      <c r="T322" s="72" t="str">
        <f>IF(G322=$J$1,"SI","NO")</f>
        <v>NO</v>
      </c>
      <c r="U322" s="72"/>
      <c r="V322" s="7" t="str">
        <f ca="1">IF(color_Celda(E322)=12106214,"ROSA",IF(color_Celda(E322)=65535,"AMARILLO",IF(color_Celda(E322)=5296274,"VERDE",IF(color_Celda(E322)=16777215,"BLANCO","NO SE"))))</f>
        <v>ROSA</v>
      </c>
      <c r="W322" s="63" t="s">
        <v>1730</v>
      </c>
      <c r="X322" s="365" t="s">
        <v>1306</v>
      </c>
      <c r="Y322" s="63"/>
      <c r="Z322" s="118" t="s">
        <v>1039</v>
      </c>
      <c r="AA322" s="72"/>
      <c r="AB322" s="72"/>
      <c r="AC322" s="324"/>
    </row>
    <row r="323" spans="1:29" ht="60" customHeight="1">
      <c r="A323" s="63">
        <v>331</v>
      </c>
      <c r="B323" s="65">
        <v>45110</v>
      </c>
      <c r="C323" s="70">
        <v>0.34097222222222223</v>
      </c>
      <c r="D323" s="63" t="s">
        <v>1472</v>
      </c>
      <c r="E323" s="64" t="s">
        <v>1699</v>
      </c>
      <c r="F323" s="63">
        <v>3</v>
      </c>
      <c r="G323" s="63" t="s">
        <v>568</v>
      </c>
      <c r="H323" s="208">
        <v>45117</v>
      </c>
      <c r="I323" s="65" t="s">
        <v>1442</v>
      </c>
      <c r="J323" s="65" t="s">
        <v>1484</v>
      </c>
      <c r="K323" s="63" t="s">
        <v>1341</v>
      </c>
      <c r="L323" s="63" t="s">
        <v>805</v>
      </c>
      <c r="M323" s="63" t="s">
        <v>694</v>
      </c>
      <c r="N323" s="63" t="s">
        <v>1720</v>
      </c>
      <c r="O323" s="63" t="str">
        <f ca="1">IF(H323&lt;&gt;"",IF(H323&lt;=TODAY(),"SI","NO"),"LIMBO")</f>
        <v>SI</v>
      </c>
      <c r="P323" s="63" t="str">
        <f>IF($P$1=H323,"DIASOL", "DIANOSOL")</f>
        <v>DIANOSOL</v>
      </c>
      <c r="Q323" s="63" t="s">
        <v>902</v>
      </c>
      <c r="R323" s="7" t="str">
        <f>VLOOKUP($Q323,Resultados!$A$1:$B$49,2,FALSE)</f>
        <v>Juicio Abreviado</v>
      </c>
      <c r="S323" s="70" t="s">
        <v>1709</v>
      </c>
      <c r="T323" s="72" t="str">
        <f>IF(G323=$J$1,"SI","NO")</f>
        <v>NO</v>
      </c>
      <c r="U323" s="72"/>
      <c r="V323" s="7" t="str">
        <f ca="1">IF(color_Celda(E323)=12106214,"ROSA",IF(color_Celda(E323)=65535,"AMARILLO",IF(color_Celda(E323)=5296274,"VERDE",IF(color_Celda(E323)=16777215,"BLANCO","NO SE"))))</f>
        <v>ROSA</v>
      </c>
      <c r="W323" s="70">
        <v>0.5</v>
      </c>
      <c r="X323" s="63"/>
      <c r="Y323" s="63"/>
      <c r="Z323" s="118" t="s">
        <v>748</v>
      </c>
      <c r="AA323" s="72"/>
      <c r="AB323" s="72"/>
      <c r="AC323" s="324"/>
    </row>
    <row r="324" spans="1:29" ht="60" customHeight="1">
      <c r="A324" s="63">
        <v>313</v>
      </c>
      <c r="B324" s="65">
        <v>45105</v>
      </c>
      <c r="C324" s="70">
        <v>0.47222222222222227</v>
      </c>
      <c r="D324" s="63" t="s">
        <v>1400</v>
      </c>
      <c r="E324" s="64" t="s">
        <v>1700</v>
      </c>
      <c r="F324" s="63">
        <v>3</v>
      </c>
      <c r="G324" s="63" t="s">
        <v>1433</v>
      </c>
      <c r="H324" s="208">
        <v>45117</v>
      </c>
      <c r="I324" s="65" t="s">
        <v>547</v>
      </c>
      <c r="J324" s="65" t="s">
        <v>1484</v>
      </c>
      <c r="K324" s="63" t="s">
        <v>1341</v>
      </c>
      <c r="L324" s="63" t="s">
        <v>811</v>
      </c>
      <c r="M324" s="63" t="s">
        <v>693</v>
      </c>
      <c r="N324" s="63" t="s">
        <v>1710</v>
      </c>
      <c r="O324" s="63" t="str">
        <f ca="1">IF(H324&lt;&gt;"",IF(H324&lt;=TODAY(),"SI","NO"),"LIMBO")</f>
        <v>SI</v>
      </c>
      <c r="P324" s="63" t="str">
        <f>IF($P$1=H324,"DIASOL", "DIANOSOL")</f>
        <v>DIANOSOL</v>
      </c>
      <c r="Q324" s="63" t="s">
        <v>151</v>
      </c>
      <c r="R324" s="7" t="str">
        <f>VLOOKUP($Q324,Resultados!$A$1:$B$49,2,FALSE)</f>
        <v>Prisión Preventiva</v>
      </c>
      <c r="S324" s="63" t="s">
        <v>1708</v>
      </c>
      <c r="T324" s="72" t="str">
        <f>IF(G324=$J$1,"SI","NO")</f>
        <v>NO</v>
      </c>
      <c r="U324" s="72"/>
      <c r="V324" s="7" t="str">
        <f ca="1">IF(color_Celda(E324)=12106214,"ROSA",IF(color_Celda(E324)=65535,"AMARILLO",IF(color_Celda(E324)=5296274,"VERDE",IF(color_Celda(E324)=16777215,"BLANCO","NO SE"))))</f>
        <v>ROSA</v>
      </c>
      <c r="W324" s="63" t="s">
        <v>1237</v>
      </c>
      <c r="X324" s="63" t="s">
        <v>1711</v>
      </c>
      <c r="Y324" s="63"/>
      <c r="Z324" s="118" t="s">
        <v>743</v>
      </c>
      <c r="AA324" s="72"/>
      <c r="AB324" s="72"/>
      <c r="AC324" s="324"/>
    </row>
    <row r="325" spans="1:29" ht="60" customHeight="1">
      <c r="A325" s="63">
        <v>324</v>
      </c>
      <c r="B325" s="65">
        <v>45107</v>
      </c>
      <c r="C325" s="70">
        <v>0.33333333333333331</v>
      </c>
      <c r="D325" s="63" t="s">
        <v>1440</v>
      </c>
      <c r="E325" s="64" t="s">
        <v>1701</v>
      </c>
      <c r="F325" s="63">
        <v>1</v>
      </c>
      <c r="G325" s="63" t="s">
        <v>32</v>
      </c>
      <c r="H325" s="208">
        <v>45117</v>
      </c>
      <c r="I325" s="65" t="s">
        <v>547</v>
      </c>
      <c r="J325" s="65" t="s">
        <v>35</v>
      </c>
      <c r="K325" s="63">
        <f>IFERROR(VLOOKUP(J325,Jueces!$A$1:$B$11,2,FALSE),"")</f>
        <v>3</v>
      </c>
      <c r="L325" s="63" t="s">
        <v>809</v>
      </c>
      <c r="M325" s="63" t="s">
        <v>1084</v>
      </c>
      <c r="N325" s="63" t="s">
        <v>1705</v>
      </c>
      <c r="O325" s="63" t="str">
        <f ca="1">IF(H325&lt;&gt;"",IF(H325&lt;=TODAY(),"SI","NO"),"LIMBO")</f>
        <v>SI</v>
      </c>
      <c r="P325" s="63" t="str">
        <f>IF($P$1=H325,"DIASOL", "DIANOSOL")</f>
        <v>DIANOSOL</v>
      </c>
      <c r="Q325" s="63" t="s">
        <v>902</v>
      </c>
      <c r="R325" s="7" t="str">
        <f>VLOOKUP($Q325,Resultados!$A$1:$B$49,2,FALSE)</f>
        <v>Juicio Abreviado</v>
      </c>
      <c r="S325" s="63" t="s">
        <v>1237</v>
      </c>
      <c r="T325" s="72" t="str">
        <f>IF(G325=$J$1,"SI","NO")</f>
        <v>NO</v>
      </c>
      <c r="U325" s="72"/>
      <c r="V325" s="7" t="str">
        <f ca="1">IF(color_Celda(E325)=12106214,"ROSA",IF(color_Celda(E325)=65535,"AMARILLO",IF(color_Celda(E325)=5296274,"VERDE",IF(color_Celda(E325)=16777215,"BLANCO","NO SE"))))</f>
        <v>ROSA</v>
      </c>
      <c r="W325" s="63" t="s">
        <v>1706</v>
      </c>
      <c r="X325" s="63" t="s">
        <v>1707</v>
      </c>
      <c r="Y325" s="63"/>
      <c r="Z325" s="118" t="s">
        <v>1039</v>
      </c>
      <c r="AA325" s="72"/>
      <c r="AB325" s="72"/>
      <c r="AC325" s="324"/>
    </row>
    <row r="326" spans="1:29" ht="60" customHeight="1">
      <c r="A326" s="63">
        <v>316</v>
      </c>
      <c r="B326" s="65">
        <v>45106</v>
      </c>
      <c r="C326" s="63" t="s">
        <v>73</v>
      </c>
      <c r="D326" s="63" t="s">
        <v>1410</v>
      </c>
      <c r="E326" s="64" t="s">
        <v>1409</v>
      </c>
      <c r="F326" s="63">
        <v>3</v>
      </c>
      <c r="G326" s="63" t="s">
        <v>1434</v>
      </c>
      <c r="H326" s="208">
        <v>45118</v>
      </c>
      <c r="I326" s="65" t="s">
        <v>76</v>
      </c>
      <c r="J326" s="65" t="s">
        <v>35</v>
      </c>
      <c r="K326" s="63">
        <f>IFERROR(VLOOKUP(J326,Jueces!$A$1:$B$11,2,FALSE),"")</f>
        <v>3</v>
      </c>
      <c r="L326" s="63" t="s">
        <v>811</v>
      </c>
      <c r="M326" s="63" t="s">
        <v>697</v>
      </c>
      <c r="N326" s="63" t="s">
        <v>1747</v>
      </c>
      <c r="O326" s="63" t="str">
        <f ca="1">IF(H326&lt;&gt;"",IF(H326&lt;=TODAY(),"SI","NO"),"LIMBO")</f>
        <v>SI</v>
      </c>
      <c r="P326" s="63" t="str">
        <f>IF($P$1=H326,"DIASOL", "DIANOSOL")</f>
        <v>DIANOSOL</v>
      </c>
      <c r="Q326" s="63" t="s">
        <v>151</v>
      </c>
      <c r="R326" s="7" t="str">
        <f>VLOOKUP($Q326,Resultados!$A$1:$B$49,2,FALSE)</f>
        <v>Prisión Preventiva</v>
      </c>
      <c r="S326" s="70">
        <v>0.39166666666666666</v>
      </c>
      <c r="T326" s="72" t="str">
        <f>IF(G326=$J$1,"SI","NO")</f>
        <v>NO</v>
      </c>
      <c r="U326" s="72"/>
      <c r="V326" s="7" t="str">
        <f ca="1">IF(color_Celda(E326)=12106214,"ROSA",IF(color_Celda(E326)=65535,"AMARILLO",IF(color_Celda(E326)=5296274,"VERDE",IF(color_Celda(E326)=16777215,"BLANCO","NO SE"))))</f>
        <v>ROSA</v>
      </c>
      <c r="W326" s="63" t="s">
        <v>1592</v>
      </c>
      <c r="X326" s="63" t="s">
        <v>1748</v>
      </c>
      <c r="Y326" s="63"/>
      <c r="Z326" s="118" t="s">
        <v>748</v>
      </c>
      <c r="AA326" s="72"/>
      <c r="AB326" s="72"/>
      <c r="AC326" s="324"/>
    </row>
    <row r="327" spans="1:29" ht="60" customHeight="1">
      <c r="A327" s="63">
        <v>319</v>
      </c>
      <c r="B327" s="65">
        <v>45106</v>
      </c>
      <c r="C327" s="70">
        <v>0.33611111111111108</v>
      </c>
      <c r="D327" s="63" t="s">
        <v>1412</v>
      </c>
      <c r="E327" s="64" t="s">
        <v>1413</v>
      </c>
      <c r="F327" s="63">
        <v>3</v>
      </c>
      <c r="G327" s="63" t="s">
        <v>29</v>
      </c>
      <c r="H327" s="208">
        <v>45118</v>
      </c>
      <c r="I327" s="65" t="s">
        <v>76</v>
      </c>
      <c r="J327" s="65" t="s">
        <v>31</v>
      </c>
      <c r="K327" s="63">
        <f>IFERROR(VLOOKUP(J327,Jueces!$A$1:$B$11,2,FALSE),"")</f>
        <v>2</v>
      </c>
      <c r="L327" s="63" t="s">
        <v>806</v>
      </c>
      <c r="M327" s="63" t="s">
        <v>693</v>
      </c>
      <c r="N327" s="63" t="s">
        <v>1749</v>
      </c>
      <c r="O327" s="63" t="str">
        <f ca="1">IF(H327&lt;&gt;"",IF(H327&lt;=TODAY(),"SI","NO"),"LIMBO")</f>
        <v>SI</v>
      </c>
      <c r="P327" s="63" t="str">
        <f>IF($P$1=H327,"DIASOL", "DIANOSOL")</f>
        <v>DIANOSOL</v>
      </c>
      <c r="Q327" s="63" t="s">
        <v>903</v>
      </c>
      <c r="R327" s="7" t="str">
        <f>VLOOKUP($Q327,Resultados!$A$1:$B$49,2,FALSE)</f>
        <v>Juicio Abreviado</v>
      </c>
      <c r="S327" s="63" t="s">
        <v>1001</v>
      </c>
      <c r="T327" s="72" t="str">
        <f>IF(G327=$J$1,"SI","NO")</f>
        <v>NO</v>
      </c>
      <c r="U327" s="72"/>
      <c r="V327" s="7" t="str">
        <f ca="1">IF(color_Celda(E327)=12106214,"ROSA",IF(color_Celda(E327)=65535,"AMARILLO",IF(color_Celda(E327)=5296274,"VERDE",IF(color_Celda(E327)=16777215,"BLANCO","NO SE"))))</f>
        <v>ROSA</v>
      </c>
      <c r="W327" s="63" t="s">
        <v>1226</v>
      </c>
      <c r="X327" s="63"/>
      <c r="Y327" s="63"/>
      <c r="Z327" s="118" t="s">
        <v>743</v>
      </c>
      <c r="AA327" s="72"/>
      <c r="AB327" s="72"/>
      <c r="AC327" s="324"/>
    </row>
    <row r="328" spans="1:29" ht="60" customHeight="1">
      <c r="A328" s="63">
        <v>330</v>
      </c>
      <c r="B328" s="65">
        <v>45110</v>
      </c>
      <c r="C328" s="70">
        <v>0.33333333333333331</v>
      </c>
      <c r="D328" s="63" t="s">
        <v>1474</v>
      </c>
      <c r="E328" s="64" t="s">
        <v>1475</v>
      </c>
      <c r="F328" s="63">
        <v>3</v>
      </c>
      <c r="G328" s="63" t="s">
        <v>32</v>
      </c>
      <c r="H328" s="208">
        <v>45118</v>
      </c>
      <c r="I328" s="65" t="s">
        <v>76</v>
      </c>
      <c r="J328" s="65" t="s">
        <v>1616</v>
      </c>
      <c r="K328" s="63" t="s">
        <v>1483</v>
      </c>
      <c r="L328" s="63" t="s">
        <v>789</v>
      </c>
      <c r="M328" s="63" t="s">
        <v>694</v>
      </c>
      <c r="N328" s="63" t="s">
        <v>1750</v>
      </c>
      <c r="O328" s="63" t="str">
        <f ca="1">IF(H328&lt;&gt;"",IF(H328&lt;=TODAY(),"SI","NO"),"LIMBO")</f>
        <v>SI</v>
      </c>
      <c r="P328" s="63" t="str">
        <f>IF($P$1=H328,"DIASOL", "DIANOSOL")</f>
        <v>DIANOSOL</v>
      </c>
      <c r="Q328" s="63" t="s">
        <v>902</v>
      </c>
      <c r="R328" s="7" t="str">
        <f>VLOOKUP($Q328,Resultados!$A$1:$B$49,2,FALSE)</f>
        <v>Juicio Abreviado</v>
      </c>
      <c r="S328" s="63" t="s">
        <v>1751</v>
      </c>
      <c r="T328" s="72" t="str">
        <f>IF(G328=$J$1,"SI","NO")</f>
        <v>NO</v>
      </c>
      <c r="U328" s="72"/>
      <c r="V328" s="7" t="str">
        <f ca="1">IF(color_Celda(E328)=12106214,"ROSA",IF(color_Celda(E328)=65535,"AMARILLO",IF(color_Celda(E328)=5296274,"VERDE",IF(color_Celda(E328)=16777215,"BLANCO","NO SE"))))</f>
        <v>ROSA</v>
      </c>
      <c r="W328" s="63" t="s">
        <v>1185</v>
      </c>
      <c r="X328" s="63" t="s">
        <v>1752</v>
      </c>
      <c r="Y328" s="63"/>
      <c r="Z328" s="118" t="s">
        <v>1039</v>
      </c>
      <c r="AA328" s="72"/>
      <c r="AB328" s="72"/>
      <c r="AC328" s="324"/>
    </row>
    <row r="329" spans="1:29" ht="60" customHeight="1">
      <c r="A329" s="63">
        <v>312</v>
      </c>
      <c r="B329" s="65">
        <v>45105</v>
      </c>
      <c r="C329" s="70">
        <v>0.47013888888888888</v>
      </c>
      <c r="D329" s="63" t="s">
        <v>1399</v>
      </c>
      <c r="E329" s="64" t="s">
        <v>1870</v>
      </c>
      <c r="F329" s="63">
        <v>3</v>
      </c>
      <c r="G329" s="63" t="s">
        <v>283</v>
      </c>
      <c r="H329" s="208">
        <v>45118</v>
      </c>
      <c r="I329" s="65" t="s">
        <v>1442</v>
      </c>
      <c r="J329" s="65" t="s">
        <v>35</v>
      </c>
      <c r="K329" s="63">
        <f>IFERROR(VLOOKUP(J329,Jueces!$A$1:$B$11,2,FALSE),"")</f>
        <v>3</v>
      </c>
      <c r="L329" s="63" t="s">
        <v>811</v>
      </c>
      <c r="M329" s="63" t="s">
        <v>693</v>
      </c>
      <c r="N329" s="63" t="s">
        <v>1781</v>
      </c>
      <c r="O329" s="63" t="str">
        <f ca="1">IF(H329&lt;&gt;"",IF(H329&lt;=TODAY(),"SI","NO"),"LIMBO")</f>
        <v>SI</v>
      </c>
      <c r="P329" s="63" t="str">
        <f>IF($P$1=H329,"DIASOL", "DIANOSOL")</f>
        <v>DIANOSOL</v>
      </c>
      <c r="Q329" s="63" t="s">
        <v>902</v>
      </c>
      <c r="R329" s="7" t="str">
        <f>VLOOKUP($Q329,Resultados!$A$1:$B$49,2,FALSE)</f>
        <v>Juicio Abreviado</v>
      </c>
      <c r="S329" s="63" t="s">
        <v>1779</v>
      </c>
      <c r="T329" s="72" t="str">
        <f>IF(G329=$J$1,"SI","NO")</f>
        <v>NO</v>
      </c>
      <c r="U329" s="72"/>
      <c r="V329" s="7" t="str">
        <f ca="1">IF(color_Celda(E329)=12106214,"ROSA",IF(color_Celda(E329)=65535,"AMARILLO",IF(color_Celda(E329)=5296274,"VERDE",IF(color_Celda(E329)=16777215,"BLANCO","NO SE"))))</f>
        <v>ROSA</v>
      </c>
      <c r="W329" s="63" t="s">
        <v>1780</v>
      </c>
      <c r="X329" s="169" t="s">
        <v>1782</v>
      </c>
      <c r="Y329" s="63"/>
      <c r="Z329" s="118" t="s">
        <v>743</v>
      </c>
      <c r="AA329" s="72"/>
      <c r="AB329" s="72"/>
      <c r="AC329" s="324"/>
    </row>
    <row r="330" spans="1:29" ht="60" customHeight="1">
      <c r="A330" s="63">
        <v>323</v>
      </c>
      <c r="B330" s="65">
        <v>45107</v>
      </c>
      <c r="C330" s="70">
        <v>0.33333333333333331</v>
      </c>
      <c r="D330" s="63" t="s">
        <v>1448</v>
      </c>
      <c r="E330" s="64" t="s">
        <v>1447</v>
      </c>
      <c r="F330" s="63">
        <v>3</v>
      </c>
      <c r="G330" s="63" t="s">
        <v>568</v>
      </c>
      <c r="H330" s="208">
        <v>45118</v>
      </c>
      <c r="I330" s="65" t="s">
        <v>1442</v>
      </c>
      <c r="J330" s="65" t="s">
        <v>35</v>
      </c>
      <c r="K330" s="63">
        <f>IFERROR(VLOOKUP(J330,Jueces!$A$1:$B$11,2,FALSE),"")</f>
        <v>3</v>
      </c>
      <c r="L330" s="63" t="s">
        <v>806</v>
      </c>
      <c r="M330" s="63" t="s">
        <v>694</v>
      </c>
      <c r="N330" s="63" t="s">
        <v>1744</v>
      </c>
      <c r="O330" s="63" t="str">
        <f ca="1">IF(H330&lt;&gt;"",IF(H330&lt;=TODAY(),"SI","NO"),"LIMBO")</f>
        <v>SI</v>
      </c>
      <c r="P330" s="63" t="str">
        <f>IF($P$1=H330,"DIASOL", "DIANOSOL")</f>
        <v>DIANOSOL</v>
      </c>
      <c r="Q330" s="63" t="s">
        <v>151</v>
      </c>
      <c r="R330" s="7" t="str">
        <f>VLOOKUP($Q330,Resultados!$A$1:$B$49,2,FALSE)</f>
        <v>Prisión Preventiva</v>
      </c>
      <c r="S330" s="70">
        <v>0.44930555555555557</v>
      </c>
      <c r="T330" s="72" t="str">
        <f>IF(G330=$J$1,"SI","NO")</f>
        <v>NO</v>
      </c>
      <c r="U330" s="72"/>
      <c r="V330" s="7" t="str">
        <f ca="1">IF(color_Celda(E330)=12106214,"ROSA",IF(color_Celda(E330)=65535,"AMARILLO",IF(color_Celda(E330)=5296274,"VERDE",IF(color_Celda(E330)=16777215,"BLANCO","NO SE"))))</f>
        <v>ROSA</v>
      </c>
      <c r="W330" s="63" t="s">
        <v>1237</v>
      </c>
      <c r="X330" s="63" t="s">
        <v>1746</v>
      </c>
      <c r="Y330" s="63"/>
      <c r="Z330" s="118" t="s">
        <v>748</v>
      </c>
      <c r="AA330" s="72"/>
      <c r="AB330" s="72"/>
      <c r="AC330" s="324"/>
    </row>
    <row r="331" spans="1:29" ht="60" customHeight="1">
      <c r="A331" s="63">
        <v>325</v>
      </c>
      <c r="B331" s="65">
        <v>45107</v>
      </c>
      <c r="C331" s="70">
        <v>0.33333333333333331</v>
      </c>
      <c r="D331" s="63" t="s">
        <v>1441</v>
      </c>
      <c r="E331" s="64" t="s">
        <v>1444</v>
      </c>
      <c r="F331" s="63">
        <v>2</v>
      </c>
      <c r="G331" s="63" t="s">
        <v>1433</v>
      </c>
      <c r="H331" s="208">
        <v>45118</v>
      </c>
      <c r="I331" s="65" t="s">
        <v>1442</v>
      </c>
      <c r="J331" s="65" t="s">
        <v>31</v>
      </c>
      <c r="K331" s="63">
        <f>IFERROR(VLOOKUP(J331,Jueces!$A$1:$B$11,2,FALSE),"")</f>
        <v>2</v>
      </c>
      <c r="L331" s="63" t="s">
        <v>800</v>
      </c>
      <c r="M331" s="63" t="s">
        <v>692</v>
      </c>
      <c r="N331" s="63" t="s">
        <v>1813</v>
      </c>
      <c r="O331" s="63" t="str">
        <f ca="1">IF(H331&lt;&gt;"",IF(H331&lt;=TODAY(),"SI","NO"),"LIMBO")</f>
        <v>SI</v>
      </c>
      <c r="P331" s="63" t="str">
        <f>IF($P$1=H331,"DIASOL", "DIANOSOL")</f>
        <v>DIANOSOL</v>
      </c>
      <c r="Q331" s="63" t="s">
        <v>151</v>
      </c>
      <c r="R331" s="7" t="str">
        <f>VLOOKUP($Q331,Resultados!$A$1:$B$49,2,FALSE)</f>
        <v>Prisión Preventiva</v>
      </c>
      <c r="S331" s="70">
        <v>0.52916666666666667</v>
      </c>
      <c r="T331" s="72" t="str">
        <f>IF(G331=$J$1,"SI","NO")</f>
        <v>NO</v>
      </c>
      <c r="U331" s="72"/>
      <c r="V331" s="7" t="str">
        <f ca="1">IF(color_Celda(E331)=12106214,"ROSA",IF(color_Celda(E331)=65535,"AMARILLO",IF(color_Celda(E331)=5296274,"VERDE",IF(color_Celda(E331)=16777215,"BLANCO","NO SE"))))</f>
        <v>ROSA</v>
      </c>
      <c r="W331" s="70">
        <v>0.55277777777777781</v>
      </c>
      <c r="X331" s="63"/>
      <c r="Y331" s="63"/>
      <c r="Z331" s="118" t="s">
        <v>743</v>
      </c>
      <c r="AA331" s="72"/>
      <c r="AB331" s="72"/>
      <c r="AC331" s="324"/>
    </row>
    <row r="332" spans="1:29" ht="60" customHeight="1">
      <c r="A332" s="63">
        <v>326</v>
      </c>
      <c r="B332" s="65">
        <v>45107</v>
      </c>
      <c r="C332" s="70">
        <v>0.43333333333333335</v>
      </c>
      <c r="D332" s="63" t="s">
        <v>1443</v>
      </c>
      <c r="E332" s="64" t="s">
        <v>1469</v>
      </c>
      <c r="F332" s="63">
        <v>3</v>
      </c>
      <c r="G332" s="63" t="s">
        <v>43</v>
      </c>
      <c r="H332" s="208">
        <v>45118</v>
      </c>
      <c r="I332" s="65" t="s">
        <v>1442</v>
      </c>
      <c r="J332" s="65" t="s">
        <v>1484</v>
      </c>
      <c r="K332" s="63" t="s">
        <v>1341</v>
      </c>
      <c r="L332" s="63" t="s">
        <v>800</v>
      </c>
      <c r="M332" s="63" t="s">
        <v>1378</v>
      </c>
      <c r="N332" s="63" t="s">
        <v>1744</v>
      </c>
      <c r="O332" s="63" t="str">
        <f ca="1">IF(H332&lt;&gt;"",IF(H332&lt;=TODAY(),"SI","NO"),"LIMBO")</f>
        <v>SI</v>
      </c>
      <c r="P332" s="63" t="str">
        <f>IF($P$1=H332,"DIASOL", "DIANOSOL")</f>
        <v>DIANOSOL</v>
      </c>
      <c r="Q332" s="63" t="s">
        <v>151</v>
      </c>
      <c r="R332" s="7" t="str">
        <f>VLOOKUP($Q332,Resultados!$A$1:$B$49,2,FALSE)</f>
        <v>Prisión Preventiva</v>
      </c>
      <c r="S332" s="63" t="s">
        <v>1237</v>
      </c>
      <c r="T332" s="72" t="str">
        <f>IF(G332=$J$1,"SI","NO")</f>
        <v>NO</v>
      </c>
      <c r="U332" s="72"/>
      <c r="V332" s="7" t="str">
        <f ca="1">IF(color_Celda(E332)=12106214,"ROSA",IF(color_Celda(E332)=65535,"AMARILLO",IF(color_Celda(E332)=5296274,"VERDE",IF(color_Celda(E332)=16777215,"BLANCO","NO SE"))))</f>
        <v>ROSA</v>
      </c>
      <c r="W332" s="63" t="s">
        <v>1745</v>
      </c>
      <c r="X332" s="63"/>
      <c r="Y332" s="63"/>
      <c r="Z332" s="118" t="s">
        <v>1039</v>
      </c>
      <c r="AA332" s="72"/>
      <c r="AB332" s="72"/>
      <c r="AC332" s="324"/>
    </row>
    <row r="333" spans="1:29" ht="60" customHeight="1">
      <c r="A333" s="63">
        <v>361</v>
      </c>
      <c r="B333" s="65">
        <v>45114</v>
      </c>
      <c r="C333" s="63" t="s">
        <v>1668</v>
      </c>
      <c r="D333" s="63" t="s">
        <v>1669</v>
      </c>
      <c r="E333" s="40" t="s">
        <v>1667</v>
      </c>
      <c r="F333" s="63">
        <v>3</v>
      </c>
      <c r="G333" s="63" t="s">
        <v>1654</v>
      </c>
      <c r="H333" s="208">
        <v>45118</v>
      </c>
      <c r="I333" s="65" t="s">
        <v>1554</v>
      </c>
      <c r="J333" s="65" t="s">
        <v>1616</v>
      </c>
      <c r="K333" s="63" t="s">
        <v>1483</v>
      </c>
      <c r="L333" s="63" t="s">
        <v>789</v>
      </c>
      <c r="M333" s="63" t="s">
        <v>1685</v>
      </c>
      <c r="N333" s="63" t="s">
        <v>1828</v>
      </c>
      <c r="O333" s="78" t="s">
        <v>1792</v>
      </c>
      <c r="P333" s="78" t="str">
        <f>IF($P$1=H333,"DIASOL", "DIANOSOL")</f>
        <v>DIANOSOL</v>
      </c>
      <c r="Q333" s="63" t="s">
        <v>903</v>
      </c>
      <c r="R333" s="7" t="str">
        <f>VLOOKUP($Q333,Resultados!$A$1:$B$49,2,FALSE)</f>
        <v>Juicio Abreviado</v>
      </c>
      <c r="S333" s="70">
        <v>0.41944444444444445</v>
      </c>
      <c r="T333" s="81" t="str">
        <f>IF(G333=$J$1,"SI","NO")</f>
        <v>NO</v>
      </c>
      <c r="U333" s="81"/>
      <c r="V333" s="7" t="str">
        <f ca="1">IF(color_Celda(E333)=12106214,"ROSA",IF(color_Celda(E333)=65535,"AMARILLO",IF(color_Celda(E333)=5296274,"VERDE",IF(color_Celda(E333)=16777215,"BLANCO","NO SE"))))</f>
        <v>ROSA</v>
      </c>
      <c r="W333" s="70">
        <v>0.44722222222222219</v>
      </c>
      <c r="X333" s="63" t="s">
        <v>1736</v>
      </c>
      <c r="Y333" s="63"/>
      <c r="Z333" s="72"/>
      <c r="AA333" s="72"/>
      <c r="AB333" s="72"/>
      <c r="AC333" s="324"/>
    </row>
    <row r="334" spans="1:29" ht="60" customHeight="1">
      <c r="A334" s="63">
        <v>329</v>
      </c>
      <c r="B334" s="65">
        <v>45110</v>
      </c>
      <c r="C334" s="70">
        <v>0.33333333333333331</v>
      </c>
      <c r="D334" s="63" t="s">
        <v>1473</v>
      </c>
      <c r="E334" s="64" t="s">
        <v>1480</v>
      </c>
      <c r="F334" s="63">
        <v>3</v>
      </c>
      <c r="G334" s="63" t="s">
        <v>283</v>
      </c>
      <c r="H334" s="208">
        <v>45118</v>
      </c>
      <c r="I334" s="65" t="s">
        <v>987</v>
      </c>
      <c r="J334" s="65" t="s">
        <v>1616</v>
      </c>
      <c r="K334" s="63" t="s">
        <v>1483</v>
      </c>
      <c r="L334" s="63" t="s">
        <v>796</v>
      </c>
      <c r="M334" s="63" t="s">
        <v>693</v>
      </c>
      <c r="N334" s="63" t="s">
        <v>1778</v>
      </c>
      <c r="O334" s="63" t="str">
        <f ca="1">IF(H334&lt;&gt;"",IF(H334&lt;=TODAY(),"SI","NO"),"LIMBO")</f>
        <v>SI</v>
      </c>
      <c r="P334" s="63" t="str">
        <f>IF($P$1=H334,"DIASOL", "DIANOSOL")</f>
        <v>DIANOSOL</v>
      </c>
      <c r="Q334" s="63" t="s">
        <v>897</v>
      </c>
      <c r="R334" s="63" t="str">
        <f>VLOOKUP($Q334,Resultados!$A$1:$B$49,2,FALSE)</f>
        <v>Libertad</v>
      </c>
      <c r="S334" s="63" t="s">
        <v>987</v>
      </c>
      <c r="T334" s="72" t="str">
        <f>IF(G334=$J$1,"SI","NO")</f>
        <v>NO</v>
      </c>
      <c r="U334" s="72"/>
      <c r="V334" s="7" t="str">
        <f ca="1">IF(color_Celda(E334)=12106214,"ROSA",IF(color_Celda(E334)=65535,"AMARILLO",IF(color_Celda(E334)=5296274,"VERDE",IF(color_Celda(E334)=16777215,"BLANCO","NO SE"))))</f>
        <v>ROSA</v>
      </c>
      <c r="W334" s="63" t="s">
        <v>1777</v>
      </c>
      <c r="X334" s="63"/>
      <c r="Y334" s="63"/>
      <c r="Z334" s="118" t="s">
        <v>748</v>
      </c>
      <c r="AA334" s="72"/>
      <c r="AB334" s="72"/>
      <c r="AC334" s="324"/>
    </row>
    <row r="335" spans="1:29" ht="60" customHeight="1">
      <c r="A335" s="63">
        <v>337</v>
      </c>
      <c r="B335" s="65">
        <v>45111</v>
      </c>
      <c r="C335" s="70" t="s">
        <v>1737</v>
      </c>
      <c r="D335" s="63" t="s">
        <v>1544</v>
      </c>
      <c r="E335" s="64" t="s">
        <v>1516</v>
      </c>
      <c r="F335" s="63">
        <v>4</v>
      </c>
      <c r="G335" s="63" t="s">
        <v>1434</v>
      </c>
      <c r="H335" s="208">
        <v>45119</v>
      </c>
      <c r="I335" s="65" t="s">
        <v>76</v>
      </c>
      <c r="J335" s="65" t="s">
        <v>31</v>
      </c>
      <c r="K335" s="63">
        <f>IFERROR(VLOOKUP(J335,Jueces!$A$1:$B$11,2,FALSE),"")</f>
        <v>2</v>
      </c>
      <c r="L335" s="63" t="s">
        <v>806</v>
      </c>
      <c r="M335" s="63" t="s">
        <v>695</v>
      </c>
      <c r="N335" s="63" t="s">
        <v>1776</v>
      </c>
      <c r="O335" s="63" t="str">
        <f ca="1">IF(H335&lt;&gt;"",IF(H335&lt;=TODAY(),"SI","NO"),"LIMBO")</f>
        <v>SI</v>
      </c>
      <c r="P335" s="63" t="str">
        <f>IF($P$1=H335,"DIASOL", "DIANOSOL")</f>
        <v>DIANOSOL</v>
      </c>
      <c r="Q335" s="63" t="s">
        <v>897</v>
      </c>
      <c r="R335" s="63" t="str">
        <f>VLOOKUP($Q335,Resultados!$A$1:$B$49,2,FALSE)</f>
        <v>Libertad</v>
      </c>
      <c r="S335" s="63" t="s">
        <v>1002</v>
      </c>
      <c r="T335" s="72" t="str">
        <f>IF(G335=$J$1,"SI","NO")</f>
        <v>NO</v>
      </c>
      <c r="U335" s="72"/>
      <c r="V335" s="7" t="str">
        <f ca="1">IF(color_Celda(E335)=12106214,"ROSA",IF(color_Celda(E335)=65535,"AMARILLO",IF(color_Celda(E335)=5296274,"VERDE",IF(color_Celda(E335)=16777215,"BLANCO","NO SE"))))</f>
        <v>ROSA</v>
      </c>
      <c r="W335" s="63" t="s">
        <v>1239</v>
      </c>
      <c r="X335" s="63"/>
      <c r="Y335" s="63"/>
      <c r="Z335" s="118" t="s">
        <v>743</v>
      </c>
      <c r="AA335" s="72"/>
      <c r="AB335" s="118" t="s">
        <v>1739</v>
      </c>
      <c r="AC335" s="324"/>
    </row>
    <row r="336" spans="1:29" ht="60" customHeight="1">
      <c r="A336" s="63">
        <v>338</v>
      </c>
      <c r="B336" s="65">
        <v>45111</v>
      </c>
      <c r="C336" s="70" t="s">
        <v>1388</v>
      </c>
      <c r="D336" s="63" t="s">
        <v>1543</v>
      </c>
      <c r="E336" s="64" t="s">
        <v>1783</v>
      </c>
      <c r="F336" s="63">
        <v>3</v>
      </c>
      <c r="G336" s="63" t="s">
        <v>1433</v>
      </c>
      <c r="H336" s="208">
        <v>45119</v>
      </c>
      <c r="I336" s="65" t="s">
        <v>76</v>
      </c>
      <c r="J336" s="65" t="s">
        <v>1484</v>
      </c>
      <c r="K336" s="63" t="s">
        <v>1341</v>
      </c>
      <c r="L336" s="63" t="s">
        <v>810</v>
      </c>
      <c r="M336" s="63" t="s">
        <v>694</v>
      </c>
      <c r="N336" s="63" t="s">
        <v>1756</v>
      </c>
      <c r="O336" s="63" t="str">
        <f ca="1">IF(H336&lt;&gt;"",IF(H336&lt;=TODAY(),"SI","NO"),"LIMBO")</f>
        <v>SI</v>
      </c>
      <c r="P336" s="63" t="str">
        <f>IF($P$1=H336,"DIASOL", "DIANOSOL")</f>
        <v>DIANOSOL</v>
      </c>
      <c r="Q336" s="63" t="s">
        <v>903</v>
      </c>
      <c r="R336" s="63" t="str">
        <f>VLOOKUP($Q336,Resultados!$A$1:$B$49,2,FALSE)</f>
        <v>Juicio Abreviado</v>
      </c>
      <c r="S336" s="70">
        <v>0.3972222222222222</v>
      </c>
      <c r="T336" s="72" t="str">
        <f>IF(G336=$J$1,"SI","NO")</f>
        <v>NO</v>
      </c>
      <c r="U336" s="72"/>
      <c r="V336" s="7" t="str">
        <f ca="1">IF(color_Celda(E336)=12106214,"ROSA",IF(color_Celda(E336)=65535,"AMARILLO",IF(color_Celda(E336)=5296274,"VERDE",IF(color_Celda(E336)=16777215,"BLANCO","NO SE"))))</f>
        <v>ROSA</v>
      </c>
      <c r="W336" s="70">
        <v>0.40625</v>
      </c>
      <c r="X336" s="63" t="s">
        <v>1757</v>
      </c>
      <c r="Y336" s="63"/>
      <c r="Z336" s="118" t="s">
        <v>1039</v>
      </c>
      <c r="AA336" s="72"/>
      <c r="AB336" s="118" t="s">
        <v>1740</v>
      </c>
      <c r="AC336" s="324"/>
    </row>
    <row r="337" spans="1:29" ht="60" customHeight="1">
      <c r="A337" s="63">
        <v>340</v>
      </c>
      <c r="B337" s="65">
        <v>45111</v>
      </c>
      <c r="C337" s="70">
        <v>0.41736111111111113</v>
      </c>
      <c r="D337" s="63" t="s">
        <v>1540</v>
      </c>
      <c r="E337" s="64" t="s">
        <v>1517</v>
      </c>
      <c r="F337" s="63">
        <v>3</v>
      </c>
      <c r="G337" s="63" t="s">
        <v>283</v>
      </c>
      <c r="H337" s="208">
        <v>45119</v>
      </c>
      <c r="I337" s="65" t="s">
        <v>1442</v>
      </c>
      <c r="J337" s="65" t="s">
        <v>35</v>
      </c>
      <c r="K337" s="63">
        <f>IFERROR(VLOOKUP(J337,Jueces!$A$1:$B$11,2,FALSE),"")</f>
        <v>3</v>
      </c>
      <c r="L337" s="63" t="s">
        <v>806</v>
      </c>
      <c r="M337" s="63" t="s">
        <v>694</v>
      </c>
      <c r="N337" s="63" t="s">
        <v>1775</v>
      </c>
      <c r="O337" s="63" t="str">
        <f ca="1">IF(H337&lt;&gt;"",IF(H337&lt;=TODAY(),"SI","NO"),"LIMBO")</f>
        <v>SI</v>
      </c>
      <c r="P337" s="63" t="str">
        <f>IF($P$1=H337,"DIASOL", "DIANOSOL")</f>
        <v>DIANOSOL</v>
      </c>
      <c r="Q337" s="63" t="s">
        <v>903</v>
      </c>
      <c r="R337" s="63" t="str">
        <f>VLOOKUP($Q337,Resultados!$A$1:$B$49,2,FALSE)</f>
        <v>Juicio Abreviado</v>
      </c>
      <c r="S337" s="63" t="s">
        <v>1442</v>
      </c>
      <c r="T337" s="72" t="str">
        <f>IF(G337=$J$1,"SI","NO")</f>
        <v>NO</v>
      </c>
      <c r="U337" s="72"/>
      <c r="V337" s="7" t="str">
        <f ca="1">IF(color_Celda(E337)=12106214,"ROSA",IF(color_Celda(E337)=65535,"AMARILLO",IF(color_Celda(E337)=5296274,"VERDE",IF(color_Celda(E337)=16777215,"BLANCO","NO SE"))))</f>
        <v>ROSA</v>
      </c>
      <c r="W337" s="63" t="s">
        <v>1774</v>
      </c>
      <c r="X337" s="63"/>
      <c r="Y337" s="63"/>
      <c r="Z337" s="118" t="s">
        <v>748</v>
      </c>
      <c r="AA337" s="72"/>
      <c r="AB337" s="118" t="s">
        <v>1741</v>
      </c>
      <c r="AC337" s="324"/>
    </row>
    <row r="338" spans="1:29" ht="60" customHeight="1">
      <c r="A338" s="63">
        <v>336</v>
      </c>
      <c r="B338" s="65">
        <v>45111</v>
      </c>
      <c r="C338" s="70" t="s">
        <v>1239</v>
      </c>
      <c r="D338" s="63" t="s">
        <v>1515</v>
      </c>
      <c r="E338" s="64" t="s">
        <v>1513</v>
      </c>
      <c r="F338" s="63">
        <v>4</v>
      </c>
      <c r="G338" s="63" t="s">
        <v>568</v>
      </c>
      <c r="H338" s="208">
        <v>45119</v>
      </c>
      <c r="I338" s="65" t="s">
        <v>547</v>
      </c>
      <c r="J338" s="65" t="s">
        <v>35</v>
      </c>
      <c r="K338" s="63">
        <f>IFERROR(VLOOKUP(J338,Jueces!$A$1:$B$11,2,FALSE),"")</f>
        <v>3</v>
      </c>
      <c r="L338" s="63" t="s">
        <v>1514</v>
      </c>
      <c r="M338" s="63" t="s">
        <v>1426</v>
      </c>
      <c r="N338" s="63" t="s">
        <v>1771</v>
      </c>
      <c r="O338" s="63" t="str">
        <f ca="1">IF(H338&lt;&gt;"",IF(H338&lt;=TODAY(),"SI","NO"),"LIMBO")</f>
        <v>SI</v>
      </c>
      <c r="P338" s="63" t="str">
        <f>IF($P$1=H338,"DIASOL", "DIANOSOL")</f>
        <v>DIANOSOL</v>
      </c>
      <c r="Q338" s="63" t="s">
        <v>911</v>
      </c>
      <c r="R338" s="63" t="str">
        <f>VLOOKUP($Q338,Resultados!$A$1:$B$49,2,FALSE)</f>
        <v>Prision domiciliaria</v>
      </c>
      <c r="S338" s="70">
        <v>0.47083333333333338</v>
      </c>
      <c r="T338" s="72" t="str">
        <f>IF(G338=$J$1,"SI","NO")</f>
        <v>NO</v>
      </c>
      <c r="U338" s="72"/>
      <c r="V338" s="7" t="str">
        <f ca="1">IF(color_Celda(E338)=12106214,"ROSA",IF(color_Celda(E338)=65535,"AMARILLO",IF(color_Celda(E338)=5296274,"VERDE",IF(color_Celda(E338)=16777215,"BLANCO","NO SE"))))</f>
        <v>ROSA</v>
      </c>
      <c r="W338" s="70">
        <v>0.48958333333333331</v>
      </c>
      <c r="X338" s="63"/>
      <c r="Y338" s="63"/>
      <c r="Z338" s="118" t="s">
        <v>743</v>
      </c>
      <c r="AA338" s="72"/>
      <c r="AB338" s="118" t="s">
        <v>1173</v>
      </c>
      <c r="AC338" s="324"/>
    </row>
    <row r="339" spans="1:29" ht="60" customHeight="1">
      <c r="A339" s="63">
        <v>341</v>
      </c>
      <c r="B339" s="65">
        <v>45111</v>
      </c>
      <c r="C339" s="70" t="s">
        <v>1450</v>
      </c>
      <c r="D339" s="63" t="s">
        <v>1541</v>
      </c>
      <c r="E339" s="64" t="s">
        <v>1784</v>
      </c>
      <c r="F339" s="63">
        <v>2</v>
      </c>
      <c r="G339" s="63" t="s">
        <v>43</v>
      </c>
      <c r="H339" s="208">
        <v>45119</v>
      </c>
      <c r="I339" s="65" t="s">
        <v>547</v>
      </c>
      <c r="J339" s="65" t="s">
        <v>1616</v>
      </c>
      <c r="K339" s="63" t="s">
        <v>1483</v>
      </c>
      <c r="L339" s="63" t="s">
        <v>797</v>
      </c>
      <c r="M339" s="63" t="s">
        <v>1175</v>
      </c>
      <c r="N339" s="63" t="s">
        <v>1769</v>
      </c>
      <c r="O339" s="63" t="str">
        <f ca="1">IF(H339&lt;&gt;"",IF(H339&lt;=TODAY(),"SI","NO"),"LIMBO")</f>
        <v>SI</v>
      </c>
      <c r="P339" s="63" t="str">
        <f>IF($P$1=H339,"DIASOL", "DIANOSOL")</f>
        <v>DIANOSOL</v>
      </c>
      <c r="Q339" s="63" t="s">
        <v>903</v>
      </c>
      <c r="R339" s="63" t="str">
        <f>VLOOKUP($Q339,Resultados!$A$1:$B$49,2,FALSE)</f>
        <v>Juicio Abreviado</v>
      </c>
      <c r="S339" s="70">
        <v>0.4916666666666667</v>
      </c>
      <c r="T339" s="72" t="str">
        <f>IF(G339=$J$1,"SI","NO")</f>
        <v>NO</v>
      </c>
      <c r="U339" s="72"/>
      <c r="V339" s="7" t="str">
        <f ca="1">IF(color_Celda(E339)=12106214,"ROSA",IF(color_Celda(E339)=65535,"AMARILLO",IF(color_Celda(E339)=5296274,"VERDE",IF(color_Celda(E339)=16777215,"BLANCO","NO SE"))))</f>
        <v>ROSA</v>
      </c>
      <c r="W339" s="70">
        <v>0.5083333333333333</v>
      </c>
      <c r="X339" s="63" t="s">
        <v>1770</v>
      </c>
      <c r="Y339" s="63"/>
      <c r="Z339" s="118" t="s">
        <v>1039</v>
      </c>
      <c r="AA339" s="72"/>
      <c r="AB339" s="118" t="s">
        <v>1742</v>
      </c>
      <c r="AC339" s="324"/>
    </row>
    <row r="340" spans="1:29" ht="60" customHeight="1">
      <c r="A340" s="63">
        <v>342</v>
      </c>
      <c r="B340" s="65">
        <v>45111</v>
      </c>
      <c r="C340" s="70" t="s">
        <v>1275</v>
      </c>
      <c r="D340" s="63" t="s">
        <v>1549</v>
      </c>
      <c r="E340" s="64" t="s">
        <v>1548</v>
      </c>
      <c r="F340" s="63">
        <v>4</v>
      </c>
      <c r="G340" s="63" t="s">
        <v>29</v>
      </c>
      <c r="H340" s="208">
        <v>45119</v>
      </c>
      <c r="I340" s="65" t="s">
        <v>547</v>
      </c>
      <c r="J340" s="65" t="s">
        <v>1484</v>
      </c>
      <c r="K340" s="63" t="s">
        <v>1341</v>
      </c>
      <c r="L340" s="63" t="s">
        <v>811</v>
      </c>
      <c r="M340" s="63" t="s">
        <v>694</v>
      </c>
      <c r="N340" s="63" t="s">
        <v>1773</v>
      </c>
      <c r="O340" s="63" t="str">
        <f ca="1">IF(H340&lt;&gt;"",IF(H340&lt;=TODAY(),"SI","NO"),"LIMBO")</f>
        <v>SI</v>
      </c>
      <c r="P340" s="63" t="str">
        <f>IF($P$1=H340,"DIASOL", "DIANOSOL")</f>
        <v>DIANOSOL</v>
      </c>
      <c r="Q340" s="63" t="s">
        <v>902</v>
      </c>
      <c r="R340" s="63" t="str">
        <f>VLOOKUP($Q340,Resultados!$A$1:$B$49,2,FALSE)</f>
        <v>Juicio Abreviado</v>
      </c>
      <c r="S340" s="63" t="s">
        <v>547</v>
      </c>
      <c r="T340" s="72" t="str">
        <f>IF(G340=$J$1,"SI","NO")</f>
        <v>NO</v>
      </c>
      <c r="U340" s="72"/>
      <c r="V340" s="7" t="str">
        <f ca="1">IF(color_Celda(E340)=12106214,"ROSA",IF(color_Celda(E340)=65535,"AMARILLO",IF(color_Celda(E340)=5296274,"VERDE",IF(color_Celda(E340)=16777215,"BLANCO","NO SE"))))</f>
        <v>ROSA</v>
      </c>
      <c r="W340" s="63" t="s">
        <v>1772</v>
      </c>
      <c r="X340" s="63"/>
      <c r="Y340" s="63"/>
      <c r="Z340" s="118" t="s">
        <v>748</v>
      </c>
      <c r="AA340" s="72"/>
      <c r="AB340" s="72"/>
      <c r="AC340" s="324"/>
    </row>
    <row r="341" spans="1:29" ht="60" customHeight="1">
      <c r="A341" s="63">
        <v>344</v>
      </c>
      <c r="B341" s="65">
        <v>45111</v>
      </c>
      <c r="C341" s="70">
        <v>0.53263888888888888</v>
      </c>
      <c r="D341" s="63" t="s">
        <v>1551</v>
      </c>
      <c r="E341" s="64" t="s">
        <v>1764</v>
      </c>
      <c r="F341" s="63">
        <v>3</v>
      </c>
      <c r="G341" s="63" t="s">
        <v>43</v>
      </c>
      <c r="H341" s="208">
        <v>45119</v>
      </c>
      <c r="I341" s="65" t="s">
        <v>1554</v>
      </c>
      <c r="J341" s="65" t="s">
        <v>1616</v>
      </c>
      <c r="K341" s="63" t="s">
        <v>1483</v>
      </c>
      <c r="L341" s="63" t="s">
        <v>805</v>
      </c>
      <c r="M341" s="63" t="s">
        <v>694</v>
      </c>
      <c r="N341" s="63" t="s">
        <v>1767</v>
      </c>
      <c r="O341" s="63" t="str">
        <f ca="1">IF(H341&lt;&gt;"",IF(H341&lt;=TODAY(),"SI","NO"),"LIMBO")</f>
        <v>SI</v>
      </c>
      <c r="P341" s="63" t="str">
        <f>IF($P$1=H341,"DIASOL", "DIANOSOL")</f>
        <v>DIANOSOL</v>
      </c>
      <c r="Q341" s="63" t="s">
        <v>902</v>
      </c>
      <c r="R341" s="63" t="str">
        <f>VLOOKUP($Q341,Resultados!$A$1:$B$49,2,FALSE)</f>
        <v>Juicio Abreviado</v>
      </c>
      <c r="S341" s="63" t="s">
        <v>1765</v>
      </c>
      <c r="T341" s="72" t="str">
        <f>IF(G341=$J$1,"SI","NO")</f>
        <v>NO</v>
      </c>
      <c r="U341" s="72"/>
      <c r="V341" s="7" t="str">
        <f ca="1">IF(color_Celda(E341)=12106214,"ROSA",IF(color_Celda(E341)=65535,"AMARILLO",IF(color_Celda(E341)=5296274,"VERDE",IF(color_Celda(E341)=16777215,"BLANCO","NO SE"))))</f>
        <v>ROSA</v>
      </c>
      <c r="W341" s="63" t="s">
        <v>1766</v>
      </c>
      <c r="X341" s="63" t="s">
        <v>1768</v>
      </c>
      <c r="Y341" s="63"/>
      <c r="Z341" s="118" t="s">
        <v>743</v>
      </c>
      <c r="AA341" s="72"/>
      <c r="AB341" s="72"/>
      <c r="AC341" s="324"/>
    </row>
    <row r="342" spans="1:29" ht="60" customHeight="1">
      <c r="A342" s="63">
        <v>334</v>
      </c>
      <c r="B342" s="65">
        <v>45111</v>
      </c>
      <c r="C342" s="70" t="s">
        <v>1081</v>
      </c>
      <c r="D342" s="63" t="s">
        <v>1546</v>
      </c>
      <c r="E342" s="64" t="s">
        <v>1785</v>
      </c>
      <c r="F342" s="63">
        <v>4</v>
      </c>
      <c r="G342" s="63" t="s">
        <v>32</v>
      </c>
      <c r="H342" s="208">
        <v>45120</v>
      </c>
      <c r="I342" s="65" t="s">
        <v>76</v>
      </c>
      <c r="J342" s="65" t="s">
        <v>1616</v>
      </c>
      <c r="K342" s="63" t="s">
        <v>1483</v>
      </c>
      <c r="L342" s="63" t="s">
        <v>812</v>
      </c>
      <c r="M342" s="63" t="s">
        <v>1550</v>
      </c>
      <c r="N342" s="63" t="s">
        <v>897</v>
      </c>
      <c r="O342" s="63" t="str">
        <f ca="1">IF(H342&lt;&gt;"",IF(H342&lt;=TODAY(),"SI","NO"),"LIMBO")</f>
        <v>SI</v>
      </c>
      <c r="P342" s="63" t="str">
        <f>IF($P$1=H342,"DIASOL", "DIANOSOL")</f>
        <v>DIANOSOL</v>
      </c>
      <c r="Q342" s="63" t="s">
        <v>897</v>
      </c>
      <c r="R342" s="63" t="str">
        <f>VLOOKUP($Q342,Resultados!$A$1:$B$49,2,FALSE)</f>
        <v>Libertad</v>
      </c>
      <c r="S342" s="63" t="s">
        <v>1793</v>
      </c>
      <c r="T342" s="72" t="str">
        <f>IF(G342=$J$1,"SI","NO")</f>
        <v>NO</v>
      </c>
      <c r="U342" s="72"/>
      <c r="V342" s="7" t="str">
        <f ca="1">IF(color_Celda(E342)=12106214,"ROSA",IF(color_Celda(E342)=65535,"AMARILLO",IF(color_Celda(E342)=5296274,"VERDE",IF(color_Celda(E342)=16777215,"BLANCO","NO SE"))))</f>
        <v>ROSA</v>
      </c>
      <c r="W342" s="63" t="s">
        <v>1241</v>
      </c>
      <c r="X342" s="63" t="s">
        <v>1794</v>
      </c>
      <c r="Y342" s="63"/>
      <c r="Z342" s="118" t="s">
        <v>1039</v>
      </c>
      <c r="AA342" s="72"/>
      <c r="AB342" s="72"/>
      <c r="AC342" s="324"/>
    </row>
    <row r="343" spans="1:29" ht="60" customHeight="1">
      <c r="A343" s="63">
        <v>339</v>
      </c>
      <c r="B343" s="65">
        <v>45111</v>
      </c>
      <c r="C343" s="70" t="s">
        <v>1501</v>
      </c>
      <c r="D343" s="63" t="s">
        <v>1542</v>
      </c>
      <c r="E343" s="64" t="s">
        <v>1786</v>
      </c>
      <c r="F343" s="63">
        <v>3</v>
      </c>
      <c r="G343" s="63" t="s">
        <v>568</v>
      </c>
      <c r="H343" s="208">
        <v>45120</v>
      </c>
      <c r="I343" s="65" t="s">
        <v>76</v>
      </c>
      <c r="J343" s="65" t="s">
        <v>31</v>
      </c>
      <c r="K343" s="63">
        <f>IFERROR(VLOOKUP(J343,Jueces!$A$1:$B$11,2,FALSE),"")</f>
        <v>2</v>
      </c>
      <c r="L343" s="63" t="s">
        <v>811</v>
      </c>
      <c r="M343" s="63" t="s">
        <v>694</v>
      </c>
      <c r="N343" s="63" t="s">
        <v>897</v>
      </c>
      <c r="O343" s="63" t="str">
        <f ca="1">IF(H343&lt;&gt;"",IF(H343&lt;=TODAY(),"SI","NO"),"LIMBO")</f>
        <v>SI</v>
      </c>
      <c r="P343" s="63" t="str">
        <f>IF($P$1=H343,"DIASOL", "DIANOSOL")</f>
        <v>DIANOSOL</v>
      </c>
      <c r="Q343" s="63" t="s">
        <v>897</v>
      </c>
      <c r="R343" s="63" t="str">
        <f>VLOOKUP($Q343,Resultados!$A$1:$B$49,2,FALSE)</f>
        <v>Libertad</v>
      </c>
      <c r="S343" s="63" t="s">
        <v>1128</v>
      </c>
      <c r="T343" s="72" t="str">
        <f>IF(G343=$J$1,"SI","NO")</f>
        <v>NO</v>
      </c>
      <c r="U343" s="72"/>
      <c r="V343" s="7" t="str">
        <f ca="1">IF(color_Celda(E343)=12106214,"ROSA",IF(color_Celda(E343)=65535,"AMARILLO",IF(color_Celda(E343)=5296274,"VERDE",IF(color_Celda(E343)=16777215,"BLANCO","NO SE"))))</f>
        <v>ROSA</v>
      </c>
      <c r="W343" s="63" t="s">
        <v>1798</v>
      </c>
      <c r="X343" s="63"/>
      <c r="Y343" s="63"/>
      <c r="Z343" s="118" t="s">
        <v>748</v>
      </c>
      <c r="AA343" s="72"/>
      <c r="AB343" s="72"/>
      <c r="AC343" s="324"/>
    </row>
    <row r="344" spans="1:29" ht="60" customHeight="1">
      <c r="A344" s="63">
        <v>347</v>
      </c>
      <c r="B344" s="65">
        <v>45112</v>
      </c>
      <c r="C344" s="63" t="s">
        <v>1558</v>
      </c>
      <c r="D344" s="63" t="s">
        <v>1557</v>
      </c>
      <c r="E344" s="64" t="s">
        <v>1787</v>
      </c>
      <c r="F344" s="63">
        <v>4</v>
      </c>
      <c r="G344" s="63" t="s">
        <v>43</v>
      </c>
      <c r="H344" s="208">
        <v>45120</v>
      </c>
      <c r="I344" s="65" t="s">
        <v>76</v>
      </c>
      <c r="J344" s="65" t="s">
        <v>1484</v>
      </c>
      <c r="K344" s="63" t="s">
        <v>1341</v>
      </c>
      <c r="L344" s="63" t="s">
        <v>807</v>
      </c>
      <c r="M344" s="63" t="s">
        <v>695</v>
      </c>
      <c r="N344" s="63" t="s">
        <v>621</v>
      </c>
      <c r="O344" s="63" t="str">
        <f ca="1">IF(H344&lt;&gt;"",IF(H344&lt;=TODAY(),"SI","NO"),"LIMBO")</f>
        <v>SI</v>
      </c>
      <c r="P344" s="63" t="str">
        <f>IF($P$1=H344,"DIASOL", "DIANOSOL")</f>
        <v>DIANOSOL</v>
      </c>
      <c r="Q344" s="63" t="s">
        <v>151</v>
      </c>
      <c r="R344" s="63" t="str">
        <f>VLOOKUP($Q344,Resultados!$A$1:$B$49,2,FALSE)</f>
        <v>Prisión Preventiva</v>
      </c>
      <c r="S344" s="63" t="s">
        <v>1294</v>
      </c>
      <c r="T344" s="72" t="str">
        <f>IF(G344=$J$1,"SI","NO")</f>
        <v>NO</v>
      </c>
      <c r="U344" s="72"/>
      <c r="V344" s="7" t="str">
        <f ca="1">IF(color_Celda(E344)=12106214,"ROSA",IF(color_Celda(E344)=65535,"AMARILLO",IF(color_Celda(E344)=5296274,"VERDE",IF(color_Celda(E344)=16777215,"BLANCO","NO SE"))))</f>
        <v>ROSA</v>
      </c>
      <c r="W344" s="63" t="s">
        <v>1442</v>
      </c>
      <c r="X344" s="63"/>
      <c r="Y344" s="63"/>
      <c r="Z344" s="118" t="s">
        <v>743</v>
      </c>
      <c r="AA344" s="72"/>
      <c r="AB344" s="72"/>
      <c r="AC344" s="324"/>
    </row>
    <row r="345" spans="1:29" ht="60" customHeight="1">
      <c r="A345" s="63">
        <v>333</v>
      </c>
      <c r="B345" s="65">
        <v>45111</v>
      </c>
      <c r="C345" s="70" t="s">
        <v>1007</v>
      </c>
      <c r="D345" s="63" t="s">
        <v>1547</v>
      </c>
      <c r="E345" s="64" t="s">
        <v>1788</v>
      </c>
      <c r="F345" s="63">
        <v>4</v>
      </c>
      <c r="G345" s="63" t="s">
        <v>29</v>
      </c>
      <c r="H345" s="208">
        <v>45120</v>
      </c>
      <c r="I345" s="65" t="s">
        <v>1442</v>
      </c>
      <c r="J345" s="65" t="s">
        <v>1484</v>
      </c>
      <c r="K345" s="63" t="s">
        <v>1341</v>
      </c>
      <c r="L345" s="63" t="s">
        <v>811</v>
      </c>
      <c r="M345" s="63" t="s">
        <v>695</v>
      </c>
      <c r="N345" s="63" t="s">
        <v>621</v>
      </c>
      <c r="O345" s="63" t="str">
        <f ca="1">IF(H345&lt;&gt;"",IF(H345&lt;=TODAY(),"SI","NO"),"LIMBO")</f>
        <v>SI</v>
      </c>
      <c r="P345" s="63" t="str">
        <f>IF($P$1=H345,"DIASOL", "DIANOSOL")</f>
        <v>DIANOSOL</v>
      </c>
      <c r="Q345" s="63" t="s">
        <v>151</v>
      </c>
      <c r="R345" s="63" t="str">
        <f>VLOOKUP($Q345,Resultados!$A$1:$B$49,2,FALSE)</f>
        <v>Prisión Preventiva</v>
      </c>
      <c r="S345" s="63" t="s">
        <v>1272</v>
      </c>
      <c r="T345" s="72" t="str">
        <f>IF(G345=$J$1,"SI","NO")</f>
        <v>NO</v>
      </c>
      <c r="U345" s="72"/>
      <c r="V345" s="7" t="str">
        <f ca="1">IF(color_Celda(E345)=12106214,"ROSA",IF(color_Celda(E345)=65535,"AMARILLO",IF(color_Celda(E345)=5296274,"VERDE",IF(color_Celda(E345)=16777215,"BLANCO","NO SE"))))</f>
        <v>ROSA</v>
      </c>
      <c r="W345" s="63" t="s">
        <v>1797</v>
      </c>
      <c r="X345" s="63"/>
      <c r="Y345" s="63"/>
      <c r="Z345" s="118" t="s">
        <v>1039</v>
      </c>
      <c r="AA345" s="72"/>
      <c r="AB345" s="72"/>
      <c r="AC345" s="324"/>
    </row>
    <row r="346" spans="1:29" ht="60" customHeight="1">
      <c r="A346" s="63">
        <v>335</v>
      </c>
      <c r="B346" s="65">
        <v>45111</v>
      </c>
      <c r="C346" s="70" t="s">
        <v>1738</v>
      </c>
      <c r="D346" s="63" t="s">
        <v>1545</v>
      </c>
      <c r="E346" s="64" t="s">
        <v>1789</v>
      </c>
      <c r="F346" s="63">
        <v>3</v>
      </c>
      <c r="G346" s="63" t="s">
        <v>32</v>
      </c>
      <c r="H346" s="208">
        <v>45120</v>
      </c>
      <c r="I346" s="65" t="s">
        <v>1442</v>
      </c>
      <c r="J346" s="65" t="s">
        <v>31</v>
      </c>
      <c r="K346" s="63">
        <f>IFERROR(VLOOKUP(J346,Jueces!$A$1:$B$11,2,FALSE),"")</f>
        <v>2</v>
      </c>
      <c r="L346" s="63" t="s">
        <v>808</v>
      </c>
      <c r="M346" s="63" t="s">
        <v>694</v>
      </c>
      <c r="N346" s="63" t="s">
        <v>1795</v>
      </c>
      <c r="O346" s="63" t="str">
        <f ca="1">IF(H346&lt;&gt;"",IF(H346&lt;=TODAY(),"SI","NO"),"LIMBO")</f>
        <v>SI</v>
      </c>
      <c r="P346" s="63" t="str">
        <f>IF($P$1=H346,"DIASOL", "DIANOSOL")</f>
        <v>DIANOSOL</v>
      </c>
      <c r="Q346" s="63" t="s">
        <v>151</v>
      </c>
      <c r="R346" s="63" t="str">
        <f>VLOOKUP($Q346,Resultados!$A$1:$B$49,2,FALSE)</f>
        <v>Prisión Preventiva</v>
      </c>
      <c r="S346" s="63" t="s">
        <v>1730</v>
      </c>
      <c r="T346" s="72" t="str">
        <f>IF(G346=$J$1,"SI","NO")</f>
        <v>NO</v>
      </c>
      <c r="U346" s="72"/>
      <c r="V346" s="7" t="str">
        <f ca="1">IF(color_Celda(E346)=12106214,"ROSA",IF(color_Celda(E346)=65535,"AMARILLO",IF(color_Celda(E346)=5296274,"VERDE",IF(color_Celda(E346)=16777215,"BLANCO","NO SE"))))</f>
        <v>ROSA</v>
      </c>
      <c r="W346" s="63" t="s">
        <v>1796</v>
      </c>
      <c r="X346" s="63"/>
      <c r="Y346" s="63"/>
      <c r="Z346" s="118" t="s">
        <v>748</v>
      </c>
      <c r="AA346" s="72"/>
      <c r="AB346" s="72"/>
      <c r="AC346" s="324"/>
    </row>
    <row r="347" spans="1:29" ht="60" customHeight="1">
      <c r="A347" s="63">
        <v>345</v>
      </c>
      <c r="B347" s="65">
        <v>45112</v>
      </c>
      <c r="C347" s="63" t="s">
        <v>73</v>
      </c>
      <c r="D347" s="63" t="s">
        <v>1553</v>
      </c>
      <c r="E347" s="64" t="s">
        <v>1790</v>
      </c>
      <c r="F347" s="63">
        <v>4</v>
      </c>
      <c r="G347" s="63" t="s">
        <v>1434</v>
      </c>
      <c r="H347" s="208">
        <v>45120</v>
      </c>
      <c r="I347" s="65" t="s">
        <v>547</v>
      </c>
      <c r="J347" s="65" t="s">
        <v>1616</v>
      </c>
      <c r="K347" s="63" t="str">
        <f>IFERROR(VLOOKUP(J347,Jueces!$A$1:$B$13,2,FALSE),"")</f>
        <v>JUI 5</v>
      </c>
      <c r="L347" s="63" t="s">
        <v>805</v>
      </c>
      <c r="M347" s="63" t="s">
        <v>695</v>
      </c>
      <c r="N347" s="63" t="s">
        <v>1816</v>
      </c>
      <c r="O347" s="63" t="str">
        <f ca="1">IF(H347&lt;&gt;"",IF(H347&lt;=TODAY(),"SI","NO"),"LIMBO")</f>
        <v>SI</v>
      </c>
      <c r="P347" s="63" t="str">
        <f>IF($P$1=H347,"DIASOL", "DIANOSOL")</f>
        <v>DIANOSOL</v>
      </c>
      <c r="Q347" s="63" t="s">
        <v>902</v>
      </c>
      <c r="R347" s="63" t="str">
        <f>VLOOKUP($Q347,Resultados!$A$1:$B$49,2,FALSE)</f>
        <v>Juicio Abreviado</v>
      </c>
      <c r="S347" s="70">
        <v>0.50347222222222221</v>
      </c>
      <c r="T347" s="72" t="str">
        <f>IF(G347=$J$1,"SI","NO")</f>
        <v>NO</v>
      </c>
      <c r="U347" s="72"/>
      <c r="V347" s="7" t="str">
        <f ca="1">IF(color_Celda(E347)=12106214,"ROSA",IF(color_Celda(E347)=65535,"AMARILLO",IF(color_Celda(E347)=5296274,"VERDE",IF(color_Celda(E347)=16777215,"BLANCO","NO SE"))))</f>
        <v>ROSA</v>
      </c>
      <c r="W347" s="70">
        <v>0.50902777777777775</v>
      </c>
      <c r="X347" s="63" t="s">
        <v>1817</v>
      </c>
      <c r="Y347" s="63"/>
      <c r="Z347" s="118" t="s">
        <v>743</v>
      </c>
      <c r="AA347" s="72"/>
      <c r="AB347" s="72"/>
      <c r="AC347" s="324"/>
    </row>
    <row r="348" spans="1:29" ht="60" customHeight="1">
      <c r="A348" s="63">
        <v>346</v>
      </c>
      <c r="B348" s="65">
        <v>45112</v>
      </c>
      <c r="C348" s="63" t="s">
        <v>1556</v>
      </c>
      <c r="D348" s="63" t="s">
        <v>1555</v>
      </c>
      <c r="E348" s="64" t="s">
        <v>1791</v>
      </c>
      <c r="F348" s="63">
        <v>3</v>
      </c>
      <c r="G348" s="63" t="s">
        <v>283</v>
      </c>
      <c r="H348" s="208">
        <v>45120</v>
      </c>
      <c r="I348" s="65" t="s">
        <v>547</v>
      </c>
      <c r="J348" s="65" t="s">
        <v>31</v>
      </c>
      <c r="K348" s="63">
        <f>IFERROR(VLOOKUP(J348,Jueces!$A$1:$B$13,2,FALSE),"")</f>
        <v>2</v>
      </c>
      <c r="L348" s="63" t="s">
        <v>789</v>
      </c>
      <c r="M348" s="63" t="s">
        <v>1819</v>
      </c>
      <c r="N348" s="63" t="s">
        <v>1815</v>
      </c>
      <c r="O348" s="63" t="str">
        <f ca="1">IF(H348&lt;&gt;"",IF(H348&lt;=TODAY(),"SI","NO"),"LIMBO")</f>
        <v>SI</v>
      </c>
      <c r="P348" s="63" t="str">
        <f>IF($P$1=H348,"DIASOL", "DIANOSOL")</f>
        <v>DIANOSOL</v>
      </c>
      <c r="Q348" s="63" t="s">
        <v>151</v>
      </c>
      <c r="R348" s="63" t="str">
        <f>VLOOKUP($Q348,Resultados!$A$1:$B$49,2,FALSE)</f>
        <v>Prisión Preventiva</v>
      </c>
      <c r="S348" s="70">
        <v>0.47638888888888892</v>
      </c>
      <c r="T348" s="72" t="str">
        <f>IF(G348=$J$1,"SI","NO")</f>
        <v>NO</v>
      </c>
      <c r="U348" s="72"/>
      <c r="V348" s="7" t="str">
        <f ca="1">IF(color_Celda(E348)=12106214,"ROSA",IF(color_Celda(E348)=65535,"AMARILLO",IF(color_Celda(E348)=5296274,"VERDE",IF(color_Celda(E348)=16777215,"BLANCO","NO SE"))))</f>
        <v>ROSA</v>
      </c>
      <c r="W348" s="70">
        <v>0.49513888888888885</v>
      </c>
      <c r="X348" s="63" t="s">
        <v>1820</v>
      </c>
      <c r="Y348" s="63"/>
      <c r="Z348" s="118" t="s">
        <v>1039</v>
      </c>
      <c r="AA348" s="72"/>
      <c r="AB348" s="72"/>
      <c r="AC348" s="324"/>
    </row>
    <row r="349" spans="1:29" ht="60" customHeight="1">
      <c r="A349" s="63">
        <v>332</v>
      </c>
      <c r="B349" s="65">
        <v>45110</v>
      </c>
      <c r="C349" s="70" t="s">
        <v>1185</v>
      </c>
      <c r="D349" s="63" t="s">
        <v>1478</v>
      </c>
      <c r="E349" s="64" t="s">
        <v>1479</v>
      </c>
      <c r="F349" s="63">
        <v>3</v>
      </c>
      <c r="G349" s="63" t="s">
        <v>43</v>
      </c>
      <c r="H349" s="208">
        <v>45121</v>
      </c>
      <c r="I349" s="65" t="s">
        <v>76</v>
      </c>
      <c r="J349" s="65" t="s">
        <v>1616</v>
      </c>
      <c r="K349" s="63" t="s">
        <v>1483</v>
      </c>
      <c r="L349" s="63" t="s">
        <v>811</v>
      </c>
      <c r="M349" s="63" t="s">
        <v>693</v>
      </c>
      <c r="N349" s="63" t="s">
        <v>1827</v>
      </c>
      <c r="O349" s="63" t="str">
        <f ca="1">IF(H349&lt;&gt;"",IF(H349&lt;=TODAY(),"SI","NO"),"LIMBO")</f>
        <v>SI</v>
      </c>
      <c r="P349" s="63" t="str">
        <f>IF($P$1=H349,"DIASOL", "DIANOSOL")</f>
        <v>DIANOSOL</v>
      </c>
      <c r="Q349" s="63" t="s">
        <v>902</v>
      </c>
      <c r="R349" s="63" t="str">
        <f>VLOOKUP($Q349,Resultados!$A$1:$B$49,2,FALSE)</f>
        <v>Juicio Abreviado</v>
      </c>
      <c r="S349" s="70">
        <v>0.41041666666666665</v>
      </c>
      <c r="T349" s="72" t="str">
        <f>IF(G349=$J$1,"SI","NO")</f>
        <v>NO</v>
      </c>
      <c r="U349" s="72"/>
      <c r="V349" s="7" t="str">
        <f ca="1">IF(color_Celda(E349)=12106214,"ROSA",IF(color_Celda(E349)=65535,"AMARILLO",IF(color_Celda(E349)=5296274,"VERDE",IF(color_Celda(E349)=16777215,"BLANCO","NO SE"))))</f>
        <v>ROSA</v>
      </c>
      <c r="W349" s="70">
        <v>0.42569444444444443</v>
      </c>
      <c r="X349" s="365"/>
      <c r="Y349" s="63"/>
      <c r="Z349" s="118" t="s">
        <v>748</v>
      </c>
      <c r="AA349" s="72"/>
      <c r="AB349" s="72"/>
      <c r="AC349" s="324"/>
    </row>
    <row r="350" spans="1:29" ht="60" customHeight="1">
      <c r="A350" s="63">
        <v>348</v>
      </c>
      <c r="B350" s="65">
        <v>45112</v>
      </c>
      <c r="C350" s="63" t="s">
        <v>1233</v>
      </c>
      <c r="D350" s="63" t="s">
        <v>1561</v>
      </c>
      <c r="E350" s="64" t="s">
        <v>1574</v>
      </c>
      <c r="F350" s="63">
        <v>4</v>
      </c>
      <c r="G350" s="63" t="s">
        <v>32</v>
      </c>
      <c r="H350" s="208">
        <v>45121</v>
      </c>
      <c r="I350" s="65" t="s">
        <v>76</v>
      </c>
      <c r="J350" s="65" t="s">
        <v>31</v>
      </c>
      <c r="K350" s="63">
        <f>IFERROR(VLOOKUP(J350,Jueces!$A$1:$B$13,2,FALSE),"")</f>
        <v>2</v>
      </c>
      <c r="L350" s="63" t="s">
        <v>807</v>
      </c>
      <c r="M350" s="63" t="s">
        <v>695</v>
      </c>
      <c r="N350" s="63" t="s">
        <v>1818</v>
      </c>
      <c r="O350" s="63" t="str">
        <f ca="1">IF(H350&lt;&gt;"",IF(H350&lt;=TODAY(),"SI","NO"),"LIMBO")</f>
        <v>SI</v>
      </c>
      <c r="P350" s="63" t="str">
        <f>IF($P$1=H350,"DIASOL", "DIANOSOL")</f>
        <v>DIANOSOL</v>
      </c>
      <c r="Q350" s="63" t="s">
        <v>902</v>
      </c>
      <c r="R350" s="63" t="str">
        <f>VLOOKUP($Q350,Resultados!$A$1:$B$49,2,FALSE)</f>
        <v>Juicio Abreviado</v>
      </c>
      <c r="S350" s="70">
        <v>0.375</v>
      </c>
      <c r="T350" s="72" t="str">
        <f>IF(G350=$J$1,"SI","NO")</f>
        <v>NO</v>
      </c>
      <c r="U350" s="72"/>
      <c r="V350" s="7" t="str">
        <f ca="1">IF(color_Celda(E350)=12106214,"ROSA",IF(color_Celda(E350)=65535,"AMARILLO",IF(color_Celda(E350)=5296274,"VERDE",IF(color_Celda(E350)=16777215,"BLANCO","NO SE"))))</f>
        <v>ROSA</v>
      </c>
      <c r="W350" s="70">
        <v>0.40138888888888885</v>
      </c>
      <c r="X350" s="63"/>
      <c r="Y350" s="63"/>
      <c r="Z350" s="118" t="s">
        <v>1039</v>
      </c>
      <c r="AA350" s="72"/>
      <c r="AB350" s="72"/>
      <c r="AC350" s="324"/>
    </row>
    <row r="351" spans="1:29" ht="60" customHeight="1">
      <c r="A351" s="63">
        <v>358</v>
      </c>
      <c r="B351" s="65">
        <v>45113</v>
      </c>
      <c r="C351" s="63" t="s">
        <v>1633</v>
      </c>
      <c r="D351" s="63" t="s">
        <v>1632</v>
      </c>
      <c r="E351" s="64" t="s">
        <v>1637</v>
      </c>
      <c r="F351" s="63">
        <v>3</v>
      </c>
      <c r="G351" s="63" t="s">
        <v>283</v>
      </c>
      <c r="H351" s="208">
        <v>45121</v>
      </c>
      <c r="I351" s="65" t="s">
        <v>76</v>
      </c>
      <c r="J351" s="65" t="s">
        <v>1484</v>
      </c>
      <c r="K351" s="63" t="s">
        <v>1341</v>
      </c>
      <c r="L351" s="63" t="s">
        <v>792</v>
      </c>
      <c r="M351" s="63" t="s">
        <v>1638</v>
      </c>
      <c r="N351" s="63" t="s">
        <v>1823</v>
      </c>
      <c r="O351" s="63" t="str">
        <f ca="1">IF(H351&lt;&gt;"",IF(H351&lt;=TODAY(),"SI","NO"),"LIMBO")</f>
        <v>SI</v>
      </c>
      <c r="P351" s="63" t="str">
        <f>IF($P$1=H351,"DIASOL", "DIANOSOL")</f>
        <v>DIANOSOL</v>
      </c>
      <c r="Q351" s="63" t="s">
        <v>910</v>
      </c>
      <c r="R351" s="63" t="str">
        <f>VLOOKUP($Q351,Resultados!$A$1:$B$49,2,FALSE)</f>
        <v>Suspendida</v>
      </c>
      <c r="S351" s="63" t="s">
        <v>745</v>
      </c>
      <c r="T351" s="72" t="str">
        <f>IF(G351=$J$1,"SI","NO")</f>
        <v>NO</v>
      </c>
      <c r="U351" s="72"/>
      <c r="V351" s="7" t="str">
        <f ca="1">IF(color_Celda(E351)=12106214,"ROSA",IF(color_Celda(E351)=65535,"AMARILLO",IF(color_Celda(E351)=5296274,"VERDE",IF(color_Celda(E351)=16777215,"BLANCO","NO SE"))))</f>
        <v>ROSA</v>
      </c>
      <c r="W351" s="63" t="s">
        <v>745</v>
      </c>
      <c r="X351" s="63"/>
      <c r="Y351" s="63"/>
      <c r="Z351" s="118" t="s">
        <v>748</v>
      </c>
      <c r="AA351" s="72"/>
      <c r="AB351" s="72"/>
      <c r="AC351" s="324"/>
    </row>
    <row r="352" spans="1:29" ht="60" customHeight="1">
      <c r="A352" s="63">
        <v>343</v>
      </c>
      <c r="B352" s="65">
        <v>45119</v>
      </c>
      <c r="C352" s="70" t="s">
        <v>1121</v>
      </c>
      <c r="D352" s="63" t="s">
        <v>1552</v>
      </c>
      <c r="E352" s="64" t="s">
        <v>1518</v>
      </c>
      <c r="F352" s="63">
        <v>4</v>
      </c>
      <c r="G352" s="63" t="s">
        <v>1433</v>
      </c>
      <c r="H352" s="208">
        <v>45121</v>
      </c>
      <c r="I352" s="65" t="s">
        <v>76</v>
      </c>
      <c r="J352" s="65" t="s">
        <v>35</v>
      </c>
      <c r="K352" s="63">
        <f>IFERROR(VLOOKUP(J352,Jueces!$A$1:$B$13,2,FALSE),"")</f>
        <v>3</v>
      </c>
      <c r="L352" s="63" t="s">
        <v>508</v>
      </c>
      <c r="M352" s="63" t="s">
        <v>1814</v>
      </c>
      <c r="N352" s="63" t="s">
        <v>1821</v>
      </c>
      <c r="O352" s="63" t="str">
        <f ca="1">IF(H352&lt;&gt;"",IF(H352&lt;=TODAY(),"SI","NO"),"LIMBO")</f>
        <v>SI</v>
      </c>
      <c r="P352" s="63" t="str">
        <f>IF($P$1=H352,"DIASOL", "DIANOSOL")</f>
        <v>DIANOSOL</v>
      </c>
      <c r="Q352" s="63" t="s">
        <v>151</v>
      </c>
      <c r="R352" s="63" t="str">
        <f>VLOOKUP($Q352,Resultados!$A$1:$B$49,2,FALSE)</f>
        <v>Prisión Preventiva</v>
      </c>
      <c r="S352" s="70">
        <v>0.38819444444444445</v>
      </c>
      <c r="T352" s="72" t="str">
        <f>IF(G352=$J$1,"SI","NO")</f>
        <v>NO</v>
      </c>
      <c r="U352" s="72"/>
      <c r="V352" s="7" t="str">
        <f ca="1">IF(color_Celda(E352)=12106214,"ROSA",IF(color_Celda(E352)=65535,"AMARILLO",IF(color_Celda(E352)=5296274,"VERDE",IF(color_Celda(E352)=16777215,"BLANCO","NO SE"))))</f>
        <v>ROSA</v>
      </c>
      <c r="W352" s="70">
        <v>0.41597222222222219</v>
      </c>
      <c r="X352" s="176" t="s">
        <v>1822</v>
      </c>
      <c r="Y352" s="63"/>
      <c r="Z352" s="118" t="s">
        <v>743</v>
      </c>
      <c r="AA352" s="72"/>
      <c r="AB352" s="72"/>
      <c r="AC352" s="324"/>
    </row>
    <row r="353" spans="1:29" ht="60" customHeight="1">
      <c r="A353" s="63">
        <v>349</v>
      </c>
      <c r="B353" s="65">
        <v>45112</v>
      </c>
      <c r="C353" s="70">
        <v>0.36388888888888887</v>
      </c>
      <c r="D353" s="63" t="s">
        <v>1559</v>
      </c>
      <c r="E353" s="64" t="s">
        <v>1560</v>
      </c>
      <c r="F353" s="63">
        <v>4</v>
      </c>
      <c r="G353" s="63" t="s">
        <v>29</v>
      </c>
      <c r="H353" s="208">
        <v>45121</v>
      </c>
      <c r="I353" s="65" t="s">
        <v>1442</v>
      </c>
      <c r="J353" s="65" t="s">
        <v>1616</v>
      </c>
      <c r="K353" s="63" t="str">
        <f>IFERROR(VLOOKUP(J353,Jueces!$A$1:$B$13,2,FALSE),"")</f>
        <v>JUI 5</v>
      </c>
      <c r="L353" s="63" t="s">
        <v>806</v>
      </c>
      <c r="M353" s="63" t="s">
        <v>695</v>
      </c>
      <c r="N353" s="63" t="s">
        <v>1744</v>
      </c>
      <c r="O353" s="63" t="str">
        <f ca="1">IF(H353&lt;&gt;"",IF(H353&lt;=TODAY(),"SI","NO"),"LIMBO")</f>
        <v>SI</v>
      </c>
      <c r="P353" s="63" t="str">
        <f>IF($P$1=H353,"DIASOL", "DIANOSOL")</f>
        <v>DIANOSOL</v>
      </c>
      <c r="Q353" s="63" t="s">
        <v>151</v>
      </c>
      <c r="R353" s="63" t="str">
        <f>VLOOKUP($Q353,Resultados!$A$1:$B$49,2,FALSE)</f>
        <v>Prisión Preventiva</v>
      </c>
      <c r="S353" s="70">
        <v>0.44513888888888892</v>
      </c>
      <c r="T353" s="72" t="str">
        <f>IF(G353=$J$1,"SI","NO")</f>
        <v>NO</v>
      </c>
      <c r="U353" s="72"/>
      <c r="V353" s="7" t="str">
        <f ca="1">IF(color_Celda(E353)=12106214,"ROSA",IF(color_Celda(E353)=65535,"AMARILLO",IF(color_Celda(E353)=5296274,"VERDE",IF(color_Celda(E353)=16777215,"BLANCO","NO SE"))))</f>
        <v>ROSA</v>
      </c>
      <c r="W353" s="70">
        <v>0.45347222222222222</v>
      </c>
      <c r="X353" s="63"/>
      <c r="Y353" s="63"/>
      <c r="Z353" s="118" t="s">
        <v>1039</v>
      </c>
      <c r="AA353" s="72"/>
      <c r="AB353" s="72"/>
      <c r="AC353" s="324"/>
    </row>
    <row r="354" spans="1:29" ht="60" customHeight="1">
      <c r="A354" s="63">
        <v>350</v>
      </c>
      <c r="B354" s="65">
        <v>45112</v>
      </c>
      <c r="C354" s="70">
        <v>0.5625</v>
      </c>
      <c r="D354" s="63" t="s">
        <v>1590</v>
      </c>
      <c r="E354" s="64" t="s">
        <v>1591</v>
      </c>
      <c r="F354" s="63">
        <v>3</v>
      </c>
      <c r="G354" s="63" t="s">
        <v>1434</v>
      </c>
      <c r="H354" s="208">
        <v>45121</v>
      </c>
      <c r="I354" s="65" t="s">
        <v>1442</v>
      </c>
      <c r="J354" s="65" t="s">
        <v>1484</v>
      </c>
      <c r="K354" s="63" t="s">
        <v>1341</v>
      </c>
      <c r="L354" s="63" t="s">
        <v>1825</v>
      </c>
      <c r="M354" s="63" t="s">
        <v>694</v>
      </c>
      <c r="N354" s="63" t="s">
        <v>1824</v>
      </c>
      <c r="O354" s="63" t="str">
        <f ca="1">IF(H354&lt;&gt;"",IF(H354&lt;=TODAY(),"SI","NO"),"LIMBO")</f>
        <v>SI</v>
      </c>
      <c r="P354" s="63" t="str">
        <f>IF($P$1=H354,"DIASOL", "DIANOSOL")</f>
        <v>DIANOSOL</v>
      </c>
      <c r="Q354" s="63" t="s">
        <v>903</v>
      </c>
      <c r="R354" s="63" t="str">
        <f>VLOOKUP($Q354,Resultados!$A$1:$B$49,2,FALSE)</f>
        <v>Juicio Abreviado</v>
      </c>
      <c r="S354" s="70">
        <v>0.4368055555555555</v>
      </c>
      <c r="T354" s="72" t="str">
        <f>IF(G354=$J$1,"SI","NO")</f>
        <v>NO</v>
      </c>
      <c r="U354" s="72"/>
      <c r="V354" s="7" t="str">
        <f ca="1">IF(color_Celda(E354)=12106214,"ROSA",IF(color_Celda(E354)=65535,"AMARILLO",IF(color_Celda(E354)=5296274,"VERDE",IF(color_Celda(E354)=16777215,"BLANCO","NO SE"))))</f>
        <v>ROSA</v>
      </c>
      <c r="W354" s="70">
        <v>0.4513888888888889</v>
      </c>
      <c r="X354" s="63"/>
      <c r="Y354" s="63"/>
      <c r="Z354" s="118" t="s">
        <v>743</v>
      </c>
      <c r="AA354" s="72"/>
      <c r="AB354" s="72"/>
      <c r="AC354" s="324"/>
    </row>
    <row r="355" spans="1:29" ht="60" customHeight="1">
      <c r="A355" s="63">
        <v>355</v>
      </c>
      <c r="B355" s="65">
        <v>45113</v>
      </c>
      <c r="C355" s="63" t="s">
        <v>1626</v>
      </c>
      <c r="D355" s="63" t="s">
        <v>1589</v>
      </c>
      <c r="E355" s="64" t="s">
        <v>1613</v>
      </c>
      <c r="F355" s="63">
        <v>3</v>
      </c>
      <c r="G355" s="63" t="s">
        <v>568</v>
      </c>
      <c r="H355" s="208">
        <v>45121</v>
      </c>
      <c r="I355" s="65" t="s">
        <v>547</v>
      </c>
      <c r="J355" s="65" t="s">
        <v>1484</v>
      </c>
      <c r="K355" s="63" t="s">
        <v>1341</v>
      </c>
      <c r="L355" s="63" t="s">
        <v>807</v>
      </c>
      <c r="M355" s="63" t="s">
        <v>693</v>
      </c>
      <c r="N355" s="63" t="s">
        <v>1826</v>
      </c>
      <c r="O355" s="63" t="str">
        <f ca="1">IF(H355&lt;&gt;"",IF(H355&lt;=TODAY(),"SI","NO"),"LIMBO")</f>
        <v>SI</v>
      </c>
      <c r="P355" s="63" t="str">
        <f>IF($P$1=H355,"DIASOL", "DIANOSOL")</f>
        <v>DIANOSOL</v>
      </c>
      <c r="Q355" s="63" t="s">
        <v>897</v>
      </c>
      <c r="R355" s="63" t="str">
        <f>VLOOKUP($Q355,Resultados!$A$1:$B$49,2,FALSE)</f>
        <v>Libertad</v>
      </c>
      <c r="S355" s="70">
        <v>0.4770833333333333</v>
      </c>
      <c r="T355" s="72" t="str">
        <f>IF(G355=$J$1,"SI","NO")</f>
        <v>NO</v>
      </c>
      <c r="U355" s="72"/>
      <c r="V355" s="7" t="str">
        <f ca="1">IF(color_Celda(E355)=12106214,"ROSA",IF(color_Celda(E355)=65535,"AMARILLO",IF(color_Celda(E355)=5296274,"VERDE",IF(color_Celda(E355)=16777215,"BLANCO","NO SE"))))</f>
        <v>ROSA</v>
      </c>
      <c r="W355" s="70">
        <v>0.48402777777777778</v>
      </c>
      <c r="X355" s="63"/>
      <c r="Y355" s="63"/>
      <c r="Z355" s="118" t="s">
        <v>748</v>
      </c>
      <c r="AA355" s="72"/>
      <c r="AB355" s="72"/>
      <c r="AC355" s="324"/>
    </row>
    <row r="356" spans="1:29" ht="60" customHeight="1">
      <c r="A356" s="63">
        <v>351</v>
      </c>
      <c r="B356" s="65">
        <v>45113</v>
      </c>
      <c r="C356" s="70" t="s">
        <v>1206</v>
      </c>
      <c r="D356" s="63" t="s">
        <v>1586</v>
      </c>
      <c r="E356" s="64" t="s">
        <v>1837</v>
      </c>
      <c r="F356" s="63">
        <v>4</v>
      </c>
      <c r="G356" s="63" t="s">
        <v>283</v>
      </c>
      <c r="H356" s="208">
        <v>45124</v>
      </c>
      <c r="I356" s="65" t="s">
        <v>76</v>
      </c>
      <c r="J356" s="65" t="s">
        <v>1680</v>
      </c>
      <c r="K356" s="63" t="s">
        <v>1683</v>
      </c>
      <c r="L356" s="63" t="s">
        <v>805</v>
      </c>
      <c r="M356" s="63" t="s">
        <v>695</v>
      </c>
      <c r="N356" s="63" t="s">
        <v>235</v>
      </c>
      <c r="O356" s="63" t="str">
        <f ca="1">IF(H356&lt;&gt;"",IF(H356&lt;=TODAY(),"SI","NO"),"LIMBO")</f>
        <v>SI</v>
      </c>
      <c r="P356" s="63" t="str">
        <f>IF($P$1=H356,"DIASOL", "DIANOSOL")</f>
        <v>DIANOSOL</v>
      </c>
      <c r="Q356" s="63" t="s">
        <v>151</v>
      </c>
      <c r="R356" s="63" t="str">
        <f>VLOOKUP($Q356,Resultados!$A$1:$B$49,2,FALSE)</f>
        <v>Prisión Preventiva</v>
      </c>
      <c r="S356" s="70">
        <v>0.45833333333333331</v>
      </c>
      <c r="T356" s="72" t="str">
        <f>IF(G356=$J$1,"SI","NO")</f>
        <v>NO</v>
      </c>
      <c r="U356" s="72"/>
      <c r="V356" s="7" t="str">
        <f ca="1">IF(color_Celda(E356)=12106214,"ROSA",IF(color_Celda(E356)=65535,"AMARILLO",IF(color_Celda(E356)=5296274,"VERDE",IF(color_Celda(E356)=16777215,"BLANCO","NO SE"))))</f>
        <v>ROSA</v>
      </c>
      <c r="W356" s="70">
        <v>0.5</v>
      </c>
      <c r="X356" s="63" t="s">
        <v>1842</v>
      </c>
      <c r="Y356" s="63"/>
      <c r="Z356" s="118" t="s">
        <v>1039</v>
      </c>
      <c r="AA356" s="72"/>
      <c r="AB356" s="72"/>
      <c r="AC356" s="324"/>
    </row>
    <row r="357" spans="1:29" ht="60" customHeight="1">
      <c r="A357" s="63">
        <v>357</v>
      </c>
      <c r="B357" s="65">
        <v>45113</v>
      </c>
      <c r="C357" s="63" t="s">
        <v>228</v>
      </c>
      <c r="D357" s="63" t="s">
        <v>1634</v>
      </c>
      <c r="E357" s="64" t="s">
        <v>1636</v>
      </c>
      <c r="F357" s="63">
        <v>3</v>
      </c>
      <c r="G357" s="63" t="s">
        <v>1433</v>
      </c>
      <c r="H357" s="208">
        <v>45124</v>
      </c>
      <c r="I357" s="65" t="s">
        <v>76</v>
      </c>
      <c r="J357" s="65" t="s">
        <v>1723</v>
      </c>
      <c r="K357" s="63" t="s">
        <v>1341</v>
      </c>
      <c r="L357" s="63" t="s">
        <v>808</v>
      </c>
      <c r="M357" s="63" t="s">
        <v>694</v>
      </c>
      <c r="N357" s="63" t="s">
        <v>1834</v>
      </c>
      <c r="O357" s="63" t="str">
        <f ca="1">IF(H357&lt;&gt;"",IF(H357&lt;=TODAY(),"SI","NO"),"LIMBO")</f>
        <v>SI</v>
      </c>
      <c r="P357" s="63" t="str">
        <f>IF($P$1=H357,"DIASOL", "DIANOSOL")</f>
        <v>DIANOSOL</v>
      </c>
      <c r="Q357" s="63" t="s">
        <v>902</v>
      </c>
      <c r="R357" s="63" t="str">
        <f>VLOOKUP($Q357,Resultados!$A$1:$B$49,2,FALSE)</f>
        <v>Juicio Abreviado</v>
      </c>
      <c r="S357" s="70">
        <v>0.41041666666666665</v>
      </c>
      <c r="T357" s="72" t="str">
        <f>IF(G357=$J$1,"SI","NO")</f>
        <v>NO</v>
      </c>
      <c r="U357" s="72"/>
      <c r="V357" s="7" t="str">
        <f ca="1">IF(color_Celda(E357)=12106214,"ROSA",IF(color_Celda(E357)=65535,"AMARILLO",IF(color_Celda(E357)=5296274,"VERDE",IF(color_Celda(E357)=16777215,"BLANCO","NO SE"))))</f>
        <v>ROSA</v>
      </c>
      <c r="W357" s="70">
        <v>0.4201388888888889</v>
      </c>
      <c r="X357" s="63" t="s">
        <v>1831</v>
      </c>
      <c r="Y357" s="63"/>
      <c r="Z357" s="118" t="s">
        <v>770</v>
      </c>
      <c r="AA357" s="72"/>
      <c r="AB357" s="72"/>
      <c r="AC357" s="324"/>
    </row>
    <row r="358" spans="1:29" ht="60" customHeight="1">
      <c r="A358" s="63">
        <v>360</v>
      </c>
      <c r="B358" s="65">
        <v>45113</v>
      </c>
      <c r="C358" s="63" t="s">
        <v>1630</v>
      </c>
      <c r="D358" s="63" t="s">
        <v>1629</v>
      </c>
      <c r="E358" s="64" t="s">
        <v>1679</v>
      </c>
      <c r="F358" s="63">
        <v>3</v>
      </c>
      <c r="G358" s="63" t="s">
        <v>1435</v>
      </c>
      <c r="H358" s="208">
        <v>45124</v>
      </c>
      <c r="I358" s="65" t="s">
        <v>76</v>
      </c>
      <c r="J358" s="65" t="s">
        <v>31</v>
      </c>
      <c r="K358" s="63">
        <f>IFERROR(VLOOKUP(J358,Jueces!$A$1:$B$11,2,FALSE),"")</f>
        <v>2</v>
      </c>
      <c r="L358" s="63" t="s">
        <v>796</v>
      </c>
      <c r="M358" s="63" t="s">
        <v>782</v>
      </c>
      <c r="N358" s="63" t="s">
        <v>1835</v>
      </c>
      <c r="O358" s="63" t="str">
        <f ca="1">IF(H358&lt;&gt;"",IF(H358&lt;=TODAY(),"SI","NO"),"LIMBO")</f>
        <v>SI</v>
      </c>
      <c r="P358" s="63" t="str">
        <f>IF($P$1=H358,"DIASOL", "DIANOSOL")</f>
        <v>DIANOSOL</v>
      </c>
      <c r="Q358" s="63" t="s">
        <v>897</v>
      </c>
      <c r="R358" s="63" t="str">
        <f>VLOOKUP($Q358,Resultados!$A$1:$B$49,2,FALSE)</f>
        <v>Libertad</v>
      </c>
      <c r="S358" s="63" t="s">
        <v>76</v>
      </c>
      <c r="T358" s="72" t="str">
        <f>IF(G358=$J$1,"SI","NO")</f>
        <v>SI</v>
      </c>
      <c r="U358" s="72"/>
      <c r="V358" s="7" t="str">
        <f ca="1">IF(color_Celda(E358)=12106214,"ROSA",IF(color_Celda(E358)=65535,"AMARILLO",IF(color_Celda(E358)=5296274,"VERDE",IF(color_Celda(E358)=16777215,"BLANCO","NO SE"))))</f>
        <v>ROSA</v>
      </c>
      <c r="W358" s="70">
        <v>0.4236111111111111</v>
      </c>
      <c r="X358" s="536" t="s">
        <v>1836</v>
      </c>
      <c r="Y358" s="63"/>
      <c r="Z358" s="118" t="s">
        <v>1838</v>
      </c>
      <c r="AA358" s="72"/>
      <c r="AB358" s="72"/>
      <c r="AC358" s="324"/>
    </row>
    <row r="359" spans="1:29" ht="60" customHeight="1">
      <c r="A359" s="63">
        <v>352</v>
      </c>
      <c r="B359" s="65">
        <v>45113</v>
      </c>
      <c r="C359" s="70" t="s">
        <v>1127</v>
      </c>
      <c r="D359" s="63" t="s">
        <v>1712</v>
      </c>
      <c r="E359" s="64" t="s">
        <v>1585</v>
      </c>
      <c r="F359" s="63">
        <v>4</v>
      </c>
      <c r="G359" s="63" t="s">
        <v>1654</v>
      </c>
      <c r="H359" s="208">
        <v>45124</v>
      </c>
      <c r="I359" s="65" t="s">
        <v>1442</v>
      </c>
      <c r="J359" s="65" t="s">
        <v>1723</v>
      </c>
      <c r="K359" s="63" t="s">
        <v>1341</v>
      </c>
      <c r="L359" s="63" t="s">
        <v>811</v>
      </c>
      <c r="M359" s="63" t="s">
        <v>695</v>
      </c>
      <c r="N359" s="63" t="s">
        <v>1833</v>
      </c>
      <c r="O359" s="63" t="str">
        <f ca="1">IF(H359&lt;&gt;"",IF(H359&lt;=TODAY(),"SI","NO"),"LIMBO")</f>
        <v>SI</v>
      </c>
      <c r="P359" s="63" t="str">
        <f>IF($P$1=H359,"DIASOL", "DIANOSOL")</f>
        <v>DIANOSOL</v>
      </c>
      <c r="Q359" s="63" t="s">
        <v>902</v>
      </c>
      <c r="R359" s="63" t="str">
        <f>VLOOKUP($Q359,Resultados!$A$1:$B$49,2,FALSE)</f>
        <v>Juicio Abreviado</v>
      </c>
      <c r="S359" s="70">
        <v>0.43958333333333338</v>
      </c>
      <c r="T359" s="72" t="str">
        <f>IF(G359=$J$1,"SI","NO")</f>
        <v>NO</v>
      </c>
      <c r="U359" s="72"/>
      <c r="V359" s="7" t="str">
        <f ca="1">IF(color_Celda(E359)=12106214,"ROSA",IF(color_Celda(E359)=65535,"AMARILLO",IF(color_Celda(E359)=5296274,"VERDE",IF(color_Celda(E359)=16777215,"BLANCO","NO SE"))))</f>
        <v>ROSA</v>
      </c>
      <c r="W359" s="70">
        <v>0.45277777777777778</v>
      </c>
      <c r="X359" s="63" t="s">
        <v>1832</v>
      </c>
      <c r="Y359" s="63"/>
      <c r="Z359" s="118" t="s">
        <v>1039</v>
      </c>
      <c r="AA359" s="72"/>
      <c r="AB359" s="72"/>
      <c r="AC359" s="324"/>
    </row>
    <row r="360" spans="1:29" ht="60" customHeight="1">
      <c r="A360" s="63">
        <v>353</v>
      </c>
      <c r="B360" s="65">
        <v>45113</v>
      </c>
      <c r="C360" s="63" t="s">
        <v>1127</v>
      </c>
      <c r="D360" s="63" t="s">
        <v>1587</v>
      </c>
      <c r="E360" s="64" t="s">
        <v>1635</v>
      </c>
      <c r="F360" s="63">
        <v>4</v>
      </c>
      <c r="G360" s="63" t="s">
        <v>1652</v>
      </c>
      <c r="H360" s="208">
        <v>45124</v>
      </c>
      <c r="I360" s="65" t="s">
        <v>547</v>
      </c>
      <c r="J360" s="65" t="s">
        <v>1616</v>
      </c>
      <c r="K360" s="63" t="s">
        <v>1483</v>
      </c>
      <c r="L360" s="63" t="s">
        <v>808</v>
      </c>
      <c r="M360" s="63" t="s">
        <v>783</v>
      </c>
      <c r="N360" s="63" t="s">
        <v>1841</v>
      </c>
      <c r="O360" s="63" t="str">
        <f ca="1">IF(H360&lt;&gt;"",IF(H360&lt;=TODAY(),"SI","NO"),"LIMBO")</f>
        <v>SI</v>
      </c>
      <c r="P360" s="63" t="str">
        <f>IF($P$1=H360,"DIASOL", "DIANOSOL")</f>
        <v>DIANOSOL</v>
      </c>
      <c r="Q360" s="63" t="s">
        <v>897</v>
      </c>
      <c r="R360" s="63" t="str">
        <f>VLOOKUP($Q360,Resultados!$A$1:$B$49,2,FALSE)</f>
        <v>Libertad</v>
      </c>
      <c r="S360" s="70"/>
      <c r="T360" s="72" t="str">
        <f>IF(G360=$J$1,"SI","NO")</f>
        <v>NO</v>
      </c>
      <c r="U360" s="72"/>
      <c r="V360" s="7" t="str">
        <f ca="1">IF(color_Celda(E360)=12106214,"ROSA",IF(color_Celda(E360)=65535,"AMARILLO",IF(color_Celda(E360)=5296274,"VERDE",IF(color_Celda(E360)=16777215,"BLANCO","NO SE"))))</f>
        <v>ROSA</v>
      </c>
      <c r="W360" s="70"/>
      <c r="X360" s="63"/>
      <c r="Y360" s="63"/>
      <c r="Z360" s="118" t="s">
        <v>770</v>
      </c>
      <c r="AA360" s="72"/>
      <c r="AB360" s="72"/>
      <c r="AC360" s="324"/>
    </row>
    <row r="361" spans="1:29" ht="60" customHeight="1">
      <c r="A361" s="63">
        <v>367</v>
      </c>
      <c r="B361" s="65">
        <v>45114</v>
      </c>
      <c r="C361" s="63" t="s">
        <v>1687</v>
      </c>
      <c r="D361" s="63" t="s">
        <v>1686</v>
      </c>
      <c r="E361" s="64" t="s">
        <v>1695</v>
      </c>
      <c r="F361" s="63">
        <v>4</v>
      </c>
      <c r="G361" s="63" t="s">
        <v>1435</v>
      </c>
      <c r="H361" s="208">
        <v>45125</v>
      </c>
      <c r="I361" s="65" t="s">
        <v>76</v>
      </c>
      <c r="J361" s="65" t="s">
        <v>1723</v>
      </c>
      <c r="K361" s="63" t="s">
        <v>1321</v>
      </c>
      <c r="L361" s="63" t="s">
        <v>805</v>
      </c>
      <c r="M361" s="63" t="s">
        <v>695</v>
      </c>
      <c r="N361" s="63" t="s">
        <v>1851</v>
      </c>
      <c r="O361" s="63" t="str">
        <f ca="1">IF(H361&lt;&gt;"",IF(H361&lt;=TODAY(),"SI","NO"),"LIMBO")</f>
        <v>SI</v>
      </c>
      <c r="P361" s="63" t="str">
        <f>IF($P$1=H361,"DIASOL", "DIANOSOL")</f>
        <v>DIANOSOL</v>
      </c>
      <c r="Q361" s="63" t="s">
        <v>902</v>
      </c>
      <c r="R361" s="63" t="str">
        <f>VLOOKUP($Q361,Resultados!$A$1:$B$49,2,FALSE)</f>
        <v>Juicio Abreviado</v>
      </c>
      <c r="S361" s="70">
        <v>0.3888888888888889</v>
      </c>
      <c r="T361" s="72" t="str">
        <f>IF(G361=$J$1,"SI","NO")</f>
        <v>SI</v>
      </c>
      <c r="U361" s="72"/>
      <c r="V361" s="7" t="str">
        <f ca="1">IF(color_Celda(E361)=12106214,"ROSA",IF(color_Celda(E361)=65535,"AMARILLO",IF(color_Celda(E361)=5296274,"VERDE",IF(color_Celda(E361)=16777215,"BLANCO","NO SE"))))</f>
        <v>ROSA</v>
      </c>
      <c r="W361" s="70">
        <v>0.41666666666666669</v>
      </c>
      <c r="X361" s="63"/>
      <c r="Y361" s="63"/>
      <c r="Z361" s="118" t="s">
        <v>770</v>
      </c>
      <c r="AA361" s="118"/>
      <c r="AB361" s="72"/>
      <c r="AC361" s="324"/>
    </row>
    <row r="362" spans="1:29" ht="60" customHeight="1">
      <c r="A362" s="63">
        <v>368</v>
      </c>
      <c r="B362" s="65">
        <v>45114</v>
      </c>
      <c r="C362" s="70">
        <v>0.47291666666666665</v>
      </c>
      <c r="D362" s="63" t="s">
        <v>1688</v>
      </c>
      <c r="E362" s="64" t="s">
        <v>1703</v>
      </c>
      <c r="F362" s="63">
        <v>4</v>
      </c>
      <c r="G362" s="63" t="s">
        <v>1654</v>
      </c>
      <c r="H362" s="208">
        <v>45125</v>
      </c>
      <c r="I362" s="65" t="s">
        <v>76</v>
      </c>
      <c r="J362" s="65" t="s">
        <v>31</v>
      </c>
      <c r="K362" s="63">
        <f>IFERROR(VLOOKUP(J362,Jueces!$A$1:$B$11,2,FALSE),"")</f>
        <v>2</v>
      </c>
      <c r="L362" s="63" t="s">
        <v>810</v>
      </c>
      <c r="M362" s="63" t="s">
        <v>1852</v>
      </c>
      <c r="N362" s="63" t="s">
        <v>1847</v>
      </c>
      <c r="O362" s="63" t="str">
        <f ca="1">IF(H362&lt;&gt;"",IF(H362&lt;=TODAY(),"SI","NO"),"LIMBO")</f>
        <v>SI</v>
      </c>
      <c r="P362" s="63" t="str">
        <f>IF($P$1=H362,"DIASOL", "DIANOSOL")</f>
        <v>DIANOSOL</v>
      </c>
      <c r="Q362" s="63" t="s">
        <v>897</v>
      </c>
      <c r="R362" s="63" t="str">
        <f>VLOOKUP($Q362,Resultados!$A$1:$B$49,2,FALSE)</f>
        <v>Libertad</v>
      </c>
      <c r="S362" s="63" t="s">
        <v>1047</v>
      </c>
      <c r="T362" s="72" t="str">
        <f>IF(G362=$J$1,"SI","NO")</f>
        <v>NO</v>
      </c>
      <c r="U362" s="72"/>
      <c r="V362" s="7" t="str">
        <f ca="1">IF(color_Celda(E362)=12106214,"ROSA",IF(color_Celda(E362)=65535,"AMARILLO",IF(color_Celda(E362)=5296274,"VERDE",IF(color_Celda(E362)=16777215,"BLANCO","NO SE"))))</f>
        <v>ROSA</v>
      </c>
      <c r="W362" s="70">
        <v>0.40763888888888888</v>
      </c>
      <c r="X362" s="63" t="s">
        <v>1853</v>
      </c>
      <c r="Y362" s="63"/>
      <c r="Z362" s="118" t="s">
        <v>770</v>
      </c>
      <c r="AA362" s="118"/>
      <c r="AB362" s="72"/>
      <c r="AC362" s="324"/>
    </row>
    <row r="363" spans="1:29" ht="60" customHeight="1">
      <c r="A363" s="63">
        <v>370</v>
      </c>
      <c r="B363" s="65">
        <v>45114</v>
      </c>
      <c r="C363" s="70">
        <v>0.49305555555555558</v>
      </c>
      <c r="D363" s="63" t="s">
        <v>1691</v>
      </c>
      <c r="E363" s="64" t="s">
        <v>1868</v>
      </c>
      <c r="F363" s="63">
        <v>3</v>
      </c>
      <c r="G363" s="63" t="s">
        <v>1733</v>
      </c>
      <c r="H363" s="208">
        <v>45125</v>
      </c>
      <c r="I363" s="65" t="s">
        <v>76</v>
      </c>
      <c r="J363" s="65" t="s">
        <v>1616</v>
      </c>
      <c r="K363" s="63" t="s">
        <v>1483</v>
      </c>
      <c r="L363" s="63" t="s">
        <v>796</v>
      </c>
      <c r="M363" s="63" t="s">
        <v>693</v>
      </c>
      <c r="N363" s="63" t="s">
        <v>1845</v>
      </c>
      <c r="O363" s="63" t="str">
        <f ca="1">IF(H363&lt;&gt;"",IF(H363&lt;=TODAY(),"SI","NO"),"LIMBO")</f>
        <v>SI</v>
      </c>
      <c r="P363" s="63" t="str">
        <f>IF($P$1=H363,"DIASOL", "DIANOSOL")</f>
        <v>DIANOSOL</v>
      </c>
      <c r="Q363" s="63" t="s">
        <v>897</v>
      </c>
      <c r="R363" s="63" t="str">
        <f>VLOOKUP($Q363,Resultados!$A$1:$B$49,2,FALSE)</f>
        <v>Libertad</v>
      </c>
      <c r="S363" s="63" t="s">
        <v>1001</v>
      </c>
      <c r="T363" s="72" t="str">
        <f>IF(G363=$J$1,"SI","NO")</f>
        <v>NO</v>
      </c>
      <c r="U363" s="72"/>
      <c r="V363" s="7" t="str">
        <f ca="1">IF(color_Celda(E363)=12106214,"ROSA",IF(color_Celda(E363)=65535,"AMARILLO",IF(color_Celda(E363)=5296274,"VERDE",IF(color_Celda(E363)=16777215,"BLANCO","NO SE"))))</f>
        <v>ROSA</v>
      </c>
      <c r="W363" s="63" t="s">
        <v>1332</v>
      </c>
      <c r="X363" s="63" t="s">
        <v>1498</v>
      </c>
      <c r="Y363" s="63"/>
      <c r="Z363" s="118" t="s">
        <v>1039</v>
      </c>
      <c r="AA363" s="118"/>
      <c r="AB363" s="72"/>
      <c r="AC363" s="324"/>
    </row>
    <row r="364" spans="1:29" ht="60" customHeight="1">
      <c r="A364" s="63">
        <v>372</v>
      </c>
      <c r="B364" s="65">
        <v>45114</v>
      </c>
      <c r="C364" s="70">
        <v>0.49513888888888885</v>
      </c>
      <c r="D364" s="63" t="s">
        <v>1694</v>
      </c>
      <c r="E364" s="64" t="s">
        <v>1867</v>
      </c>
      <c r="F364" s="63">
        <v>3</v>
      </c>
      <c r="G364" s="63" t="s">
        <v>283</v>
      </c>
      <c r="H364" s="208">
        <v>45125</v>
      </c>
      <c r="I364" s="65" t="s">
        <v>1442</v>
      </c>
      <c r="J364" s="65" t="s">
        <v>1616</v>
      </c>
      <c r="K364" s="63" t="s">
        <v>1483</v>
      </c>
      <c r="L364" s="63" t="s">
        <v>801</v>
      </c>
      <c r="M364" s="63" t="s">
        <v>1702</v>
      </c>
      <c r="N364" s="63" t="s">
        <v>1846</v>
      </c>
      <c r="O364" s="63" t="str">
        <f ca="1">IF(H364&lt;&gt;"",IF(H364&lt;=TODAY(),"SI","NO"),"LIMBO")</f>
        <v>SI</v>
      </c>
      <c r="P364" s="63" t="str">
        <f>IF($P$1=H364,"DIASOL", "DIANOSOL")</f>
        <v>DIANOSOL</v>
      </c>
      <c r="Q364" s="63" t="s">
        <v>902</v>
      </c>
      <c r="R364" s="63" t="str">
        <f>VLOOKUP($Q364,Resultados!$A$1:$B$49,2,FALSE)</f>
        <v>Juicio Abreviado</v>
      </c>
      <c r="S364" s="70">
        <v>0.45069444444444445</v>
      </c>
      <c r="T364" s="72" t="str">
        <f>IF(G364=$J$1,"SI","NO")</f>
        <v>NO</v>
      </c>
      <c r="U364" s="72"/>
      <c r="V364" s="7" t="str">
        <f ca="1">IF(color_Celda(E364)=12106214,"ROSA",IF(color_Celda(E364)=65535,"AMARILLO",IF(color_Celda(E364)=5296274,"VERDE",IF(color_Celda(E364)=16777215,"BLANCO","NO SE"))))</f>
        <v>ROSA</v>
      </c>
      <c r="W364" s="70">
        <v>0.46527777777777773</v>
      </c>
      <c r="X364" s="63" t="s">
        <v>1848</v>
      </c>
      <c r="Y364" s="63"/>
      <c r="Z364" s="118" t="s">
        <v>1039</v>
      </c>
      <c r="AA364" s="118"/>
      <c r="AB364" s="72"/>
      <c r="AC364" s="324"/>
    </row>
    <row r="365" spans="1:29" ht="60" customHeight="1">
      <c r="A365" s="63">
        <v>377</v>
      </c>
      <c r="B365" s="65">
        <v>45117</v>
      </c>
      <c r="C365" s="70">
        <v>0.47847222222222219</v>
      </c>
      <c r="D365" s="63" t="s">
        <v>1716</v>
      </c>
      <c r="E365" s="64" t="s">
        <v>1715</v>
      </c>
      <c r="F365" s="63">
        <v>4</v>
      </c>
      <c r="G365" s="63" t="s">
        <v>1652</v>
      </c>
      <c r="H365" s="208">
        <v>45125</v>
      </c>
      <c r="I365" s="65" t="s">
        <v>1755</v>
      </c>
      <c r="J365" s="65" t="s">
        <v>1723</v>
      </c>
      <c r="K365" s="63" t="s">
        <v>1341</v>
      </c>
      <c r="L365" s="63" t="s">
        <v>805</v>
      </c>
      <c r="M365" s="63" t="s">
        <v>695</v>
      </c>
      <c r="N365" s="63" t="s">
        <v>1849</v>
      </c>
      <c r="O365" s="63" t="str">
        <f ca="1">IF(H365&lt;&gt;"",IF(H365&lt;=TODAY(),"SI","NO"),"LIMBO")</f>
        <v>SI</v>
      </c>
      <c r="P365" s="63" t="str">
        <f>IF($P$1=H365,"DIASOL", "DIANOSOL")</f>
        <v>DIANOSOL</v>
      </c>
      <c r="Q365" s="63" t="s">
        <v>902</v>
      </c>
      <c r="R365" s="63" t="str">
        <f>VLOOKUP($Q365,Resultados!$A$1:$B$49,2,FALSE)</f>
        <v>Juicio Abreviado</v>
      </c>
      <c r="S365" s="70">
        <v>0.49583333333333335</v>
      </c>
      <c r="T365" s="72" t="str">
        <f>IF(G365=$J$1,"SI","NO")</f>
        <v>NO</v>
      </c>
      <c r="U365" s="72"/>
      <c r="V365" s="7" t="str">
        <f ca="1">IF(color_Celda(E365)=12106214,"ROSA",IF(color_Celda(E365)=65535,"AMARILLO",IF(color_Celda(E365)=5296274,"VERDE",IF(color_Celda(E365)=16777215,"BLANCO","NO SE"))))</f>
        <v>ROSA</v>
      </c>
      <c r="W365" s="70">
        <v>0.50694444444444442</v>
      </c>
      <c r="X365" s="63" t="s">
        <v>1850</v>
      </c>
      <c r="Y365" s="63"/>
      <c r="Z365" s="118" t="s">
        <v>1039</v>
      </c>
      <c r="AA365" s="118"/>
      <c r="AB365" s="72"/>
      <c r="AC365" s="324"/>
    </row>
    <row r="366" spans="1:29" ht="60" customHeight="1">
      <c r="A366" s="63">
        <v>359</v>
      </c>
      <c r="B366" s="65">
        <v>45113</v>
      </c>
      <c r="C366" s="63" t="s">
        <v>1235</v>
      </c>
      <c r="D366" s="63" t="s">
        <v>1631</v>
      </c>
      <c r="E366" s="64" t="s">
        <v>1628</v>
      </c>
      <c r="F366" s="63">
        <v>6</v>
      </c>
      <c r="G366" s="63" t="s">
        <v>1433</v>
      </c>
      <c r="H366" s="208">
        <v>45126</v>
      </c>
      <c r="I366" s="65" t="s">
        <v>76</v>
      </c>
      <c r="J366" s="65" t="s">
        <v>1680</v>
      </c>
      <c r="K366" s="63" t="s">
        <v>1683</v>
      </c>
      <c r="L366" s="63" t="s">
        <v>791</v>
      </c>
      <c r="M366" s="63" t="s">
        <v>694</v>
      </c>
      <c r="N366" s="63" t="s">
        <v>1880</v>
      </c>
      <c r="O366" s="63" t="str">
        <f ca="1">IF(H366&lt;&gt;"",IF(H366&lt;=TODAY(),"SI","NO"),"LIMBO")</f>
        <v>SI</v>
      </c>
      <c r="P366" s="63" t="str">
        <f>IF($P$1=H366,"DIASOL", "DIANOSOL")</f>
        <v>DIANOSOL</v>
      </c>
      <c r="Q366" s="63" t="s">
        <v>151</v>
      </c>
      <c r="R366" s="63" t="str">
        <f>VLOOKUP($Q366,Resultados!$A$1:$B$49,2,FALSE)</f>
        <v>Prisión Preventiva</v>
      </c>
      <c r="S366" s="63"/>
      <c r="T366" s="72" t="str">
        <f>IF(G366=$J$1,"SI","NO")</f>
        <v>NO</v>
      </c>
      <c r="U366" s="72"/>
      <c r="V366" s="7" t="str">
        <f ca="1">IF(color_Celda(E366)=12106214,"ROSA",IF(color_Celda(E366)=65535,"AMARILLO",IF(color_Celda(E366)=5296274,"VERDE",IF(color_Celda(E366)=16777215,"BLANCO","NO SE"))))</f>
        <v>ROSA</v>
      </c>
      <c r="W366" s="63"/>
      <c r="X366" s="63"/>
      <c r="Y366" s="63"/>
      <c r="Z366" s="118" t="s">
        <v>1862</v>
      </c>
      <c r="AA366" s="118"/>
      <c r="AB366" s="72"/>
      <c r="AC366" s="324"/>
    </row>
    <row r="367" spans="1:29" ht="60" customHeight="1">
      <c r="A367" s="63">
        <v>373</v>
      </c>
      <c r="B367" s="65">
        <v>45114</v>
      </c>
      <c r="C367" s="70">
        <v>0.5</v>
      </c>
      <c r="D367" s="63" t="s">
        <v>1722</v>
      </c>
      <c r="E367" s="64" t="s">
        <v>1704</v>
      </c>
      <c r="F367" s="63">
        <v>2</v>
      </c>
      <c r="G367" s="63" t="s">
        <v>283</v>
      </c>
      <c r="H367" s="208">
        <v>45126</v>
      </c>
      <c r="I367" s="65" t="s">
        <v>76</v>
      </c>
      <c r="J367" s="65" t="s">
        <v>1616</v>
      </c>
      <c r="K367" s="63" t="s">
        <v>1483</v>
      </c>
      <c r="L367" s="63" t="s">
        <v>326</v>
      </c>
      <c r="M367" s="63" t="s">
        <v>695</v>
      </c>
      <c r="N367" s="63" t="s">
        <v>1869</v>
      </c>
      <c r="O367" s="63" t="str">
        <f ca="1">IF(H367&lt;&gt;"",IF(H367&lt;=TODAY(),"SI","NO"),"LIMBO")</f>
        <v>SI</v>
      </c>
      <c r="P367" s="63" t="str">
        <f>IF($P$1=H367,"DIASOL", "DIANOSOL")</f>
        <v>DIANOSOL</v>
      </c>
      <c r="Q367" s="63" t="s">
        <v>902</v>
      </c>
      <c r="R367" s="63" t="str">
        <f>VLOOKUP($Q367,Resultados!$A$1:$B$49,2,FALSE)</f>
        <v>Juicio Abreviado</v>
      </c>
      <c r="S367" s="63" t="s">
        <v>1774</v>
      </c>
      <c r="T367" s="72" t="str">
        <f>IF(G367=$J$1,"SI","NO")</f>
        <v>NO</v>
      </c>
      <c r="U367" s="72"/>
      <c r="V367" s="7" t="str">
        <f ca="1">IF(color_Celda(E367)=12106214,"ROSA",IF(color_Celda(E367)=65535,"AMARILLO",IF(color_Celda(E367)=5296274,"VERDE",IF(color_Celda(E367)=16777215,"BLANCO","NO SE"))))</f>
        <v>ROSA</v>
      </c>
      <c r="W367" s="70">
        <v>0.44930555555555557</v>
      </c>
      <c r="X367" s="63"/>
      <c r="Y367" s="63"/>
      <c r="Z367" s="118" t="s">
        <v>1039</v>
      </c>
      <c r="AA367" s="72"/>
      <c r="AB367" s="72"/>
      <c r="AC367" s="324"/>
    </row>
    <row r="368" spans="1:29" ht="60" customHeight="1">
      <c r="A368" s="63">
        <v>379</v>
      </c>
      <c r="B368" s="65">
        <v>45117</v>
      </c>
      <c r="C368" s="70">
        <v>0.53749999999999998</v>
      </c>
      <c r="D368" s="63" t="s">
        <v>1724</v>
      </c>
      <c r="E368" s="64" t="s">
        <v>1721</v>
      </c>
      <c r="F368" s="63">
        <v>3</v>
      </c>
      <c r="G368" s="63" t="s">
        <v>1652</v>
      </c>
      <c r="H368" s="208">
        <v>45126</v>
      </c>
      <c r="I368" s="65" t="s">
        <v>76</v>
      </c>
      <c r="J368" s="65" t="s">
        <v>1723</v>
      </c>
      <c r="K368" s="63" t="s">
        <v>1341</v>
      </c>
      <c r="L368" s="63" t="s">
        <v>797</v>
      </c>
      <c r="M368" s="63" t="s">
        <v>693</v>
      </c>
      <c r="N368" s="63" t="s">
        <v>1885</v>
      </c>
      <c r="O368" s="63" t="str">
        <f ca="1">IF(H368&lt;&gt;"",IF(H368&lt;=TODAY(),"SI","NO"),"LIMBO")</f>
        <v>SI</v>
      </c>
      <c r="P368" s="63" t="str">
        <f>IF($P$1=H368,"DIASOL", "DIANOSOL")</f>
        <v>DIANOSOL</v>
      </c>
      <c r="Q368" s="63" t="s">
        <v>903</v>
      </c>
      <c r="R368" s="63" t="str">
        <f>VLOOKUP($Q368,Resultados!$A$1:$B$49,2,FALSE)</f>
        <v>Juicio Abreviado</v>
      </c>
      <c r="S368" s="70">
        <v>0.4055555555555555</v>
      </c>
      <c r="T368" s="72" t="str">
        <f>IF(G368=$J$1,"SI","NO")</f>
        <v>NO</v>
      </c>
      <c r="U368" s="72"/>
      <c r="V368" s="7" t="str">
        <f ca="1">IF(color_Celda(E368)=12106214,"ROSA",IF(color_Celda(E368)=65535,"AMARILLO",IF(color_Celda(E368)=5296274,"VERDE",IF(color_Celda(E368)=16777215,"BLANCO","NO SE"))))</f>
        <v>ROSA</v>
      </c>
      <c r="W368" s="70">
        <v>0.4201388888888889</v>
      </c>
      <c r="X368" s="63" t="s">
        <v>1886</v>
      </c>
      <c r="Y368" s="63"/>
      <c r="Z368" s="118" t="s">
        <v>1861</v>
      </c>
      <c r="AA368" s="301"/>
      <c r="AB368" s="72"/>
      <c r="AC368" s="324"/>
    </row>
    <row r="369" spans="1:29" ht="60" customHeight="1">
      <c r="A369" s="63">
        <v>364</v>
      </c>
      <c r="B369" s="65">
        <v>45114</v>
      </c>
      <c r="C369" s="63" t="s">
        <v>1131</v>
      </c>
      <c r="D369" s="63" t="s">
        <v>1676</v>
      </c>
      <c r="E369" s="64" t="s">
        <v>1675</v>
      </c>
      <c r="F369" s="63">
        <v>4</v>
      </c>
      <c r="G369" s="63" t="s">
        <v>1733</v>
      </c>
      <c r="H369" s="208">
        <v>45126</v>
      </c>
      <c r="I369" s="65" t="s">
        <v>1442</v>
      </c>
      <c r="J369" s="65" t="s">
        <v>31</v>
      </c>
      <c r="K369" s="63">
        <f>IFERROR(VLOOKUP(J369,Jueces!$A$1:$B$11,2,FALSE),"")</f>
        <v>2</v>
      </c>
      <c r="L369" s="63" t="s">
        <v>803</v>
      </c>
      <c r="M369" s="63" t="s">
        <v>695</v>
      </c>
      <c r="N369" s="63" t="s">
        <v>1884</v>
      </c>
      <c r="O369" s="63" t="str">
        <f ca="1">IF(H369&lt;&gt;"",IF(H369&lt;=TODAY(),"SI","NO"),"LIMBO")</f>
        <v>SI</v>
      </c>
      <c r="P369" s="63" t="str">
        <f>IF($P$1=H369,"DIASOL", "DIANOSOL")</f>
        <v>DIANOSOL</v>
      </c>
      <c r="Q369" s="63" t="s">
        <v>151</v>
      </c>
      <c r="R369" s="63" t="str">
        <f>VLOOKUP($Q369,Resultados!$A$1:$B$49,2,FALSE)</f>
        <v>Prisión Preventiva</v>
      </c>
      <c r="S369" s="70">
        <v>0.45347222222222222</v>
      </c>
      <c r="T369" s="72" t="str">
        <f>IF(G369=$J$1,"SI","NO")</f>
        <v>NO</v>
      </c>
      <c r="U369" s="72"/>
      <c r="V369" s="7" t="str">
        <f ca="1">IF(color_Celda(E369)=12106214,"ROSA",IF(color_Celda(E369)=65535,"AMARILLO",IF(color_Celda(E369)=5296274,"VERDE",IF(color_Celda(E369)=16777215,"BLANCO","NO SE"))))</f>
        <v>ROSA</v>
      </c>
      <c r="W369" s="70">
        <v>0.47222222222222227</v>
      </c>
      <c r="X369" s="63" t="s">
        <v>1883</v>
      </c>
      <c r="Y369" s="63"/>
      <c r="Z369" s="118" t="s">
        <v>1838</v>
      </c>
      <c r="AA369" s="72"/>
      <c r="AB369" s="72"/>
      <c r="AC369" s="324"/>
    </row>
    <row r="370" spans="1:29" ht="60" customHeight="1">
      <c r="A370" s="63">
        <v>362</v>
      </c>
      <c r="B370" s="65">
        <v>45114</v>
      </c>
      <c r="C370" s="63" t="s">
        <v>1671</v>
      </c>
      <c r="D370" s="63" t="s">
        <v>1672</v>
      </c>
      <c r="E370" s="64" t="s">
        <v>1670</v>
      </c>
      <c r="F370" s="63">
        <v>3</v>
      </c>
      <c r="G370" s="63" t="s">
        <v>1654</v>
      </c>
      <c r="H370" s="208">
        <v>45126</v>
      </c>
      <c r="I370" s="65" t="s">
        <v>547</v>
      </c>
      <c r="J370" s="65" t="s">
        <v>1723</v>
      </c>
      <c r="K370" s="63" t="s">
        <v>1341</v>
      </c>
      <c r="L370" s="63" t="s">
        <v>1067</v>
      </c>
      <c r="M370" s="63" t="s">
        <v>694</v>
      </c>
      <c r="N370" s="63" t="s">
        <v>1882</v>
      </c>
      <c r="O370" s="63" t="str">
        <f ca="1">IF(H370&lt;&gt;"",IF(H370&lt;=TODAY(),"SI","NO"),"LIMBO")</f>
        <v>SI</v>
      </c>
      <c r="P370" s="63" t="str">
        <f>IF($P$1=H370,"DIASOL", "DIANOSOL")</f>
        <v>DIANOSOL</v>
      </c>
      <c r="Q370" s="63" t="s">
        <v>151</v>
      </c>
      <c r="R370" s="63" t="str">
        <f>VLOOKUP($Q370,Resultados!$A$1:$B$49,2,FALSE)</f>
        <v>Prisión Preventiva</v>
      </c>
      <c r="S370" s="70">
        <v>0.44930555555555557</v>
      </c>
      <c r="T370" s="72" t="str">
        <f>IF(G370=$J$1,"SI","NO")</f>
        <v>NO</v>
      </c>
      <c r="U370" s="72"/>
      <c r="V370" s="7" t="str">
        <f ca="1">IF(color_Celda(E370)=12106214,"ROSA",IF(color_Celda(E370)=65535,"AMARILLO",IF(color_Celda(E370)=5296274,"VERDE",IF(color_Celda(E370)=16777215,"BLANCO","NO SE"))))</f>
        <v>ROSA</v>
      </c>
      <c r="W370" s="70">
        <v>0.4770833333333333</v>
      </c>
      <c r="X370" s="63"/>
      <c r="Y370" s="63"/>
      <c r="Z370" s="118" t="s">
        <v>1861</v>
      </c>
      <c r="AA370" s="72"/>
      <c r="AB370" s="72"/>
      <c r="AC370" s="324"/>
    </row>
    <row r="371" spans="1:29" ht="60" customHeight="1">
      <c r="A371" s="63">
        <v>376</v>
      </c>
      <c r="B371" s="65">
        <v>45117</v>
      </c>
      <c r="C371" s="63" t="s">
        <v>1601</v>
      </c>
      <c r="D371" s="63" t="s">
        <v>1713</v>
      </c>
      <c r="E371" s="64" t="s">
        <v>1714</v>
      </c>
      <c r="F371" s="63">
        <v>3</v>
      </c>
      <c r="G371" s="63" t="s">
        <v>1435</v>
      </c>
      <c r="H371" s="208">
        <v>45126</v>
      </c>
      <c r="I371" s="65" t="s">
        <v>547</v>
      </c>
      <c r="J371" s="65" t="s">
        <v>1616</v>
      </c>
      <c r="K371" s="63" t="s">
        <v>1483</v>
      </c>
      <c r="L371" s="63" t="s">
        <v>800</v>
      </c>
      <c r="M371" s="63" t="s">
        <v>693</v>
      </c>
      <c r="N371" s="63" t="s">
        <v>1881</v>
      </c>
      <c r="O371" s="63" t="str">
        <f ca="1">IF(H371&lt;&gt;"",IF(H371&lt;=TODAY(),"SI","NO"),"LIMBO")</f>
        <v>SI</v>
      </c>
      <c r="P371" s="63" t="str">
        <f>IF($P$1=H371,"DIASOL", "DIANOSOL")</f>
        <v>DIANOSOL</v>
      </c>
      <c r="Q371" s="63" t="s">
        <v>897</v>
      </c>
      <c r="R371" s="63" t="str">
        <f>VLOOKUP($Q371,Resultados!$A$1:$B$49,2,FALSE)</f>
        <v>Libertad</v>
      </c>
      <c r="S371" s="70">
        <v>0.51111111111111118</v>
      </c>
      <c r="T371" s="72" t="str">
        <f>IF(G371=$J$1,"SI","NO")</f>
        <v>SI</v>
      </c>
      <c r="U371" s="72"/>
      <c r="V371" s="7" t="str">
        <f ca="1">IF(color_Celda(E371)=12106214,"ROSA",IF(color_Celda(E371)=65535,"AMARILLO",IF(color_Celda(E371)=5296274,"VERDE",IF(color_Celda(E371)=16777215,"BLANCO","NO SE"))))</f>
        <v>ROSA</v>
      </c>
      <c r="W371" s="70">
        <v>0.53194444444444444</v>
      </c>
      <c r="X371" s="63"/>
      <c r="Y371" s="63"/>
      <c r="Z371" s="118" t="s">
        <v>1039</v>
      </c>
      <c r="AA371" s="72"/>
      <c r="AB371" s="72"/>
      <c r="AC371" s="324"/>
    </row>
    <row r="372" spans="1:29" ht="60" customHeight="1">
      <c r="A372" s="63">
        <v>366</v>
      </c>
      <c r="B372" s="65">
        <v>45114</v>
      </c>
      <c r="C372" s="63" t="s">
        <v>1491</v>
      </c>
      <c r="D372" s="63" t="s">
        <v>604</v>
      </c>
      <c r="E372" s="64" t="s">
        <v>1942</v>
      </c>
      <c r="F372" s="63">
        <v>4</v>
      </c>
      <c r="G372" s="63" t="s">
        <v>1652</v>
      </c>
      <c r="H372" s="208">
        <v>45127</v>
      </c>
      <c r="I372" s="65" t="s">
        <v>76</v>
      </c>
      <c r="J372" s="65" t="s">
        <v>1680</v>
      </c>
      <c r="K372" s="63" t="s">
        <v>1683</v>
      </c>
      <c r="L372" s="63" t="s">
        <v>811</v>
      </c>
      <c r="M372" s="63" t="s">
        <v>783</v>
      </c>
      <c r="N372" s="63" t="s">
        <v>1894</v>
      </c>
      <c r="O372" s="63" t="str">
        <f ca="1">IF(H372&lt;&gt;"",IF(H372&lt;=TODAY(),"SI","NO"),"LIMBO")</f>
        <v>SI</v>
      </c>
      <c r="P372" s="63" t="str">
        <f>IF($P$1=H372,"DIASOL", "DIANOSOL")</f>
        <v>DIANOSOL</v>
      </c>
      <c r="Q372" s="63" t="s">
        <v>903</v>
      </c>
      <c r="R372" s="63" t="str">
        <f>VLOOKUP($Q372,Resultados!$A$1:$B$49,2,FALSE)</f>
        <v>Juicio Abreviado</v>
      </c>
      <c r="S372" s="70">
        <v>0.43888888888888888</v>
      </c>
      <c r="T372" s="72" t="str">
        <f>IF(G372=$J$1,"SI","NO")</f>
        <v>NO</v>
      </c>
      <c r="U372" s="72"/>
      <c r="V372" s="7" t="str">
        <f ca="1">IF(color_Celda(E372)=12106214,"ROSA",IF(color_Celda(E372)=65535,"AMARILLO",IF(color_Celda(E372)=5296274,"VERDE",IF(color_Celda(E372)=16777215,"BLANCO","NO SE"))))</f>
        <v>ROSA</v>
      </c>
      <c r="W372" s="70">
        <v>0.45277777777777778</v>
      </c>
      <c r="X372" s="63" t="s">
        <v>1895</v>
      </c>
      <c r="Y372" s="63"/>
      <c r="Z372" s="118" t="s">
        <v>1039</v>
      </c>
      <c r="AA372" s="72"/>
      <c r="AB372" s="72"/>
      <c r="AC372" s="324"/>
    </row>
    <row r="373" spans="1:29" ht="60" customHeight="1">
      <c r="A373" s="63">
        <v>363</v>
      </c>
      <c r="B373" s="65">
        <v>45114</v>
      </c>
      <c r="C373" s="63" t="s">
        <v>1674</v>
      </c>
      <c r="D373" s="63" t="s">
        <v>1673</v>
      </c>
      <c r="E373" s="64" t="s">
        <v>1941</v>
      </c>
      <c r="F373" s="63">
        <v>3</v>
      </c>
      <c r="G373" s="63" t="s">
        <v>1435</v>
      </c>
      <c r="H373" s="208">
        <v>45127</v>
      </c>
      <c r="I373" s="65" t="s">
        <v>547</v>
      </c>
      <c r="J373" s="65" t="s">
        <v>31</v>
      </c>
      <c r="K373" s="63">
        <f>IFERROR(VLOOKUP(J373,Jueces!$A$1:$B$11,2,FALSE),"")</f>
        <v>2</v>
      </c>
      <c r="L373" s="63" t="s">
        <v>789</v>
      </c>
      <c r="M373" s="63" t="s">
        <v>694</v>
      </c>
      <c r="N373" s="63" t="s">
        <v>1889</v>
      </c>
      <c r="O373" s="63" t="str">
        <f ca="1">IF(H373&lt;&gt;"",IF(H373&lt;=TODAY(),"SI","NO"),"LIMBO")</f>
        <v>SI</v>
      </c>
      <c r="P373" s="63" t="str">
        <f>IF($P$1=H373,"DIASOL", "DIANOSOL")</f>
        <v>DIANOSOL</v>
      </c>
      <c r="Q373" s="63" t="s">
        <v>902</v>
      </c>
      <c r="R373" s="63" t="str">
        <f>VLOOKUP($Q373,Resultados!$A$1:$B$49,2,FALSE)</f>
        <v>Juicio Abreviado</v>
      </c>
      <c r="S373" s="70">
        <v>0.49791666666666662</v>
      </c>
      <c r="T373" s="72" t="str">
        <f>IF(G373=$J$1,"SI","NO")</f>
        <v>SI</v>
      </c>
      <c r="U373" s="72"/>
      <c r="V373" s="7" t="str">
        <f ca="1">IF(color_Celda(E373)=12106214,"ROSA",IF(color_Celda(E373)=65535,"AMARILLO",IF(color_Celda(E373)=5296274,"VERDE",IF(color_Celda(E373)=16777215,"BLANCO","NO SE"))))</f>
        <v>ROSA</v>
      </c>
      <c r="W373" s="70">
        <v>0.51041666666666663</v>
      </c>
      <c r="X373" s="63" t="s">
        <v>1890</v>
      </c>
      <c r="Y373" s="63"/>
      <c r="Z373" s="118" t="s">
        <v>770</v>
      </c>
      <c r="AA373" s="72"/>
      <c r="AB373" s="72"/>
      <c r="AC373" s="324"/>
    </row>
    <row r="374" spans="1:29" ht="60" customHeight="1">
      <c r="A374" s="63">
        <v>365</v>
      </c>
      <c r="B374" s="65">
        <v>45114</v>
      </c>
      <c r="C374" s="63" t="s">
        <v>1120</v>
      </c>
      <c r="D374" s="63" t="s">
        <v>1678</v>
      </c>
      <c r="E374" s="64" t="s">
        <v>1677</v>
      </c>
      <c r="F374" s="63">
        <v>4</v>
      </c>
      <c r="G374" s="63" t="s">
        <v>1654</v>
      </c>
      <c r="H374" s="208">
        <v>45127</v>
      </c>
      <c r="I374" s="65" t="s">
        <v>547</v>
      </c>
      <c r="J374" s="65" t="s">
        <v>1723</v>
      </c>
      <c r="K374" s="63" t="s">
        <v>1341</v>
      </c>
      <c r="L374" s="63" t="s">
        <v>811</v>
      </c>
      <c r="M374" s="63" t="s">
        <v>695</v>
      </c>
      <c r="N374" s="63" t="s">
        <v>1891</v>
      </c>
      <c r="O374" s="63" t="str">
        <f ca="1">IF(H374&lt;&gt;"",IF(H374&lt;=TODAY(),"SI","NO"),"LIMBO")</f>
        <v>SI</v>
      </c>
      <c r="P374" s="63" t="str">
        <f>IF($P$1=H374,"DIASOL", "DIANOSOL")</f>
        <v>DIANOSOL</v>
      </c>
      <c r="Q374" s="63" t="s">
        <v>1892</v>
      </c>
      <c r="R374" s="63" t="str">
        <f>VLOOKUP($Q374,Resultados!$A$1:$B$49,2,FALSE)</f>
        <v>Sobreseimiento</v>
      </c>
      <c r="S374" s="70">
        <v>0.4375</v>
      </c>
      <c r="T374" s="72" t="str">
        <f>IF(G374=$J$1,"SI","NO")</f>
        <v>NO</v>
      </c>
      <c r="U374" s="72"/>
      <c r="V374" s="7" t="str">
        <f ca="1">IF(color_Celda(E374)=12106214,"ROSA",IF(color_Celda(E374)=65535,"AMARILLO",IF(color_Celda(E374)=5296274,"VERDE",IF(color_Celda(E374)=16777215,"BLANCO","NO SE"))))</f>
        <v>ROSA</v>
      </c>
      <c r="W374" s="70">
        <v>0.5</v>
      </c>
      <c r="X374" s="169" t="s">
        <v>1893</v>
      </c>
      <c r="Y374" s="63"/>
      <c r="Z374" s="118" t="s">
        <v>1039</v>
      </c>
      <c r="AA374" s="72"/>
      <c r="AB374" s="72"/>
      <c r="AC374" s="324"/>
    </row>
    <row r="375" spans="1:29" ht="60" customHeight="1">
      <c r="A375" s="63">
        <v>378</v>
      </c>
      <c r="B375" s="65">
        <v>45117</v>
      </c>
      <c r="C375" s="63" t="s">
        <v>1729</v>
      </c>
      <c r="D375" s="63" t="s">
        <v>1717</v>
      </c>
      <c r="E375" s="64" t="s">
        <v>1901</v>
      </c>
      <c r="F375" s="63">
        <v>4</v>
      </c>
      <c r="G375" s="63" t="s">
        <v>1433</v>
      </c>
      <c r="H375" s="208">
        <v>45127</v>
      </c>
      <c r="I375" s="65" t="s">
        <v>1554</v>
      </c>
      <c r="J375" s="65" t="s">
        <v>1616</v>
      </c>
      <c r="K375" s="63" t="s">
        <v>1483</v>
      </c>
      <c r="L375" s="63" t="s">
        <v>806</v>
      </c>
      <c r="M375" s="63" t="s">
        <v>695</v>
      </c>
      <c r="N375" s="63" t="s">
        <v>1887</v>
      </c>
      <c r="O375" s="63" t="str">
        <f ca="1">IF(H375&lt;&gt;"",IF(H375&lt;=TODAY(),"SI","NO"),"LIMBO")</f>
        <v>SI</v>
      </c>
      <c r="P375" s="63" t="str">
        <f>IF($P$1=H375,"DIASOL", "DIANOSOL")</f>
        <v>DIANOSOL</v>
      </c>
      <c r="Q375" s="63" t="s">
        <v>902</v>
      </c>
      <c r="R375" s="63" t="str">
        <f>VLOOKUP($Q375,Resultados!$A$1:$B$49,2,FALSE)</f>
        <v>Juicio Abreviado</v>
      </c>
      <c r="S375" s="70">
        <v>0.52777777777777779</v>
      </c>
      <c r="T375" s="72" t="str">
        <f>IF(G375=$J$1,"SI","NO")</f>
        <v>NO</v>
      </c>
      <c r="U375" s="72"/>
      <c r="V375" s="7" t="str">
        <f ca="1">IF(color_Celda(E375)=12106214,"ROSA",IF(color_Celda(E375)=65535,"AMARILLO",IF(color_Celda(E375)=5296274,"VERDE",IF(color_Celda(E375)=16777215,"BLANCO","NO SE"))))</f>
        <v>ROSA</v>
      </c>
      <c r="W375" s="70">
        <v>0.53333333333333333</v>
      </c>
      <c r="X375" s="365" t="s">
        <v>1888</v>
      </c>
      <c r="Y375" s="63"/>
      <c r="Z375" s="118" t="s">
        <v>770</v>
      </c>
      <c r="AA375" s="72"/>
      <c r="AB375" s="72"/>
      <c r="AC375" s="324"/>
    </row>
    <row r="376" spans="1:29" ht="60" customHeight="1">
      <c r="A376" s="63">
        <v>380</v>
      </c>
      <c r="B376" s="65">
        <v>45117</v>
      </c>
      <c r="C376" s="63" t="s">
        <v>1728</v>
      </c>
      <c r="D376" s="63" t="s">
        <v>1727</v>
      </c>
      <c r="E376" s="64" t="s">
        <v>1940</v>
      </c>
      <c r="F376" s="63">
        <v>4</v>
      </c>
      <c r="G376" s="63" t="s">
        <v>1435</v>
      </c>
      <c r="H376" s="208">
        <v>45128</v>
      </c>
      <c r="I376" s="65" t="s">
        <v>76</v>
      </c>
      <c r="J376" s="65" t="s">
        <v>1723</v>
      </c>
      <c r="K376" s="63" t="s">
        <v>1341</v>
      </c>
      <c r="L376" s="63" t="s">
        <v>796</v>
      </c>
      <c r="M376" s="63" t="s">
        <v>1175</v>
      </c>
      <c r="N376" s="63" t="s">
        <v>621</v>
      </c>
      <c r="O376" s="63" t="str">
        <f ca="1">IF(H376&lt;&gt;"",IF(H376&lt;=TODAY(),"SI","NO"),"LIMBO")</f>
        <v>SI</v>
      </c>
      <c r="P376" s="63" t="str">
        <f>IF($P$1=H376,"DIASOL", "DIANOSOL")</f>
        <v>DIANOSOL</v>
      </c>
      <c r="Q376" s="63" t="s">
        <v>151</v>
      </c>
      <c r="R376" s="63" t="str">
        <f>VLOOKUP($Q376,Resultados!$A$1:$B$49,2,FALSE)</f>
        <v>Prisión Preventiva</v>
      </c>
      <c r="S376" s="63" t="s">
        <v>1033</v>
      </c>
      <c r="T376" s="72" t="str">
        <f>IF(G376=$J$1,"SI","NO")</f>
        <v>SI</v>
      </c>
      <c r="U376" s="72"/>
      <c r="V376" s="7" t="str">
        <f ca="1">IF(color_Celda(E376)=12106214,"ROSA",IF(color_Celda(E376)=65535,"AMARILLO",IF(color_Celda(E376)=5296274,"VERDE",IF(color_Celda(E376)=16777215,"BLANCO","NO SE"))))</f>
        <v>ROSA</v>
      </c>
      <c r="W376" s="63" t="s">
        <v>1332</v>
      </c>
      <c r="X376" s="63" t="s">
        <v>1903</v>
      </c>
      <c r="Y376" s="63"/>
      <c r="Z376" s="118" t="s">
        <v>770</v>
      </c>
      <c r="AA376" s="72"/>
      <c r="AB376" s="72"/>
      <c r="AC376" s="324"/>
    </row>
    <row r="377" spans="1:29" ht="60" customHeight="1">
      <c r="A377" s="63">
        <v>374</v>
      </c>
      <c r="B377" s="65">
        <v>45114</v>
      </c>
      <c r="C377" s="70">
        <v>0.5</v>
      </c>
      <c r="D377" s="63" t="s">
        <v>1726</v>
      </c>
      <c r="E377" s="64" t="s">
        <v>1939</v>
      </c>
      <c r="F377" s="63">
        <v>3</v>
      </c>
      <c r="G377" s="63" t="s">
        <v>283</v>
      </c>
      <c r="H377" s="208">
        <v>45128</v>
      </c>
      <c r="I377" s="65" t="s">
        <v>1442</v>
      </c>
      <c r="J377" s="65" t="s">
        <v>1680</v>
      </c>
      <c r="K377" s="63" t="s">
        <v>1683</v>
      </c>
      <c r="L377" s="63" t="s">
        <v>799</v>
      </c>
      <c r="M377" s="63" t="s">
        <v>694</v>
      </c>
      <c r="N377" s="63" t="s">
        <v>621</v>
      </c>
      <c r="O377" s="63" t="str">
        <f ca="1">IF(H377&lt;&gt;"",IF(H377&lt;=TODAY(),"SI","NO"),"LIMBO")</f>
        <v>SI</v>
      </c>
      <c r="P377" s="63" t="str">
        <f>IF($P$1=H377,"DIASOL", "DIANOSOL")</f>
        <v>DIANOSOL</v>
      </c>
      <c r="Q377" s="63" t="s">
        <v>151</v>
      </c>
      <c r="R377" s="63" t="str">
        <f>VLOOKUP($Q377,Resultados!$A$1:$B$49,2,FALSE)</f>
        <v>Prisión Preventiva</v>
      </c>
      <c r="S377" s="63" t="s">
        <v>1904</v>
      </c>
      <c r="T377" s="72" t="str">
        <f>IF(G377=$J$1,"SI","NO")</f>
        <v>NO</v>
      </c>
      <c r="U377" s="72"/>
      <c r="V377" s="7" t="str">
        <f ca="1">IF(color_Celda(E377)=12106214,"ROSA",IF(color_Celda(E377)=65535,"AMARILLO",IF(color_Celda(E377)=5296274,"VERDE",IF(color_Celda(E377)=16777215,"BLANCO","NO SE"))))</f>
        <v>ROSA</v>
      </c>
      <c r="W377" s="63" t="s">
        <v>1236</v>
      </c>
      <c r="X377" s="63" t="s">
        <v>1905</v>
      </c>
      <c r="Y377" s="63"/>
      <c r="Z377" s="118" t="s">
        <v>1039</v>
      </c>
      <c r="AA377" s="72"/>
      <c r="AB377" s="72"/>
      <c r="AC377" s="324"/>
    </row>
    <row r="378" spans="1:29" ht="60" customHeight="1">
      <c r="A378" s="63">
        <v>382</v>
      </c>
      <c r="B378" s="65">
        <v>45118</v>
      </c>
      <c r="C378" s="70">
        <v>0.53680555555555554</v>
      </c>
      <c r="D378" s="63" t="s">
        <v>1753</v>
      </c>
      <c r="E378" s="64" t="s">
        <v>1938</v>
      </c>
      <c r="F378" s="63">
        <v>4</v>
      </c>
      <c r="G378" s="63" t="s">
        <v>1654</v>
      </c>
      <c r="H378" s="208">
        <v>45128</v>
      </c>
      <c r="I378" s="65" t="s">
        <v>1442</v>
      </c>
      <c r="J378" s="65" t="s">
        <v>1723</v>
      </c>
      <c r="K378" s="63" t="s">
        <v>1341</v>
      </c>
      <c r="L378" s="63" t="s">
        <v>1067</v>
      </c>
      <c r="M378" s="63" t="s">
        <v>1754</v>
      </c>
      <c r="N378" s="63" t="s">
        <v>621</v>
      </c>
      <c r="O378" s="63" t="str">
        <f ca="1">IF(H378&lt;&gt;"",IF(H378&lt;=TODAY(),"SI","NO"),"LIMBO")</f>
        <v>SI</v>
      </c>
      <c r="P378" s="63" t="str">
        <f>IF($P$1=H378,"DIASOL", "DIANOSOL")</f>
        <v>DIANOSOL</v>
      </c>
      <c r="Q378" s="63" t="s">
        <v>151</v>
      </c>
      <c r="R378" s="63" t="str">
        <f>VLOOKUP($Q378,Resultados!$A$1:$B$49,2,FALSE)</f>
        <v>Prisión Preventiva</v>
      </c>
      <c r="S378" s="63" t="s">
        <v>1906</v>
      </c>
      <c r="T378" s="72" t="str">
        <f>IF(G378=$J$1,"SI","NO")</f>
        <v>NO</v>
      </c>
      <c r="U378" s="72"/>
      <c r="V378" s="7" t="str">
        <f ca="1">IF(color_Celda(E378)=12106214,"ROSA",IF(color_Celda(E378)=65535,"AMARILLO",IF(color_Celda(E378)=5296274,"VERDE",IF(color_Celda(E378)=16777215,"BLANCO","NO SE"))))</f>
        <v>ROSA</v>
      </c>
      <c r="W378" s="63" t="s">
        <v>1907</v>
      </c>
      <c r="X378" s="63" t="s">
        <v>1908</v>
      </c>
      <c r="Y378" s="63"/>
      <c r="Z378" s="118" t="s">
        <v>770</v>
      </c>
      <c r="AA378" s="72"/>
      <c r="AB378" s="72"/>
      <c r="AC378" s="324"/>
    </row>
    <row r="379" spans="1:29" ht="60" customHeight="1">
      <c r="A379" s="63">
        <v>356</v>
      </c>
      <c r="B379" s="65">
        <v>45113</v>
      </c>
      <c r="C379" s="63" t="s">
        <v>1630</v>
      </c>
      <c r="D379" s="63" t="s">
        <v>1627</v>
      </c>
      <c r="E379" s="64" t="s">
        <v>1937</v>
      </c>
      <c r="F379" s="63">
        <v>4</v>
      </c>
      <c r="G379" s="63" t="s">
        <v>1733</v>
      </c>
      <c r="H379" s="208">
        <v>45128</v>
      </c>
      <c r="I379" s="65" t="s">
        <v>547</v>
      </c>
      <c r="J379" s="65" t="s">
        <v>31</v>
      </c>
      <c r="K379" s="63">
        <f>IFERROR(VLOOKUP(J379,Jueces!$A$1:$B$11,2,FALSE),"")</f>
        <v>2</v>
      </c>
      <c r="L379" s="63" t="s">
        <v>810</v>
      </c>
      <c r="M379" s="63" t="s">
        <v>695</v>
      </c>
      <c r="N379" s="63" t="s">
        <v>621</v>
      </c>
      <c r="O379" s="63" t="str">
        <f ca="1">IF(H379&lt;&gt;"",IF(H379&lt;=TODAY(),"SI","NO"),"LIMBO")</f>
        <v>SI</v>
      </c>
      <c r="P379" s="63" t="str">
        <f>IF($P$1=H379,"DIASOL", "DIANOSOL")</f>
        <v>DIANOSOL</v>
      </c>
      <c r="Q379" s="63" t="s">
        <v>151</v>
      </c>
      <c r="R379" s="63" t="str">
        <f>VLOOKUP($Q379,Resultados!$A$1:$B$49,2,FALSE)</f>
        <v>Prisión Preventiva</v>
      </c>
      <c r="S379" s="70" t="s">
        <v>547</v>
      </c>
      <c r="T379" s="72" t="str">
        <f>IF(G379=$J$1,"SI","NO")</f>
        <v>NO</v>
      </c>
      <c r="U379" s="72"/>
      <c r="V379" s="7" t="str">
        <f ca="1">IF(color_Celda(E379)=12106214,"ROSA",IF(color_Celda(E379)=65535,"AMARILLO",IF(color_Celda(E379)=5296274,"VERDE",IF(color_Celda(E379)=16777215,"BLANCO","NO SE"))))</f>
        <v>ROSA</v>
      </c>
      <c r="W379" s="63" t="s">
        <v>1706</v>
      </c>
      <c r="X379" s="63" t="s">
        <v>1746</v>
      </c>
      <c r="Y379" s="63"/>
      <c r="Z379" s="118" t="s">
        <v>1909</v>
      </c>
      <c r="AA379" s="72"/>
      <c r="AB379" s="72"/>
      <c r="AC379" s="324"/>
    </row>
    <row r="380" spans="1:29" ht="60" customHeight="1">
      <c r="A380" s="63">
        <v>375</v>
      </c>
      <c r="B380" s="65">
        <v>45114</v>
      </c>
      <c r="C380" s="70">
        <v>0.5</v>
      </c>
      <c r="D380" s="63" t="s">
        <v>1725</v>
      </c>
      <c r="E380" s="64" t="s">
        <v>1936</v>
      </c>
      <c r="F380" s="63">
        <v>4</v>
      </c>
      <c r="G380" s="63" t="s">
        <v>283</v>
      </c>
      <c r="H380" s="208">
        <v>45128</v>
      </c>
      <c r="I380" s="65" t="s">
        <v>547</v>
      </c>
      <c r="J380" s="65" t="s">
        <v>1723</v>
      </c>
      <c r="K380" s="63" t="s">
        <v>1341</v>
      </c>
      <c r="L380" s="63" t="s">
        <v>326</v>
      </c>
      <c r="M380" s="63" t="s">
        <v>695</v>
      </c>
      <c r="N380" s="63" t="s">
        <v>1910</v>
      </c>
      <c r="O380" s="63" t="str">
        <f ca="1">IF(H380&lt;&gt;"",IF(H380&lt;=TODAY(),"SI","NO"),"LIMBO")</f>
        <v>SI</v>
      </c>
      <c r="P380" s="63" t="str">
        <f>IF($P$1=H380,"DIASOL", "DIANOSOL")</f>
        <v>DIANOSOL</v>
      </c>
      <c r="Q380" s="63" t="s">
        <v>948</v>
      </c>
      <c r="R380" s="63" t="str">
        <f>VLOOKUP($Q380,Resultados!$A$1:$B$49,2,FALSE)</f>
        <v>Prision domiciliaria</v>
      </c>
      <c r="S380" s="70" t="s">
        <v>1554</v>
      </c>
      <c r="T380" s="72" t="str">
        <f>IF(G380=$J$1,"SI","NO")</f>
        <v>NO</v>
      </c>
      <c r="U380" s="72"/>
      <c r="V380" s="7" t="str">
        <f ca="1">IF(color_Celda(E380)=12106214,"ROSA",IF(color_Celda(E380)=65535,"AMARILLO",IF(color_Celda(E380)=5296274,"VERDE",IF(color_Celda(E380)=16777215,"BLANCO","NO SE"))))</f>
        <v>ROSA</v>
      </c>
      <c r="W380" s="70" t="s">
        <v>987</v>
      </c>
      <c r="X380" s="63" t="s">
        <v>1915</v>
      </c>
      <c r="Y380" s="63"/>
      <c r="Z380" s="118" t="s">
        <v>770</v>
      </c>
      <c r="AA380" s="72"/>
      <c r="AB380" s="72"/>
      <c r="AC380" s="324"/>
    </row>
    <row r="381" spans="1:29" ht="60" customHeight="1">
      <c r="A381" s="63">
        <v>381</v>
      </c>
      <c r="B381" s="65">
        <v>45118</v>
      </c>
      <c r="C381" s="63" t="s">
        <v>1687</v>
      </c>
      <c r="D381" s="63" t="s">
        <v>1743</v>
      </c>
      <c r="E381" s="64" t="s">
        <v>1935</v>
      </c>
      <c r="F381" s="63">
        <v>4</v>
      </c>
      <c r="G381" s="63" t="s">
        <v>1652</v>
      </c>
      <c r="H381" s="208">
        <v>45128</v>
      </c>
      <c r="I381" s="65" t="s">
        <v>1554</v>
      </c>
      <c r="J381" s="65" t="s">
        <v>1616</v>
      </c>
      <c r="K381" s="63" t="s">
        <v>1483</v>
      </c>
      <c r="L381" s="63" t="s">
        <v>801</v>
      </c>
      <c r="M381" s="63" t="s">
        <v>767</v>
      </c>
      <c r="N381" s="63" t="s">
        <v>1902</v>
      </c>
      <c r="O381" s="63" t="str">
        <f ca="1">IF(H381&lt;&gt;"",IF(H381&lt;=TODAY(),"SI","NO"),"LIMBO")</f>
        <v>SI</v>
      </c>
      <c r="P381" s="63" t="str">
        <f>IF($P$1=H381,"DIASOL", "DIANOSOL")</f>
        <v>DIANOSOL</v>
      </c>
      <c r="Q381" s="63" t="s">
        <v>910</v>
      </c>
      <c r="R381" s="63" t="str">
        <f>VLOOKUP($Q381,Resultados!$A$1:$B$49,2,FALSE)</f>
        <v>Suspendida</v>
      </c>
      <c r="S381" s="63"/>
      <c r="T381" s="72" t="str">
        <f>IF(G381=$J$1,"SI","NO")</f>
        <v>NO</v>
      </c>
      <c r="U381" s="72"/>
      <c r="V381" s="7" t="str">
        <f ca="1">IF(color_Celda(E381)=12106214,"ROSA",IF(color_Celda(E381)=65535,"AMARILLO",IF(color_Celda(E381)=5296274,"VERDE",IF(color_Celda(E381)=16777215,"BLANCO","NO SE"))))</f>
        <v>ROSA</v>
      </c>
      <c r="W381" s="63"/>
      <c r="X381" s="63"/>
      <c r="Y381" s="63"/>
      <c r="Z381" s="72"/>
      <c r="AA381" s="72"/>
      <c r="AB381" s="72"/>
      <c r="AC381" s="324"/>
    </row>
    <row r="382" spans="1:29" ht="60" customHeight="1">
      <c r="A382" s="63">
        <v>354</v>
      </c>
      <c r="B382" s="65">
        <v>45113</v>
      </c>
      <c r="C382" s="70">
        <v>0.3972222222222222</v>
      </c>
      <c r="D382" s="63" t="s">
        <v>1588</v>
      </c>
      <c r="E382" s="64" t="s">
        <v>1934</v>
      </c>
      <c r="F382" s="63">
        <v>4</v>
      </c>
      <c r="G382" s="63" t="s">
        <v>1433</v>
      </c>
      <c r="H382" s="208">
        <v>45128</v>
      </c>
      <c r="I382" s="65" t="s">
        <v>228</v>
      </c>
      <c r="J382" s="65" t="s">
        <v>1616</v>
      </c>
      <c r="K382" s="63" t="s">
        <v>1483</v>
      </c>
      <c r="L382" s="63" t="s">
        <v>803</v>
      </c>
      <c r="M382" s="63" t="s">
        <v>695</v>
      </c>
      <c r="N382" s="63" t="s">
        <v>1913</v>
      </c>
      <c r="O382" s="63" t="str">
        <f ca="1">IF(H382&lt;&gt;"",IF(H382&lt;=TODAY(),"SI","NO"),"LIMBO")</f>
        <v>SI</v>
      </c>
      <c r="P382" s="63" t="str">
        <f>IF($P$1=H382,"DIASOL", "DIANOSOL")</f>
        <v>DIANOSOL</v>
      </c>
      <c r="Q382" s="63" t="s">
        <v>151</v>
      </c>
      <c r="R382" s="63" t="str">
        <f>VLOOKUP($Q382,Resultados!$A$1:$B$49,2,FALSE)</f>
        <v>Prisión Preventiva</v>
      </c>
      <c r="S382" s="63" t="s">
        <v>1911</v>
      </c>
      <c r="T382" s="72" t="str">
        <f>IF(G382=$J$1,"SI","NO")</f>
        <v>NO</v>
      </c>
      <c r="U382" s="72"/>
      <c r="V382" s="7" t="str">
        <f ca="1">IF(color_Celda(E382)=12106214,"ROSA",IF(color_Celda(E382)=65535,"AMARILLO",IF(color_Celda(E382)=5296274,"VERDE",IF(color_Celda(E382)=16777215,"BLANCO","NO SE"))))</f>
        <v>ROSA</v>
      </c>
      <c r="W382" s="63" t="s">
        <v>1912</v>
      </c>
      <c r="X382" s="63" t="s">
        <v>1914</v>
      </c>
      <c r="Y382" s="63"/>
      <c r="Z382" s="118" t="s">
        <v>1039</v>
      </c>
      <c r="AA382" s="72"/>
      <c r="AB382" s="72"/>
      <c r="AC382" s="324"/>
    </row>
    <row r="383" spans="1:29" ht="60" customHeight="1">
      <c r="A383" s="63">
        <v>385</v>
      </c>
      <c r="B383" s="65">
        <v>45119</v>
      </c>
      <c r="C383" s="63" t="s">
        <v>1763</v>
      </c>
      <c r="D383" s="63" t="s">
        <v>1761</v>
      </c>
      <c r="E383" s="64" t="s">
        <v>1762</v>
      </c>
      <c r="F383" s="63">
        <v>3</v>
      </c>
      <c r="G383" s="63" t="s">
        <v>32</v>
      </c>
      <c r="H383" s="208">
        <v>45132</v>
      </c>
      <c r="I383" s="65" t="s">
        <v>73</v>
      </c>
      <c r="J383" s="65" t="s">
        <v>35</v>
      </c>
      <c r="K383" s="63">
        <f>IFERROR(VLOOKUP(J383,Jueces!$A$1:$B$11,2,FALSE),"")</f>
        <v>3</v>
      </c>
      <c r="L383" s="63" t="s">
        <v>811</v>
      </c>
      <c r="M383" s="63" t="s">
        <v>694</v>
      </c>
      <c r="N383" s="63" t="s">
        <v>1943</v>
      </c>
      <c r="O383" s="63" t="str">
        <f ca="1">IF(H383&lt;&gt;"",IF(H383&lt;=TODAY(),"SI","NO"),"LIMBO")</f>
        <v>SI</v>
      </c>
      <c r="P383" s="63" t="str">
        <f>IF($P$1=H383,"DIASOL", "DIANOSOL")</f>
        <v>DIANOSOL</v>
      </c>
      <c r="Q383" s="63" t="s">
        <v>907</v>
      </c>
      <c r="R383" s="63" t="s">
        <v>907</v>
      </c>
      <c r="S383" s="70">
        <v>0.35416666666666669</v>
      </c>
      <c r="T383" s="72" t="str">
        <f>IF(G383=$J$1,"SI","NO")</f>
        <v>NO</v>
      </c>
      <c r="U383" s="72"/>
      <c r="V383" s="7" t="str">
        <f ca="1">IF(color_Celda(E383)=12106214,"ROSA",IF(color_Celda(E383)=65535,"AMARILLO",IF(color_Celda(E383)=5296274,"VERDE",IF(color_Celda(E383)=16777215,"BLANCO","NO SE"))))</f>
        <v>ROSA</v>
      </c>
      <c r="W383" s="70">
        <v>0.36180555555555555</v>
      </c>
      <c r="X383" s="63" t="s">
        <v>1946</v>
      </c>
      <c r="Y383" s="63"/>
      <c r="Z383" s="118" t="s">
        <v>1039</v>
      </c>
      <c r="AA383" s="118" t="s">
        <v>1167</v>
      </c>
      <c r="AB383" s="118" t="s">
        <v>1171</v>
      </c>
      <c r="AC383" s="324"/>
    </row>
    <row r="384" spans="1:29" ht="60" customHeight="1">
      <c r="A384" s="63">
        <v>388</v>
      </c>
      <c r="B384" s="65">
        <v>45120</v>
      </c>
      <c r="C384" s="70">
        <v>0.54166666666666663</v>
      </c>
      <c r="D384" s="63" t="s">
        <v>1799</v>
      </c>
      <c r="E384" s="64" t="s">
        <v>1812</v>
      </c>
      <c r="F384" s="63">
        <v>2</v>
      </c>
      <c r="G384" s="63" t="s">
        <v>29</v>
      </c>
      <c r="H384" s="208">
        <v>45132</v>
      </c>
      <c r="I384" s="65" t="s">
        <v>73</v>
      </c>
      <c r="J384" s="65" t="s">
        <v>33</v>
      </c>
      <c r="K384" s="63">
        <f>IFERROR(VLOOKUP(J384,Jueces!$A$1:$B$11,2,FALSE),"")</f>
        <v>4</v>
      </c>
      <c r="L384" s="63" t="s">
        <v>326</v>
      </c>
      <c r="M384" s="63" t="s">
        <v>695</v>
      </c>
      <c r="N384" s="63" t="s">
        <v>577</v>
      </c>
      <c r="O384" s="63" t="str">
        <f ca="1">IF(H384&lt;&gt;"",IF(H384&lt;=TODAY(),"SI","NO"),"LIMBO")</f>
        <v>SI</v>
      </c>
      <c r="P384" s="63" t="str">
        <f>IF($P$1=H384,"DIASOL", "DIANOSOL")</f>
        <v>DIANOSOL</v>
      </c>
      <c r="Q384" s="63" t="s">
        <v>151</v>
      </c>
      <c r="R384" s="63" t="str">
        <f>VLOOKUP($Q384,Resultados!$A$1:$B$49,2,FALSE)</f>
        <v>Prisión Preventiva</v>
      </c>
      <c r="S384" s="70">
        <v>0.41180555555555554</v>
      </c>
      <c r="T384" s="72" t="str">
        <f>IF(G384=$J$1,"SI","NO")</f>
        <v>NO</v>
      </c>
      <c r="U384" s="72"/>
      <c r="V384" s="7" t="str">
        <f ca="1">IF(color_Celda(E384)=12106214,"ROSA",IF(color_Celda(E384)=65535,"AMARILLO",IF(color_Celda(E384)=5296274,"VERDE",IF(color_Celda(E384)=16777215,"BLANCO","NO SE"))))</f>
        <v>ROSA</v>
      </c>
      <c r="W384" s="70">
        <v>0.44027777777777777</v>
      </c>
      <c r="X384" s="63" t="s">
        <v>1945</v>
      </c>
      <c r="Y384" s="63"/>
      <c r="Z384" s="118" t="s">
        <v>743</v>
      </c>
      <c r="AA384" s="118" t="s">
        <v>1165</v>
      </c>
      <c r="AB384" s="118" t="s">
        <v>1172</v>
      </c>
      <c r="AC384" s="324"/>
    </row>
    <row r="385" spans="1:29" ht="60" customHeight="1">
      <c r="A385" s="63">
        <v>400</v>
      </c>
      <c r="B385" s="65">
        <v>45125</v>
      </c>
      <c r="C385" s="70">
        <v>0.51111111111111118</v>
      </c>
      <c r="D385" s="63" t="s">
        <v>1856</v>
      </c>
      <c r="E385" s="64" t="s">
        <v>1855</v>
      </c>
      <c r="F385" s="63">
        <v>5</v>
      </c>
      <c r="G385" s="63" t="s">
        <v>43</v>
      </c>
      <c r="H385" s="208">
        <v>45132</v>
      </c>
      <c r="I385" s="65" t="s">
        <v>73</v>
      </c>
      <c r="J385" s="65" t="s">
        <v>1218</v>
      </c>
      <c r="K385" s="63" t="s">
        <v>1341</v>
      </c>
      <c r="L385" s="63" t="s">
        <v>810</v>
      </c>
      <c r="M385" s="63" t="s">
        <v>1866</v>
      </c>
      <c r="N385" s="63" t="s">
        <v>1640</v>
      </c>
      <c r="O385" s="63" t="str">
        <f ca="1">IF(H385&lt;&gt;"",IF(H385&lt;=TODAY(),"SI","NO"),"LIMBO")</f>
        <v>SI</v>
      </c>
      <c r="P385" s="63" t="str">
        <f>IF($P$1=H385,"DIASOL", "DIANOSOL")</f>
        <v>DIANOSOL</v>
      </c>
      <c r="Q385" s="63" t="s">
        <v>151</v>
      </c>
      <c r="R385" s="63" t="str">
        <f>VLOOKUP($Q385,Resultados!$A$1:$B$49,2,FALSE)</f>
        <v>Prisión Preventiva</v>
      </c>
      <c r="S385" s="70">
        <v>0.34027777777777773</v>
      </c>
      <c r="T385" s="72" t="str">
        <f>IF(G385=$J$1,"SI","NO")</f>
        <v>NO</v>
      </c>
      <c r="U385" s="72"/>
      <c r="V385" s="7" t="str">
        <f ca="1">IF(color_Celda(E385)=12106214,"ROSA",IF(color_Celda(E385)=65535,"AMARILLO",IF(color_Celda(E385)=5296274,"VERDE",IF(color_Celda(E385)=16777215,"BLANCO","NO SE"))))</f>
        <v>ROSA</v>
      </c>
      <c r="W385" s="70">
        <v>0.34791666666666665</v>
      </c>
      <c r="X385" s="63"/>
      <c r="Y385" s="63"/>
      <c r="Z385" s="118" t="s">
        <v>770</v>
      </c>
      <c r="AA385" s="118" t="s">
        <v>1167</v>
      </c>
      <c r="AB385" s="268" t="s">
        <v>1170</v>
      </c>
      <c r="AC385" s="324"/>
    </row>
    <row r="386" spans="1:29" ht="60" customHeight="1">
      <c r="A386" s="63">
        <v>390</v>
      </c>
      <c r="B386" s="65">
        <v>45120</v>
      </c>
      <c r="C386" s="70">
        <v>0.54166666666666663</v>
      </c>
      <c r="D386" s="63" t="s">
        <v>1804</v>
      </c>
      <c r="E386" s="64" t="s">
        <v>1811</v>
      </c>
      <c r="F386" s="63">
        <v>4</v>
      </c>
      <c r="G386" s="63" t="s">
        <v>1435</v>
      </c>
      <c r="H386" s="208">
        <v>45132</v>
      </c>
      <c r="I386" s="65" t="s">
        <v>1083</v>
      </c>
      <c r="J386" s="65" t="s">
        <v>1221</v>
      </c>
      <c r="K386" s="63">
        <f>IFERROR(VLOOKUP(J386,Jueces!$A$1:$B$11,2,FALSE),"")</f>
        <v>6</v>
      </c>
      <c r="L386" s="63" t="s">
        <v>811</v>
      </c>
      <c r="M386" s="63" t="s">
        <v>695</v>
      </c>
      <c r="N386" s="63" t="s">
        <v>235</v>
      </c>
      <c r="O386" s="63" t="str">
        <f ca="1">IF(H386&lt;&gt;"",IF(H386&lt;=TODAY(),"SI","NO"),"LIMBO")</f>
        <v>SI</v>
      </c>
      <c r="P386" s="63" t="str">
        <f>IF($P$1=H386,"DIASOL", "DIANOSOL")</f>
        <v>DIANOSOL</v>
      </c>
      <c r="Q386" s="63" t="s">
        <v>151</v>
      </c>
      <c r="R386" s="63" t="str">
        <f>VLOOKUP($Q386,Resultados!$A$1:$B$49,2,FALSE)</f>
        <v>Prisión Preventiva</v>
      </c>
      <c r="S386" s="70">
        <v>0.38541666666666669</v>
      </c>
      <c r="T386" s="72" t="str">
        <f>IF(G386=$J$1,"SI","NO")</f>
        <v>SI</v>
      </c>
      <c r="U386" s="72"/>
      <c r="V386" s="7" t="str">
        <f ca="1">IF(color_Celda(E386)=12106214,"ROSA",IF(color_Celda(E386)=65535,"AMARILLO",IF(color_Celda(E386)=5296274,"VERDE",IF(color_Celda(E386)=16777215,"BLANCO","NO SE"))))</f>
        <v>ROSA</v>
      </c>
      <c r="W386" s="70">
        <v>0.42986111111111108</v>
      </c>
      <c r="X386" s="63" t="s">
        <v>1947</v>
      </c>
      <c r="Y386" s="63"/>
      <c r="Z386" s="118" t="s">
        <v>1039</v>
      </c>
      <c r="AA386" s="118" t="s">
        <v>1165</v>
      </c>
      <c r="AB386" s="118" t="s">
        <v>1169</v>
      </c>
      <c r="AC386" s="324"/>
    </row>
    <row r="387" spans="1:29" ht="60" customHeight="1">
      <c r="A387" s="63">
        <v>393</v>
      </c>
      <c r="B387" s="65">
        <v>45120</v>
      </c>
      <c r="C387" s="70">
        <v>0.375</v>
      </c>
      <c r="D387" s="63" t="s">
        <v>1808</v>
      </c>
      <c r="E387" s="64" t="s">
        <v>1865</v>
      </c>
      <c r="F387" s="63">
        <v>4</v>
      </c>
      <c r="G387" s="63" t="s">
        <v>32</v>
      </c>
      <c r="H387" s="208">
        <v>45132</v>
      </c>
      <c r="I387" s="65" t="s">
        <v>1083</v>
      </c>
      <c r="J387" s="65" t="s">
        <v>33</v>
      </c>
      <c r="K387" s="63">
        <f>IFERROR(VLOOKUP(J387,Jueces!$A$1:$B$11,2,FALSE),"")</f>
        <v>4</v>
      </c>
      <c r="L387" s="63" t="s">
        <v>1067</v>
      </c>
      <c r="M387" s="63" t="s">
        <v>1844</v>
      </c>
      <c r="N387" s="63" t="s">
        <v>1925</v>
      </c>
      <c r="O387" s="63" t="str">
        <f ca="1">IF(H387&lt;&gt;"",IF(H387&lt;=TODAY(),"SI","NO"),"LIMBO")</f>
        <v>SI</v>
      </c>
      <c r="P387" s="63" t="str">
        <f>IF($P$1=H387,"DIASOL", "DIANOSOL")</f>
        <v>DIANOSOL</v>
      </c>
      <c r="Q387" s="63" t="s">
        <v>903</v>
      </c>
      <c r="R387" s="63" t="str">
        <f>VLOOKUP($Q387,Resultados!$A$1:$B$49,2,FALSE)</f>
        <v>Juicio Abreviado</v>
      </c>
      <c r="S387" s="70">
        <v>0.39305555555555555</v>
      </c>
      <c r="T387" s="72" t="str">
        <f>IF(G387=$J$1,"SI","NO")</f>
        <v>NO</v>
      </c>
      <c r="U387" s="72"/>
      <c r="V387" s="7" t="str">
        <f ca="1">IF(color_Celda(E387)=12106214,"ROSA",IF(color_Celda(E387)=65535,"AMARILLO",IF(color_Celda(E387)=5296274,"VERDE",IF(color_Celda(E387)=16777215,"BLANCO","NO SE"))))</f>
        <v>ROSA</v>
      </c>
      <c r="W387" s="70">
        <v>0.4069444444444445</v>
      </c>
      <c r="X387" s="63" t="s">
        <v>1944</v>
      </c>
      <c r="Y387" s="63"/>
      <c r="Z387" s="118" t="s">
        <v>1038</v>
      </c>
      <c r="AA387" s="118" t="s">
        <v>743</v>
      </c>
      <c r="AB387" s="118" t="s">
        <v>1173</v>
      </c>
      <c r="AC387" s="324"/>
    </row>
    <row r="388" spans="1:29" ht="60" customHeight="1">
      <c r="A388" s="63">
        <v>395</v>
      </c>
      <c r="B388" s="65">
        <v>45121</v>
      </c>
      <c r="C388" s="70">
        <v>0.40069444444444446</v>
      </c>
      <c r="D388" s="63" t="s">
        <v>1802</v>
      </c>
      <c r="E388" s="64" t="s">
        <v>1801</v>
      </c>
      <c r="F388" s="63">
        <v>4</v>
      </c>
      <c r="G388" s="63" t="s">
        <v>568</v>
      </c>
      <c r="H388" s="208">
        <v>45132</v>
      </c>
      <c r="I388" s="65" t="s">
        <v>1083</v>
      </c>
      <c r="J388" s="65" t="s">
        <v>1217</v>
      </c>
      <c r="K388" s="63">
        <f>IFERROR(VLOOKUP(J388,Jueces!$A$1:$B$11,2,FALSE),"")</f>
        <v>7</v>
      </c>
      <c r="L388" s="63" t="s">
        <v>791</v>
      </c>
      <c r="M388" s="63" t="s">
        <v>1829</v>
      </c>
      <c r="N388" s="63" t="s">
        <v>1967</v>
      </c>
      <c r="O388" s="63" t="str">
        <f ca="1">IF(H388&lt;&gt;"",IF(H388&lt;=TODAY(),"SI","NO"),"LIMBO")</f>
        <v>SI</v>
      </c>
      <c r="P388" s="63" t="str">
        <f>IF($P$1=H388,"DIASOL", "DIANOSOL")</f>
        <v>DIANOSOL</v>
      </c>
      <c r="Q388" s="63" t="s">
        <v>151</v>
      </c>
      <c r="R388" s="63" t="str">
        <f>VLOOKUP($Q388,Resultados!$A$1:$B$49,2,FALSE)</f>
        <v>Prisión Preventiva</v>
      </c>
      <c r="S388" s="63" t="s">
        <v>1966</v>
      </c>
      <c r="T388" s="72" t="str">
        <f>IF(G388=$J$1,"SI","NO")</f>
        <v>NO</v>
      </c>
      <c r="U388" s="72"/>
      <c r="V388" s="7" t="str">
        <f ca="1">IF(color_Celda(E388)=12106214,"ROSA",IF(color_Celda(E388)=65535,"AMARILLO",IF(color_Celda(E388)=5296274,"VERDE",IF(color_Celda(E388)=16777215,"BLANCO","NO SE"))))</f>
        <v>ROSA</v>
      </c>
      <c r="W388" s="70">
        <v>0.40486111111111112</v>
      </c>
      <c r="X388" s="63"/>
      <c r="Y388" s="63"/>
      <c r="Z388" s="118" t="s">
        <v>748</v>
      </c>
      <c r="AA388" s="118" t="s">
        <v>1167</v>
      </c>
      <c r="AB388" s="118" t="s">
        <v>1171</v>
      </c>
      <c r="AC388" s="324"/>
    </row>
    <row r="389" spans="1:29" ht="60" customHeight="1">
      <c r="A389" s="63">
        <v>384</v>
      </c>
      <c r="B389" s="65">
        <v>45119</v>
      </c>
      <c r="C389" s="70">
        <v>0.50138888888888888</v>
      </c>
      <c r="D389" s="63" t="s">
        <v>1759</v>
      </c>
      <c r="E389" s="64" t="s">
        <v>1760</v>
      </c>
      <c r="F389" s="63">
        <v>4</v>
      </c>
      <c r="G389" s="63" t="s">
        <v>43</v>
      </c>
      <c r="H389" s="208">
        <v>45133</v>
      </c>
      <c r="I389" s="65" t="s">
        <v>73</v>
      </c>
      <c r="J389" s="65" t="s">
        <v>31</v>
      </c>
      <c r="K389" s="63">
        <f>IFERROR(VLOOKUP(J389,Jueces!$A$1:$B$11,2,FALSE),"")</f>
        <v>2</v>
      </c>
      <c r="L389" s="63" t="s">
        <v>1963</v>
      </c>
      <c r="M389" s="63" t="s">
        <v>1829</v>
      </c>
      <c r="N389" s="63" t="s">
        <v>1964</v>
      </c>
      <c r="O389" s="63" t="str">
        <f ca="1">IF(H389&lt;&gt;"",IF(H389&lt;=TODAY(),"SI","NO"),"LIMBO")</f>
        <v>SI</v>
      </c>
      <c r="P389" s="63" t="str">
        <f>IF($P$1=H389,"DIASOL", "DIANOSOL")</f>
        <v>DIANOSOL</v>
      </c>
      <c r="Q389" s="63" t="s">
        <v>151</v>
      </c>
      <c r="R389" s="63" t="str">
        <f>VLOOKUP($Q389,Resultados!$A$1:$B$49,2,FALSE)</f>
        <v>Prisión Preventiva</v>
      </c>
      <c r="S389" s="70">
        <v>0.37083333333333335</v>
      </c>
      <c r="T389" s="72" t="str">
        <f>IF(G389=$J$1,"SI","NO")</f>
        <v>NO</v>
      </c>
      <c r="U389" s="72"/>
      <c r="V389" s="7" t="str">
        <f ca="1">IF(color_Celda(E389)=12106214,"ROSA",IF(color_Celda(E389)=65535,"AMARILLO",IF(color_Celda(E389)=5296274,"VERDE",IF(color_Celda(E389)=16777215,"BLANCO","NO SE"))))</f>
        <v>ROSA</v>
      </c>
      <c r="W389" s="70">
        <v>0.39027777777777778</v>
      </c>
      <c r="X389" s="63" t="s">
        <v>1965</v>
      </c>
      <c r="Y389" s="63"/>
      <c r="Z389" s="118" t="s">
        <v>743</v>
      </c>
      <c r="AA389" s="118" t="s">
        <v>743</v>
      </c>
      <c r="AB389" s="118" t="s">
        <v>1173</v>
      </c>
      <c r="AC389" s="324"/>
    </row>
    <row r="390" spans="1:29" ht="60" customHeight="1">
      <c r="A390" s="63">
        <v>398</v>
      </c>
      <c r="B390" s="65">
        <v>45125</v>
      </c>
      <c r="C390" s="70">
        <v>0.50902777777777775</v>
      </c>
      <c r="D390" s="63" t="s">
        <v>1859</v>
      </c>
      <c r="E390" s="64" t="s">
        <v>1854</v>
      </c>
      <c r="F390" s="63">
        <v>2</v>
      </c>
      <c r="G390" s="63" t="s">
        <v>1434</v>
      </c>
      <c r="H390" s="208">
        <v>45133</v>
      </c>
      <c r="I390" s="65" t="s">
        <v>73</v>
      </c>
      <c r="J390" s="65" t="s">
        <v>1220</v>
      </c>
      <c r="K390" s="63" t="s">
        <v>1341</v>
      </c>
      <c r="L390" s="63" t="s">
        <v>811</v>
      </c>
      <c r="M390" s="63" t="s">
        <v>695</v>
      </c>
      <c r="N390" s="63" t="s">
        <v>1957</v>
      </c>
      <c r="O390" s="63" t="str">
        <f ca="1">IF(H390&lt;&gt;"",IF(H390&lt;=TODAY(),"SI","NO"),"LIMBO")</f>
        <v>SI</v>
      </c>
      <c r="P390" s="63" t="str">
        <f>IF($P$1=H390,"DIASOL", "DIANOSOL")</f>
        <v>DIANOSOL</v>
      </c>
      <c r="Q390" s="63" t="s">
        <v>903</v>
      </c>
      <c r="R390" s="63" t="str">
        <f>VLOOKUP($Q390,Resultados!$A$1:$B$49,2,FALSE)</f>
        <v>Juicio Abreviado</v>
      </c>
      <c r="S390" s="63" t="s">
        <v>1016</v>
      </c>
      <c r="T390" s="72" t="str">
        <f>IF(G390=$J$1,"SI","NO")</f>
        <v>NO</v>
      </c>
      <c r="U390" s="72"/>
      <c r="V390" s="7" t="str">
        <f ca="1">IF(color_Celda(E390)=12106214,"ROSA",IF(color_Celda(E390)=65535,"AMARILLO",IF(color_Celda(E390)=5296274,"VERDE",IF(color_Celda(E390)=16777215,"BLANCO","NO SE"))))</f>
        <v>ROSA</v>
      </c>
      <c r="W390" s="63" t="s">
        <v>1002</v>
      </c>
      <c r="X390" s="63" t="s">
        <v>1958</v>
      </c>
      <c r="Y390" s="63"/>
      <c r="Z390" s="118" t="s">
        <v>1039</v>
      </c>
      <c r="AA390" s="118" t="s">
        <v>743</v>
      </c>
      <c r="AB390" s="118" t="s">
        <v>1169</v>
      </c>
      <c r="AC390" s="324"/>
    </row>
    <row r="391" spans="1:29" ht="60" customHeight="1">
      <c r="A391" s="63">
        <v>403</v>
      </c>
      <c r="B391" s="65">
        <v>45126</v>
      </c>
      <c r="C391" s="70">
        <v>0.50555555555555554</v>
      </c>
      <c r="D391" s="63" t="s">
        <v>1871</v>
      </c>
      <c r="E391" s="64" t="s">
        <v>1875</v>
      </c>
      <c r="F391" s="63">
        <v>5</v>
      </c>
      <c r="G391" s="63" t="s">
        <v>568</v>
      </c>
      <c r="H391" s="208">
        <v>45133</v>
      </c>
      <c r="I391" s="65" t="s">
        <v>73</v>
      </c>
      <c r="J391" s="65" t="s">
        <v>78</v>
      </c>
      <c r="K391" s="63">
        <f>IFERROR(VLOOKUP(J391,Jueces!$A$1:$B$11,2,FALSE),"")</f>
        <v>8</v>
      </c>
      <c r="L391" s="63" t="s">
        <v>799</v>
      </c>
      <c r="M391" s="63" t="s">
        <v>1866</v>
      </c>
      <c r="N391" s="63" t="s">
        <v>1959</v>
      </c>
      <c r="O391" s="63" t="str">
        <f ca="1">IF(H391&lt;&gt;"",IF(H391&lt;=TODAY(),"SI","NO"),"LIMBO")</f>
        <v>SI</v>
      </c>
      <c r="P391" s="63" t="str">
        <f>IF($P$1=H391,"DIASOL", "DIANOSOL")</f>
        <v>DIANOSOL</v>
      </c>
      <c r="Q391" s="63" t="s">
        <v>151</v>
      </c>
      <c r="R391" s="63" t="str">
        <f>VLOOKUP($Q391,Resultados!$A$1:$B$49,2,FALSE)</f>
        <v>Prisión Preventiva</v>
      </c>
      <c r="S391" s="63" t="s">
        <v>1292</v>
      </c>
      <c r="T391" s="72" t="str">
        <f>IF(G391=$J$1,"SI","NO")</f>
        <v>NO</v>
      </c>
      <c r="U391" s="72"/>
      <c r="V391" s="7" t="str">
        <f ca="1">IF(color_Celda(E391)=12106214,"ROSA",IF(color_Celda(E391)=65535,"AMARILLO",IF(color_Celda(E391)=5296274,"VERDE",IF(color_Celda(E391)=16777215,"BLANCO","NO SE"))))</f>
        <v>ROSA</v>
      </c>
      <c r="W391" s="70">
        <v>0.3833333333333333</v>
      </c>
      <c r="X391" s="63" t="s">
        <v>1498</v>
      </c>
      <c r="Y391" s="63"/>
      <c r="Z391" s="118" t="s">
        <v>1038</v>
      </c>
      <c r="AA391" s="118" t="s">
        <v>1167</v>
      </c>
      <c r="AB391" s="118" t="s">
        <v>1170</v>
      </c>
      <c r="AC391" s="324"/>
    </row>
    <row r="392" spans="1:29" ht="60" customHeight="1">
      <c r="A392" s="63">
        <v>402</v>
      </c>
      <c r="B392" s="65">
        <v>45126</v>
      </c>
      <c r="C392" s="70">
        <v>0.33333333333333331</v>
      </c>
      <c r="D392" s="63" t="s">
        <v>1864</v>
      </c>
      <c r="E392" s="64" t="s">
        <v>1968</v>
      </c>
      <c r="F392" s="63">
        <v>5</v>
      </c>
      <c r="G392" s="63" t="s">
        <v>1435</v>
      </c>
      <c r="H392" s="208">
        <v>45133</v>
      </c>
      <c r="I392" s="65" t="s">
        <v>1083</v>
      </c>
      <c r="J392" s="65" t="s">
        <v>31</v>
      </c>
      <c r="K392" s="63" t="s">
        <v>1916</v>
      </c>
      <c r="L392" s="63" t="s">
        <v>789</v>
      </c>
      <c r="M392" s="63" t="s">
        <v>1866</v>
      </c>
      <c r="N392" s="63" t="s">
        <v>1972</v>
      </c>
      <c r="O392" s="63" t="str">
        <f ca="1">IF(H392&lt;&gt;"",IF(H392&lt;=TODAY(),"SI","NO"),"LIMBO")</f>
        <v>SI</v>
      </c>
      <c r="P392" s="63" t="str">
        <f>IF($P$1=H392,"DIASOL", "DIANOSOL")</f>
        <v>DIANOSOL</v>
      </c>
      <c r="Q392" s="63" t="s">
        <v>903</v>
      </c>
      <c r="R392" s="63" t="str">
        <f>VLOOKUP($Q392,Resultados!$A$1:$B$49,2,FALSE)</f>
        <v>Juicio Abreviado</v>
      </c>
      <c r="S392" s="70">
        <v>0.39444444444444443</v>
      </c>
      <c r="T392" s="72" t="str">
        <f>IF(G392=$J$1,"SI","NO")</f>
        <v>SI</v>
      </c>
      <c r="U392" s="72"/>
      <c r="V392" s="7" t="str">
        <f ca="1">IF(color_Celda(E392)=12106214,"ROSA",IF(color_Celda(E392)=65535,"AMARILLO",IF(color_Celda(E392)=5296274,"VERDE",IF(color_Celda(E392)=16777215,"BLANCO","NO SE"))))</f>
        <v>ROSA</v>
      </c>
      <c r="W392" s="70">
        <v>0.40972222222222227</v>
      </c>
      <c r="X392" s="63" t="s">
        <v>1973</v>
      </c>
      <c r="Y392" s="63"/>
      <c r="Z392" s="118" t="s">
        <v>748</v>
      </c>
      <c r="AA392" s="118" t="s">
        <v>1167</v>
      </c>
      <c r="AB392" s="118" t="s">
        <v>1171</v>
      </c>
      <c r="AC392" s="324"/>
    </row>
    <row r="393" spans="1:29" ht="60" customHeight="1">
      <c r="A393" s="63">
        <v>392</v>
      </c>
      <c r="B393" s="65">
        <v>45120</v>
      </c>
      <c r="C393" s="70">
        <v>0.375</v>
      </c>
      <c r="D393" s="63" t="s">
        <v>1807</v>
      </c>
      <c r="E393" s="64" t="s">
        <v>1800</v>
      </c>
      <c r="F393" s="63">
        <v>4</v>
      </c>
      <c r="G393" s="63" t="s">
        <v>283</v>
      </c>
      <c r="H393" s="208">
        <v>45133</v>
      </c>
      <c r="I393" s="65" t="s">
        <v>1206</v>
      </c>
      <c r="J393" s="65" t="s">
        <v>33</v>
      </c>
      <c r="K393" s="63">
        <f>IFERROR(VLOOKUP(J393,Jueces!$A$1:$B$11,2,FALSE),"")</f>
        <v>4</v>
      </c>
      <c r="L393" s="63" t="s">
        <v>810</v>
      </c>
      <c r="M393" s="63" t="s">
        <v>1960</v>
      </c>
      <c r="N393" s="63" t="s">
        <v>1961</v>
      </c>
      <c r="O393" s="63" t="str">
        <f ca="1">IF(H393&lt;&gt;"",IF(H393&lt;=TODAY(),"SI","NO"),"LIMBO")</f>
        <v>SI</v>
      </c>
      <c r="P393" s="63" t="str">
        <f>IF($P$1=H393,"DIASOL", "DIANOSOL")</f>
        <v>DIANOSOL</v>
      </c>
      <c r="Q393" s="63" t="s">
        <v>902</v>
      </c>
      <c r="R393" s="63" t="str">
        <f>VLOOKUP($Q393,Resultados!$A$1:$B$49,2,FALSE)</f>
        <v>Juicio Abreviado</v>
      </c>
      <c r="S393" s="70">
        <v>0.35625000000000001</v>
      </c>
      <c r="T393" s="72" t="str">
        <f>IF(G393=$J$1,"SI","NO")</f>
        <v>NO</v>
      </c>
      <c r="U393" s="72"/>
      <c r="V393" s="7" t="str">
        <f ca="1">IF(color_Celda(E393)=12106214,"ROSA",IF(color_Celda(E393)=65535,"AMARILLO",IF(color_Celda(E393)=5296274,"VERDE",IF(color_Celda(E393)=16777215,"BLANCO","NO SE"))))</f>
        <v>ROSA</v>
      </c>
      <c r="W393" s="70">
        <v>0.37361111111111112</v>
      </c>
      <c r="X393" s="63" t="s">
        <v>1962</v>
      </c>
      <c r="Y393" s="63"/>
      <c r="Z393" s="118" t="s">
        <v>1038</v>
      </c>
      <c r="AA393" s="118" t="s">
        <v>743</v>
      </c>
      <c r="AB393" s="118" t="s">
        <v>1170</v>
      </c>
      <c r="AC393" s="324"/>
    </row>
    <row r="394" spans="1:29" ht="60" customHeight="1">
      <c r="A394" s="63">
        <v>408</v>
      </c>
      <c r="B394" s="65">
        <v>45126</v>
      </c>
      <c r="C394" s="63" t="s">
        <v>1630</v>
      </c>
      <c r="D394" s="63" t="s">
        <v>1878</v>
      </c>
      <c r="E394" s="64" t="s">
        <v>1879</v>
      </c>
      <c r="F394" s="63">
        <v>4</v>
      </c>
      <c r="G394" s="63" t="s">
        <v>1433</v>
      </c>
      <c r="H394" s="208">
        <v>45133</v>
      </c>
      <c r="I394" s="65" t="s">
        <v>1206</v>
      </c>
      <c r="J394" s="65" t="s">
        <v>1217</v>
      </c>
      <c r="K394" s="63">
        <f>IFERROR(VLOOKUP(J394,Jueces!$A$1:$B$11,2,FALSE),"")</f>
        <v>7</v>
      </c>
      <c r="L394" s="63" t="s">
        <v>800</v>
      </c>
      <c r="M394" s="63" t="s">
        <v>695</v>
      </c>
      <c r="N394" s="63" t="s">
        <v>1974</v>
      </c>
      <c r="O394" s="63" t="str">
        <f ca="1">IF(H394&lt;&gt;"",IF(H394&lt;=TODAY(),"SI","NO"),"LIMBO")</f>
        <v>SI</v>
      </c>
      <c r="P394" s="63" t="str">
        <f>IF($P$1=H394,"DIASOL", "DIANOSOL")</f>
        <v>DIANOSOL</v>
      </c>
      <c r="Q394" s="63" t="s">
        <v>897</v>
      </c>
      <c r="R394" s="63" t="str">
        <f>VLOOKUP($Q394,Resultados!$A$1:$B$49,2,FALSE)</f>
        <v>Libertad</v>
      </c>
      <c r="S394" s="70">
        <v>0.4368055555555555</v>
      </c>
      <c r="T394" s="72" t="str">
        <f>IF(G394=$J$1,"SI","NO")</f>
        <v>NO</v>
      </c>
      <c r="U394" s="72"/>
      <c r="V394" s="7" t="str">
        <f ca="1">IF(color_Celda(E394)=12106214,"ROSA",IF(color_Celda(E394)=65535,"AMARILLO",IF(color_Celda(E394)=5296274,"VERDE",IF(color_Celda(E394)=16777215,"BLANCO","NO SE"))))</f>
        <v>ROSA</v>
      </c>
      <c r="W394" s="70">
        <v>0.46180555555555558</v>
      </c>
      <c r="X394" s="63" t="s">
        <v>1975</v>
      </c>
      <c r="Y394" s="63"/>
      <c r="Z394" s="118" t="s">
        <v>743</v>
      </c>
      <c r="AA394" s="118" t="s">
        <v>743</v>
      </c>
      <c r="AB394" s="118" t="s">
        <v>1173</v>
      </c>
      <c r="AC394" s="324"/>
    </row>
    <row r="395" spans="1:29" ht="60" customHeight="1">
      <c r="A395" s="63">
        <v>397</v>
      </c>
      <c r="B395" s="65">
        <v>45125</v>
      </c>
      <c r="C395" s="70">
        <v>0.39166666666666666</v>
      </c>
      <c r="D395" s="63" t="s">
        <v>1843</v>
      </c>
      <c r="E395" s="64" t="s">
        <v>2002</v>
      </c>
      <c r="F395" s="63">
        <v>3</v>
      </c>
      <c r="G395" s="63" t="s">
        <v>1435</v>
      </c>
      <c r="H395" s="208">
        <v>45134</v>
      </c>
      <c r="I395" s="65" t="s">
        <v>73</v>
      </c>
      <c r="J395" s="65" t="s">
        <v>78</v>
      </c>
      <c r="K395" s="63">
        <f>IFERROR(VLOOKUP(J395,Jueces!$A$1:$B$11,2,FALSE),"")</f>
        <v>8</v>
      </c>
      <c r="L395" s="63" t="s">
        <v>791</v>
      </c>
      <c r="M395" s="63" t="s">
        <v>694</v>
      </c>
      <c r="N395" s="63" t="s">
        <v>2012</v>
      </c>
      <c r="O395" s="63" t="str">
        <f ca="1">IF(H395&lt;&gt;"",IF(H395&lt;=TODAY(),"SI","NO"),"LIMBO")</f>
        <v>SI</v>
      </c>
      <c r="P395" s="63" t="str">
        <f>IF($P$1=H395,"DIASOL", "DIANOSOL")</f>
        <v>DIANOSOL</v>
      </c>
      <c r="Q395" s="63" t="s">
        <v>902</v>
      </c>
      <c r="R395" s="63" t="str">
        <f>VLOOKUP($Q395,Resultados!$A$1:$B$49,2,FALSE)</f>
        <v>Juicio Abreviado</v>
      </c>
      <c r="S395" s="70">
        <v>0.34513888888888888</v>
      </c>
      <c r="T395" s="72" t="str">
        <f>IF(G395=$J$1,"SI","NO")</f>
        <v>SI</v>
      </c>
      <c r="U395" s="72"/>
      <c r="V395" s="7" t="str">
        <f ca="1">IF(color_Celda(E395)=12106214,"ROSA",IF(color_Celda(E395)=65535,"AMARILLO",IF(color_Celda(E395)=5296274,"VERDE",IF(color_Celda(E395)=16777215,"BLANCO","NO SE"))))</f>
        <v>ROSA</v>
      </c>
      <c r="W395" s="70">
        <v>0.34930555555555554</v>
      </c>
      <c r="X395" s="63" t="s">
        <v>1498</v>
      </c>
      <c r="Y395" s="63"/>
      <c r="Z395" s="118" t="s">
        <v>1039</v>
      </c>
      <c r="AA395" s="118" t="s">
        <v>1165</v>
      </c>
      <c r="AB395" s="118" t="s">
        <v>1169</v>
      </c>
      <c r="AC395" s="324"/>
    </row>
    <row r="396" spans="1:29" ht="60" customHeight="1">
      <c r="A396" s="63">
        <v>405</v>
      </c>
      <c r="B396" s="65">
        <v>45126</v>
      </c>
      <c r="C396" s="70">
        <v>0.53333333333333333</v>
      </c>
      <c r="D396" s="63" t="s">
        <v>1873</v>
      </c>
      <c r="E396" s="64" t="s">
        <v>2006</v>
      </c>
      <c r="F396" s="63">
        <v>4</v>
      </c>
      <c r="G396" s="63" t="s">
        <v>1433</v>
      </c>
      <c r="H396" s="208">
        <v>45134</v>
      </c>
      <c r="I396" s="65" t="s">
        <v>73</v>
      </c>
      <c r="J396" s="65" t="s">
        <v>31</v>
      </c>
      <c r="K396" s="63">
        <f>IFERROR(VLOOKUP(J396,Jueces!$A$1:$B$11,2,FALSE),"")</f>
        <v>2</v>
      </c>
      <c r="L396" s="63" t="s">
        <v>789</v>
      </c>
      <c r="M396" s="63" t="s">
        <v>695</v>
      </c>
      <c r="N396" s="63" t="s">
        <v>1990</v>
      </c>
      <c r="O396" s="63" t="str">
        <f ca="1">IF(H396&lt;&gt;"",IF(H396&lt;=TODAY(),"SI","NO"),"LIMBO")</f>
        <v>SI</v>
      </c>
      <c r="P396" s="63" t="str">
        <f>IF($P$1=H396,"DIASOL", "DIANOSOL")</f>
        <v>DIANOSOL</v>
      </c>
      <c r="Q396" s="63" t="s">
        <v>902</v>
      </c>
      <c r="R396" s="63" t="str">
        <f>VLOOKUP($Q396,Resultados!$A$1:$B$49,2,FALSE)</f>
        <v>Juicio Abreviado</v>
      </c>
      <c r="S396" s="70">
        <v>0.3743055555555555</v>
      </c>
      <c r="T396" s="72" t="str">
        <f>IF(G396=$J$1,"SI","NO")</f>
        <v>NO</v>
      </c>
      <c r="U396" s="72"/>
      <c r="V396" s="7" t="str">
        <f ca="1">IF(color_Celda(E396)=12106214,"ROSA",IF(color_Celda(E396)=65535,"AMARILLO",IF(color_Celda(E396)=5296274,"VERDE",IF(color_Celda(E396)=16777215,"BLANCO","NO SE"))))</f>
        <v>ROSA</v>
      </c>
      <c r="W396" s="70">
        <v>0.38125000000000003</v>
      </c>
      <c r="X396" s="63"/>
      <c r="Y396" s="63"/>
      <c r="Z396" s="118" t="s">
        <v>748</v>
      </c>
      <c r="AA396" s="118" t="s">
        <v>1167</v>
      </c>
      <c r="AB396" s="118" t="s">
        <v>1171</v>
      </c>
      <c r="AC396" s="324"/>
    </row>
    <row r="397" spans="1:29" ht="60" customHeight="1">
      <c r="A397" s="63">
        <v>406</v>
      </c>
      <c r="B397" s="65">
        <v>45126</v>
      </c>
      <c r="C397" s="70">
        <v>0.42569444444444443</v>
      </c>
      <c r="D397" s="63" t="s">
        <v>1874</v>
      </c>
      <c r="E397" s="64" t="s">
        <v>2003</v>
      </c>
      <c r="F397" s="63">
        <v>5</v>
      </c>
      <c r="G397" s="63" t="s">
        <v>1434</v>
      </c>
      <c r="H397" s="208">
        <v>45134</v>
      </c>
      <c r="I397" s="65" t="s">
        <v>73</v>
      </c>
      <c r="J397" s="65" t="s">
        <v>35</v>
      </c>
      <c r="K397" s="63">
        <f>IFERROR(VLOOKUP(J397,Jueces!$A$1:$B$11,2,FALSE),"")</f>
        <v>3</v>
      </c>
      <c r="L397" s="63" t="s">
        <v>810</v>
      </c>
      <c r="M397" s="63" t="s">
        <v>1866</v>
      </c>
      <c r="N397" s="63" t="s">
        <v>621</v>
      </c>
      <c r="O397" s="63" t="str">
        <f ca="1">IF(H397&lt;&gt;"",IF(H397&lt;=TODAY(),"SI","NO"),"LIMBO")</f>
        <v>SI</v>
      </c>
      <c r="P397" s="63" t="str">
        <f>IF($P$1=H397,"DIASOL", "DIANOSOL")</f>
        <v>DIANOSOL</v>
      </c>
      <c r="Q397" s="63" t="s">
        <v>151</v>
      </c>
      <c r="R397" s="63" t="str">
        <f>VLOOKUP($Q397,Resultados!$A$1:$B$49,2,FALSE)</f>
        <v>Prisión Preventiva</v>
      </c>
      <c r="S397" s="70">
        <v>0.34861111111111115</v>
      </c>
      <c r="T397" s="72" t="str">
        <f>IF(G397=$J$1,"SI","NO")</f>
        <v>NO</v>
      </c>
      <c r="U397" s="72"/>
      <c r="V397" s="7" t="str">
        <f ca="1">IF(color_Celda(E397)=12106214,"ROSA",IF(color_Celda(E397)=65535,"AMARILLO",IF(color_Celda(E397)=5296274,"VERDE",IF(color_Celda(E397)=16777215,"BLANCO","NO SE"))))</f>
        <v>ROSA</v>
      </c>
      <c r="W397" s="70">
        <v>0.3611111111111111</v>
      </c>
      <c r="X397" s="63"/>
      <c r="Y397" s="63"/>
      <c r="Z397" s="118" t="s">
        <v>743</v>
      </c>
      <c r="AA397" s="118" t="s">
        <v>743</v>
      </c>
      <c r="AB397" s="118" t="s">
        <v>1173</v>
      </c>
      <c r="AC397" s="324"/>
    </row>
    <row r="398" spans="1:29" ht="60" customHeight="1">
      <c r="A398" s="63">
        <v>407</v>
      </c>
      <c r="B398" s="65">
        <v>45126</v>
      </c>
      <c r="C398" s="70">
        <v>0.50347222222222221</v>
      </c>
      <c r="D398" s="63" t="s">
        <v>1876</v>
      </c>
      <c r="E398" s="64" t="s">
        <v>2004</v>
      </c>
      <c r="F398" s="63">
        <v>7</v>
      </c>
      <c r="G398" s="63" t="s">
        <v>32</v>
      </c>
      <c r="H398" s="208">
        <v>45134</v>
      </c>
      <c r="I398" s="65" t="s">
        <v>73</v>
      </c>
      <c r="J398" s="65" t="s">
        <v>33</v>
      </c>
      <c r="K398" s="63">
        <f>IFERROR(VLOOKUP(J398,Jueces!$A$1:$B$11,2,FALSE),"")</f>
        <v>4</v>
      </c>
      <c r="L398" s="63" t="s">
        <v>811</v>
      </c>
      <c r="M398" s="63" t="s">
        <v>1877</v>
      </c>
      <c r="N398" s="63" t="s">
        <v>1744</v>
      </c>
      <c r="O398" s="63" t="str">
        <f ca="1">IF(H398&lt;&gt;"",IF(H398&lt;=TODAY(),"SI","NO"),"LIMBO")</f>
        <v>SI</v>
      </c>
      <c r="P398" s="63" t="str">
        <f>IF($P$1=H398,"DIASOL", "DIANOSOL")</f>
        <v>DIANOSOL</v>
      </c>
      <c r="Q398" s="63" t="s">
        <v>151</v>
      </c>
      <c r="R398" s="63" t="str">
        <f>VLOOKUP($Q398,Resultados!$A$1:$B$49,2,FALSE)</f>
        <v>Prisión Preventiva</v>
      </c>
      <c r="S398" s="70">
        <v>0.38194444444444442</v>
      </c>
      <c r="T398" s="72" t="str">
        <f>IF(G398=$J$1,"SI","NO")</f>
        <v>NO</v>
      </c>
      <c r="U398" s="72"/>
      <c r="V398" s="7" t="str">
        <f ca="1">IF(color_Celda(E398)=12106214,"ROSA",IF(color_Celda(E398)=65535,"AMARILLO",IF(color_Celda(E398)=5296274,"VERDE",IF(color_Celda(E398)=16777215,"BLANCO","NO SE"))))</f>
        <v>ROSA</v>
      </c>
      <c r="W398" s="70">
        <v>0.40763888888888888</v>
      </c>
      <c r="X398" s="63"/>
      <c r="Y398" s="63"/>
      <c r="Z398" s="118" t="s">
        <v>770</v>
      </c>
      <c r="AA398" s="118" t="s">
        <v>1165</v>
      </c>
      <c r="AB398" s="118" t="s">
        <v>1172</v>
      </c>
      <c r="AC398" s="324"/>
    </row>
    <row r="399" spans="1:29" ht="60" customHeight="1">
      <c r="A399" s="63">
        <v>416</v>
      </c>
      <c r="B399" s="65">
        <v>45128</v>
      </c>
      <c r="C399" s="70">
        <v>0.33333333333333331</v>
      </c>
      <c r="D399" s="63" t="s">
        <v>1920</v>
      </c>
      <c r="E399" s="64" t="s">
        <v>2005</v>
      </c>
      <c r="F399" s="63">
        <v>4</v>
      </c>
      <c r="G399" s="63" t="s">
        <v>29</v>
      </c>
      <c r="H399" s="208">
        <v>45134</v>
      </c>
      <c r="I399" s="65" t="s">
        <v>1083</v>
      </c>
      <c r="J399" s="65" t="s">
        <v>1219</v>
      </c>
      <c r="K399" s="63" t="s">
        <v>1916</v>
      </c>
      <c r="L399" s="63" t="s">
        <v>1992</v>
      </c>
      <c r="M399" s="63" t="s">
        <v>1991</v>
      </c>
      <c r="N399" s="63" t="s">
        <v>621</v>
      </c>
      <c r="O399" s="63" t="str">
        <f ca="1">IF(H399&lt;&gt;"",IF(H399&lt;=TODAY(),"SI","NO"),"LIMBO")</f>
        <v>SI</v>
      </c>
      <c r="P399" s="63" t="str">
        <f>IF($P$1=H399,"DIASOL", "DIANOSOL")</f>
        <v>DIANOSOL</v>
      </c>
      <c r="Q399" s="63" t="s">
        <v>151</v>
      </c>
      <c r="R399" s="63" t="str">
        <f>VLOOKUP($Q399,Resultados!$A$1:$B$49,2,FALSE)</f>
        <v>Prisión Preventiva</v>
      </c>
      <c r="S399" s="70">
        <v>0.39583333333333331</v>
      </c>
      <c r="T399" s="72" t="str">
        <f>IF(G399=$J$1,"SI","NO")</f>
        <v>NO</v>
      </c>
      <c r="U399" s="72"/>
      <c r="V399" s="7" t="str">
        <f ca="1">IF(color_Celda(E399)=12106214,"ROSA",IF(color_Celda(E399)=65535,"AMARILLO",IF(color_Celda(E399)=5296274,"VERDE",IF(color_Celda(E399)=16777215,"BLANCO","NO SE"))))</f>
        <v>ROSA</v>
      </c>
      <c r="W399" s="70">
        <v>0.42777777777777781</v>
      </c>
      <c r="X399" s="63"/>
      <c r="Y399" s="63"/>
      <c r="Z399" s="118" t="s">
        <v>1038</v>
      </c>
      <c r="AA399" s="118" t="s">
        <v>1165</v>
      </c>
      <c r="AB399" s="118" t="s">
        <v>1170</v>
      </c>
      <c r="AC399" s="324"/>
    </row>
    <row r="400" spans="1:29" ht="60" customHeight="1">
      <c r="A400" s="63">
        <v>383</v>
      </c>
      <c r="B400" s="65">
        <v>45119</v>
      </c>
      <c r="C400" s="70">
        <v>0.4770833333333333</v>
      </c>
      <c r="D400" s="63" t="s">
        <v>1758</v>
      </c>
      <c r="E400" s="64" t="s">
        <v>2007</v>
      </c>
      <c r="F400" s="63">
        <v>3</v>
      </c>
      <c r="G400" s="63" t="s">
        <v>1433</v>
      </c>
      <c r="H400" s="208">
        <v>45135</v>
      </c>
      <c r="I400" s="65" t="s">
        <v>73</v>
      </c>
      <c r="J400" s="65" t="s">
        <v>1220</v>
      </c>
      <c r="K400" s="63" t="s">
        <v>1341</v>
      </c>
      <c r="L400" s="63" t="s">
        <v>802</v>
      </c>
      <c r="M400" s="63" t="s">
        <v>2022</v>
      </c>
      <c r="N400" s="63" t="s">
        <v>2018</v>
      </c>
      <c r="O400" s="63" t="str">
        <f ca="1">IF(H400&lt;&gt;"",IF(H400&lt;=TODAY(),"SI","NO"),"LIMBO")</f>
        <v>SI</v>
      </c>
      <c r="P400" s="63" t="str">
        <f>IF($P$1=H400,"DIASOL", "DIANOSOL")</f>
        <v>DIANOSOL</v>
      </c>
      <c r="Q400" s="63" t="s">
        <v>151</v>
      </c>
      <c r="R400" s="63" t="str">
        <f>VLOOKUP($Q400,Resultados!$A$1:$B$49,2,FALSE)</f>
        <v>Prisión Preventiva</v>
      </c>
      <c r="S400" s="70">
        <v>0.36041666666666666</v>
      </c>
      <c r="T400" s="72" t="str">
        <f>IF(G400=$J$1,"SI","NO")</f>
        <v>NO</v>
      </c>
      <c r="U400" s="72"/>
      <c r="V400" s="7" t="str">
        <f ca="1">IF(color_Celda(E400)=12106214,"ROSA",IF(color_Celda(E400)=65535,"AMARILLO",IF(color_Celda(E400)=5296274,"VERDE",IF(color_Celda(E400)=16777215,"BLANCO","NO SE"))))</f>
        <v>ROSA</v>
      </c>
      <c r="W400" s="70">
        <v>0.37708333333333338</v>
      </c>
      <c r="X400" s="63" t="s">
        <v>2017</v>
      </c>
      <c r="Y400" s="63"/>
      <c r="Z400" s="118" t="s">
        <v>1039</v>
      </c>
      <c r="AA400" s="118" t="s">
        <v>1167</v>
      </c>
      <c r="AB400" s="118" t="s">
        <v>1169</v>
      </c>
      <c r="AC400" s="324"/>
    </row>
    <row r="401" spans="1:29" ht="60" customHeight="1">
      <c r="A401" s="63">
        <v>404</v>
      </c>
      <c r="B401" s="65">
        <v>45126</v>
      </c>
      <c r="C401" s="70">
        <v>0.52638888888888891</v>
      </c>
      <c r="D401" s="63" t="s">
        <v>1872</v>
      </c>
      <c r="E401" s="64" t="s">
        <v>2008</v>
      </c>
      <c r="F401" s="63">
        <v>2</v>
      </c>
      <c r="G401" s="63" t="s">
        <v>283</v>
      </c>
      <c r="H401" s="208">
        <v>45135</v>
      </c>
      <c r="I401" s="65" t="s">
        <v>73</v>
      </c>
      <c r="J401" s="65" t="s">
        <v>31</v>
      </c>
      <c r="K401" s="63">
        <f>IFERROR(VLOOKUP(J401,Jueces!$A$1:$B$11,2,FALSE),"")</f>
        <v>2</v>
      </c>
      <c r="L401" s="63" t="s">
        <v>811</v>
      </c>
      <c r="M401" s="63" t="s">
        <v>1829</v>
      </c>
      <c r="N401" s="63" t="s">
        <v>577</v>
      </c>
      <c r="O401" s="63" t="str">
        <f ca="1">IF(H401&lt;&gt;"",IF(H401&lt;=TODAY(),"SI","NO"),"LIMBO")</f>
        <v>SI</v>
      </c>
      <c r="P401" s="63" t="str">
        <f>IF($P$1=H401,"DIASOL", "DIANOSOL")</f>
        <v>DIANOSOL</v>
      </c>
      <c r="Q401" s="63" t="s">
        <v>151</v>
      </c>
      <c r="R401" s="63" t="str">
        <f>VLOOKUP($Q401,Resultados!$A$1:$B$49,2,FALSE)</f>
        <v>Prisión Preventiva</v>
      </c>
      <c r="S401" s="70">
        <v>0.35902777777777778</v>
      </c>
      <c r="T401" s="72" t="str">
        <f>IF(G401=$J$1,"SI","NO")</f>
        <v>NO</v>
      </c>
      <c r="U401" s="72"/>
      <c r="V401" s="7" t="str">
        <f ca="1">IF(color_Celda(E401)=12106214,"ROSA",IF(color_Celda(E401)=65535,"AMARILLO",IF(color_Celda(E401)=5296274,"VERDE",IF(color_Celda(E401)=16777215,"BLANCO","NO SE"))))</f>
        <v>ROSA</v>
      </c>
      <c r="W401" s="70">
        <v>0.37083333333333335</v>
      </c>
      <c r="X401" s="63" t="s">
        <v>2016</v>
      </c>
      <c r="Y401" s="63"/>
      <c r="Z401" s="118" t="s">
        <v>748</v>
      </c>
      <c r="AA401" s="118" t="s">
        <v>743</v>
      </c>
      <c r="AB401" s="118" t="s">
        <v>1171</v>
      </c>
      <c r="AC401" s="324"/>
    </row>
    <row r="402" spans="1:29" ht="60" customHeight="1">
      <c r="A402" s="63">
        <v>414</v>
      </c>
      <c r="B402" s="65">
        <v>45128</v>
      </c>
      <c r="C402" s="70">
        <v>0.4465277777777778</v>
      </c>
      <c r="D402" s="63" t="s">
        <v>1918</v>
      </c>
      <c r="E402" s="64" t="s">
        <v>2009</v>
      </c>
      <c r="F402" s="63">
        <v>5</v>
      </c>
      <c r="G402" s="63" t="s">
        <v>43</v>
      </c>
      <c r="H402" s="208">
        <v>45135</v>
      </c>
      <c r="I402" s="65" t="s">
        <v>73</v>
      </c>
      <c r="J402" s="65" t="s">
        <v>1221</v>
      </c>
      <c r="K402" s="63">
        <f>IFERROR(VLOOKUP(J402,Jueces!$A$1:$B$11,2,FALSE),"")</f>
        <v>6</v>
      </c>
      <c r="L402" s="63" t="s">
        <v>789</v>
      </c>
      <c r="M402" s="63" t="s">
        <v>1866</v>
      </c>
      <c r="N402" s="63" t="s">
        <v>897</v>
      </c>
      <c r="O402" s="63" t="str">
        <f ca="1">IF(H402&lt;&gt;"",IF(H402&lt;=TODAY(),"SI","NO"),"LIMBO")</f>
        <v>SI</v>
      </c>
      <c r="P402" s="63" t="str">
        <f>IF($P$1=H402,"DIASOL", "DIANOSOL")</f>
        <v>DIANOSOL</v>
      </c>
      <c r="Q402" s="63" t="s">
        <v>897</v>
      </c>
      <c r="R402" s="63" t="str">
        <f>VLOOKUP($Q402,Resultados!$A$1:$B$49,2,FALSE)</f>
        <v>Libertad</v>
      </c>
      <c r="S402" s="70">
        <v>0.3354166666666667</v>
      </c>
      <c r="T402" s="72" t="str">
        <f>IF(G402=$J$1,"SI","NO")</f>
        <v>NO</v>
      </c>
      <c r="U402" s="72"/>
      <c r="V402" s="7" t="str">
        <f ca="1">IF(color_Celda(E402)=12106214,"ROSA",IF(color_Celda(E402)=65535,"AMARILLO",IF(color_Celda(E402)=5296274,"VERDE",IF(color_Celda(E402)=16777215,"BLANCO","NO SE"))))</f>
        <v>ROSA</v>
      </c>
      <c r="W402" s="70">
        <v>0.37986111111111115</v>
      </c>
      <c r="X402" s="63"/>
      <c r="Y402" s="63"/>
      <c r="Z402" s="118" t="s">
        <v>743</v>
      </c>
      <c r="AA402" s="118" t="s">
        <v>1165</v>
      </c>
      <c r="AB402" s="118" t="s">
        <v>1173</v>
      </c>
      <c r="AC402" s="324"/>
    </row>
    <row r="403" spans="1:29" ht="60" customHeight="1">
      <c r="A403" s="63">
        <v>401</v>
      </c>
      <c r="B403" s="65">
        <v>45125</v>
      </c>
      <c r="C403" s="70">
        <v>0.52708333333333335</v>
      </c>
      <c r="D403" s="63" t="s">
        <v>1863</v>
      </c>
      <c r="E403" s="64" t="s">
        <v>2010</v>
      </c>
      <c r="F403" s="63">
        <v>4</v>
      </c>
      <c r="G403" s="63" t="s">
        <v>1435</v>
      </c>
      <c r="H403" s="208">
        <v>45135</v>
      </c>
      <c r="I403" s="65" t="s">
        <v>1083</v>
      </c>
      <c r="J403" s="65" t="s">
        <v>1219</v>
      </c>
      <c r="K403" s="63" t="s">
        <v>1483</v>
      </c>
      <c r="L403" s="63" t="s">
        <v>811</v>
      </c>
      <c r="M403" s="63" t="s">
        <v>695</v>
      </c>
      <c r="N403" s="63" t="s">
        <v>2021</v>
      </c>
      <c r="O403" s="63" t="str">
        <f ca="1">IF(H403&lt;&gt;"",IF(H403&lt;=TODAY(),"SI","NO"),"LIMBO")</f>
        <v>SI</v>
      </c>
      <c r="P403" s="63" t="str">
        <f>IF($P$1=H403,"DIASOL", "DIANOSOL")</f>
        <v>DIANOSOL</v>
      </c>
      <c r="Q403" s="63" t="s">
        <v>902</v>
      </c>
      <c r="R403" s="63" t="str">
        <f>VLOOKUP($Q403,Resultados!$A$1:$B$49,2,FALSE)</f>
        <v>Juicio Abreviado</v>
      </c>
      <c r="S403" s="63" t="s">
        <v>1601</v>
      </c>
      <c r="T403" s="72" t="str">
        <f>IF(G403=$J$1,"SI","NO")</f>
        <v>SI</v>
      </c>
      <c r="U403" s="72"/>
      <c r="V403" s="7" t="str">
        <f ca="1">IF(color_Celda(E403)=12106214,"ROSA",IF(color_Celda(E403)=65535,"AMARILLO",IF(color_Celda(E403)=5296274,"VERDE",IF(color_Celda(E403)=16777215,"BLANCO","NO SE"))))</f>
        <v>ROSA</v>
      </c>
      <c r="W403" s="63" t="s">
        <v>1332</v>
      </c>
      <c r="X403" s="63" t="s">
        <v>1498</v>
      </c>
      <c r="Y403" s="63"/>
      <c r="Z403" s="118" t="s">
        <v>770</v>
      </c>
      <c r="AA403" s="118" t="s">
        <v>1165</v>
      </c>
      <c r="AB403" s="118" t="s">
        <v>1169</v>
      </c>
      <c r="AC403" s="324"/>
    </row>
    <row r="404" spans="1:29" ht="60" customHeight="1">
      <c r="A404" s="63">
        <v>410</v>
      </c>
      <c r="B404" s="65">
        <v>45127</v>
      </c>
      <c r="C404" s="70">
        <v>0.54166666666666663</v>
      </c>
      <c r="D404" s="63" t="s">
        <v>1897</v>
      </c>
      <c r="E404" s="64" t="s">
        <v>2060</v>
      </c>
      <c r="F404" s="63">
        <v>4</v>
      </c>
      <c r="G404" s="63" t="s">
        <v>1434</v>
      </c>
      <c r="H404" s="208">
        <v>45135</v>
      </c>
      <c r="I404" s="65" t="s">
        <v>1083</v>
      </c>
      <c r="J404" s="65" t="s">
        <v>1216</v>
      </c>
      <c r="K404" s="63" t="s">
        <v>1916</v>
      </c>
      <c r="L404" s="63" t="s">
        <v>810</v>
      </c>
      <c r="M404" s="63" t="s">
        <v>2013</v>
      </c>
      <c r="N404" s="63" t="s">
        <v>2014</v>
      </c>
      <c r="O404" s="63" t="str">
        <f ca="1">IF(H404&lt;&gt;"",IF(H404&lt;=TODAY(),"SI","NO"),"LIMBO")</f>
        <v>SI</v>
      </c>
      <c r="P404" s="63" t="str">
        <f>IF($P$1=H404,"DIASOL", "DIANOSOL")</f>
        <v>DIANOSOL</v>
      </c>
      <c r="Q404" s="63" t="s">
        <v>902</v>
      </c>
      <c r="R404" s="63" t="str">
        <f>VLOOKUP($Q404,Resultados!$A$1:$B$49,2,FALSE)</f>
        <v>Juicio Abreviado</v>
      </c>
      <c r="S404" s="70">
        <v>0.38125000000000003</v>
      </c>
      <c r="T404" s="72" t="str">
        <f>IF(G404=$J$1,"SI","NO")</f>
        <v>NO</v>
      </c>
      <c r="U404" s="72"/>
      <c r="V404" s="7" t="str">
        <f ca="1">IF(color_Celda(E404)=12106214,"ROSA",IF(color_Celda(E404)=65535,"AMARILLO",IF(color_Celda(E404)=5296274,"VERDE",IF(color_Celda(E404)=16777215,"BLANCO","NO SE"))))</f>
        <v>ROSA</v>
      </c>
      <c r="W404" s="70">
        <v>0.3923611111111111</v>
      </c>
      <c r="X404" s="63" t="s">
        <v>2015</v>
      </c>
      <c r="Y404" s="63"/>
      <c r="Z404" s="118" t="s">
        <v>1038</v>
      </c>
      <c r="AA404" s="118" t="s">
        <v>743</v>
      </c>
      <c r="AB404" s="118" t="s">
        <v>1170</v>
      </c>
      <c r="AC404" s="324"/>
    </row>
    <row r="405" spans="1:29" ht="60" customHeight="1">
      <c r="A405" s="63">
        <v>412</v>
      </c>
      <c r="B405" s="65">
        <v>45127</v>
      </c>
      <c r="C405" s="70">
        <v>0.47500000000000003</v>
      </c>
      <c r="D405" s="63" t="s">
        <v>1899</v>
      </c>
      <c r="E405" s="64" t="s">
        <v>2059</v>
      </c>
      <c r="F405" s="63">
        <v>3</v>
      </c>
      <c r="G405" s="63" t="s">
        <v>568</v>
      </c>
      <c r="H405" s="208">
        <v>45135</v>
      </c>
      <c r="I405" s="65" t="s">
        <v>1083</v>
      </c>
      <c r="J405" s="65" t="s">
        <v>1217</v>
      </c>
      <c r="K405" s="63">
        <f>IFERROR(VLOOKUP(J405,Jueces!$A$1:$B$11,2,FALSE),"")</f>
        <v>7</v>
      </c>
      <c r="L405" s="63" t="s">
        <v>508</v>
      </c>
      <c r="M405" s="63" t="s">
        <v>1829</v>
      </c>
      <c r="N405" s="63" t="s">
        <v>577</v>
      </c>
      <c r="O405" s="63" t="str">
        <f ca="1">IF(H405&lt;&gt;"",IF(H405&lt;=TODAY(),"SI","NO"),"LIMBO")</f>
        <v>SI</v>
      </c>
      <c r="P405" s="63" t="str">
        <f>IF($P$1=H405,"DIASOL", "DIANOSOL")</f>
        <v>DIANOSOL</v>
      </c>
      <c r="Q405" s="63" t="s">
        <v>151</v>
      </c>
      <c r="R405" s="63" t="str">
        <f>VLOOKUP($Q405,Resultados!$A$1:$B$49,2,FALSE)</f>
        <v>Prisión Preventiva</v>
      </c>
      <c r="S405" s="70">
        <v>0.39583333333333331</v>
      </c>
      <c r="T405" s="72" t="str">
        <f>IF(G405=$J$1,"SI","NO")</f>
        <v>NO</v>
      </c>
      <c r="U405" s="72"/>
      <c r="V405" s="7" t="str">
        <f ca="1">IF(color_Celda(E405)=12106214,"ROSA",IF(color_Celda(E405)=65535,"AMARILLO",IF(color_Celda(E405)=5296274,"VERDE",IF(color_Celda(E405)=16777215,"BLANCO","NO SE"))))</f>
        <v>ROSA</v>
      </c>
      <c r="W405" s="70">
        <v>0.40833333333333338</v>
      </c>
      <c r="X405" s="63"/>
      <c r="Y405" s="63"/>
      <c r="Z405" s="118" t="s">
        <v>1039</v>
      </c>
      <c r="AA405" s="118" t="s">
        <v>1167</v>
      </c>
      <c r="AB405" s="118" t="s">
        <v>1172</v>
      </c>
      <c r="AC405" s="324"/>
    </row>
    <row r="406" spans="1:29" ht="60" customHeight="1">
      <c r="A406" s="63">
        <v>369</v>
      </c>
      <c r="B406" s="65">
        <v>45114</v>
      </c>
      <c r="C406" s="70">
        <v>0.47638888888888892</v>
      </c>
      <c r="D406" s="63" t="s">
        <v>1689</v>
      </c>
      <c r="E406" s="64" t="s">
        <v>1690</v>
      </c>
      <c r="F406" s="63">
        <v>4</v>
      </c>
      <c r="G406" s="63" t="s">
        <v>1433</v>
      </c>
      <c r="H406" s="208">
        <v>45138</v>
      </c>
      <c r="I406" s="65" t="s">
        <v>73</v>
      </c>
      <c r="J406" s="65" t="s">
        <v>31</v>
      </c>
      <c r="K406" s="63">
        <f>IFERROR(VLOOKUP(J406,Jueces!$A$1:$B$11,2,FALSE),"")</f>
        <v>2</v>
      </c>
      <c r="L406" s="63" t="s">
        <v>802</v>
      </c>
      <c r="M406" s="63" t="s">
        <v>695</v>
      </c>
      <c r="N406" s="63" t="s">
        <v>2031</v>
      </c>
      <c r="O406" s="63" t="str">
        <f ca="1">IF(H406&lt;&gt;"",IF(H406&lt;=TODAY(),"SI","NO"),"LIMBO")</f>
        <v>SI</v>
      </c>
      <c r="P406" s="63" t="str">
        <f>IF($P$1=H406,"DIASOL", "DIANOSOL")</f>
        <v>DIANOSOL</v>
      </c>
      <c r="Q406" s="63" t="s">
        <v>902</v>
      </c>
      <c r="R406" s="63" t="str">
        <f>VLOOKUP($Q406,Resultados!$A$1:$B$49,2,FALSE)</f>
        <v>Juicio Abreviado</v>
      </c>
      <c r="S406" s="63" t="s">
        <v>73</v>
      </c>
      <c r="T406" s="72" t="str">
        <f>IF(G406=$J$1,"SI","NO")</f>
        <v>NO</v>
      </c>
      <c r="U406" s="72"/>
      <c r="V406" s="7" t="str">
        <f ca="1">IF(color_Celda(E406)=12106214,"ROSA",IF(color_Celda(E406)=65535,"AMARILLO",IF(color_Celda(E406)=5296274,"VERDE",IF(color_Celda(E406)=16777215,"BLANCO","NO SE"))))</f>
        <v>ROSA</v>
      </c>
      <c r="W406" s="63" t="s">
        <v>1007</v>
      </c>
      <c r="X406" s="536" t="s">
        <v>2049</v>
      </c>
      <c r="Y406" s="63"/>
      <c r="Z406" s="118" t="s">
        <v>748</v>
      </c>
      <c r="AA406" s="118" t="s">
        <v>1167</v>
      </c>
      <c r="AB406" s="118" t="s">
        <v>1171</v>
      </c>
      <c r="AC406" s="324"/>
    </row>
    <row r="407" spans="1:29" ht="60" customHeight="1">
      <c r="A407" s="63">
        <v>396</v>
      </c>
      <c r="B407" s="65">
        <v>45124</v>
      </c>
      <c r="C407" s="70">
        <v>0.53194444444444444</v>
      </c>
      <c r="D407" s="63" t="s">
        <v>1840</v>
      </c>
      <c r="E407" s="64" t="s">
        <v>1839</v>
      </c>
      <c r="F407" s="63">
        <v>3</v>
      </c>
      <c r="G407" s="63" t="s">
        <v>32</v>
      </c>
      <c r="H407" s="208">
        <v>45138</v>
      </c>
      <c r="I407" s="65" t="s">
        <v>73</v>
      </c>
      <c r="J407" s="65" t="s">
        <v>1219</v>
      </c>
      <c r="K407" s="63" t="s">
        <v>1341</v>
      </c>
      <c r="L407" s="63" t="s">
        <v>797</v>
      </c>
      <c r="M407" s="63" t="s">
        <v>2036</v>
      </c>
      <c r="N407" s="63" t="s">
        <v>2037</v>
      </c>
      <c r="O407" s="63" t="str">
        <f ca="1">IF(H407&lt;&gt;"",IF(H407&lt;=TODAY(),"SI","NO"),"LIMBO")</f>
        <v>SI</v>
      </c>
      <c r="P407" s="63" t="str">
        <f>IF($P$1=H407,"DIASOL", "DIANOSOL")</f>
        <v>DIANOSOL</v>
      </c>
      <c r="Q407" s="63" t="s">
        <v>903</v>
      </c>
      <c r="R407" s="63" t="str">
        <f>VLOOKUP($Q407,Resultados!$A$1:$B$49,2,FALSE)</f>
        <v>Juicio Abreviado</v>
      </c>
      <c r="S407" s="70">
        <v>0.35416666666666669</v>
      </c>
      <c r="T407" s="72" t="str">
        <f>IF(G407=$J$1,"SI","NO")</f>
        <v>NO</v>
      </c>
      <c r="U407" s="72"/>
      <c r="V407" s="7" t="str">
        <f ca="1">IF(color_Celda(E407)=12106214,"ROSA",IF(color_Celda(E407)=65535,"AMARILLO",IF(color_Celda(E407)=5296274,"VERDE",IF(color_Celda(E407)=16777215,"BLANCO","NO SE"))))</f>
        <v>ROSA</v>
      </c>
      <c r="W407" s="70">
        <v>0.37361111111111112</v>
      </c>
      <c r="X407" s="63" t="s">
        <v>2038</v>
      </c>
      <c r="Y407" s="63"/>
      <c r="Z407" s="118" t="s">
        <v>743</v>
      </c>
      <c r="AA407" s="118" t="s">
        <v>743</v>
      </c>
      <c r="AB407" s="118" t="s">
        <v>1169</v>
      </c>
      <c r="AC407" s="324"/>
    </row>
    <row r="408" spans="1:29" ht="60" customHeight="1">
      <c r="A408" s="63">
        <v>411</v>
      </c>
      <c r="B408" s="65">
        <v>45127</v>
      </c>
      <c r="C408" s="70">
        <v>0.52916666666666667</v>
      </c>
      <c r="D408" s="63" t="s">
        <v>1898</v>
      </c>
      <c r="E408" s="64" t="s">
        <v>1921</v>
      </c>
      <c r="F408" s="63">
        <v>5</v>
      </c>
      <c r="G408" s="63" t="s">
        <v>283</v>
      </c>
      <c r="H408" s="208">
        <v>45138</v>
      </c>
      <c r="I408" s="65" t="s">
        <v>73</v>
      </c>
      <c r="J408" s="65" t="s">
        <v>35</v>
      </c>
      <c r="K408" s="63">
        <f>IFERROR(VLOOKUP(J408,Jueces!$A$1:$B$11,2,FALSE),"")</f>
        <v>3</v>
      </c>
      <c r="L408" s="63" t="s">
        <v>807</v>
      </c>
      <c r="M408" s="63" t="s">
        <v>1866</v>
      </c>
      <c r="N408" s="63" t="s">
        <v>2050</v>
      </c>
      <c r="O408" s="63" t="str">
        <f ca="1">IF(H408&lt;&gt;"",IF(H408&lt;=TODAY(),"SI","NO"),"LIMBO")</f>
        <v>SI</v>
      </c>
      <c r="P408" s="63" t="str">
        <f>IF($P$1=H408,"DIASOL", "DIANOSOL")</f>
        <v>DIANOSOL</v>
      </c>
      <c r="Q408" s="63" t="s">
        <v>902</v>
      </c>
      <c r="R408" s="63" t="str">
        <f>VLOOKUP($Q408,Resultados!$A$1:$B$49,2,FALSE)</f>
        <v>Juicio Abreviado</v>
      </c>
      <c r="S408" s="63" t="s">
        <v>686</v>
      </c>
      <c r="T408" s="72" t="str">
        <f>IF(G408=$J$1,"SI","NO")</f>
        <v>NO</v>
      </c>
      <c r="U408" s="72"/>
      <c r="V408" s="7" t="str">
        <f ca="1">IF(color_Celda(E408)=12106214,"ROSA",IF(color_Celda(E408)=65535,"AMARILLO",IF(color_Celda(E408)=5296274,"VERDE",IF(color_Celda(E408)=16777215,"BLANCO","NO SE"))))</f>
        <v>ROSA</v>
      </c>
      <c r="W408" s="63" t="s">
        <v>1287</v>
      </c>
      <c r="X408" s="169" t="s">
        <v>2051</v>
      </c>
      <c r="Y408" s="63"/>
      <c r="Z408" s="118" t="s">
        <v>1038</v>
      </c>
      <c r="AA408" s="118" t="s">
        <v>1167</v>
      </c>
      <c r="AB408" s="118" t="s">
        <v>1170</v>
      </c>
      <c r="AC408" s="324"/>
    </row>
    <row r="409" spans="1:29" ht="60" customHeight="1">
      <c r="A409" s="63">
        <v>415</v>
      </c>
      <c r="B409" s="65">
        <v>45128</v>
      </c>
      <c r="C409" s="70">
        <v>0.33333333333333331</v>
      </c>
      <c r="D409" s="63" t="s">
        <v>1919</v>
      </c>
      <c r="E409" s="64" t="s">
        <v>2061</v>
      </c>
      <c r="F409" s="63">
        <v>4</v>
      </c>
      <c r="G409" s="63" t="s">
        <v>29</v>
      </c>
      <c r="H409" s="208">
        <v>45138</v>
      </c>
      <c r="I409" s="65" t="s">
        <v>73</v>
      </c>
      <c r="J409" s="65" t="s">
        <v>78</v>
      </c>
      <c r="K409" s="63">
        <f>IFERROR(VLOOKUP(J409,Jueces!$A$1:$B$11,2,FALSE),"")</f>
        <v>8</v>
      </c>
      <c r="L409" s="63" t="s">
        <v>792</v>
      </c>
      <c r="M409" s="63" t="s">
        <v>1829</v>
      </c>
      <c r="N409" s="63" t="s">
        <v>2048</v>
      </c>
      <c r="O409" s="63" t="str">
        <f ca="1">IF(H409&lt;&gt;"",IF(H409&lt;=TODAY(),"SI","NO"),"LIMBO")</f>
        <v>SI</v>
      </c>
      <c r="P409" s="63" t="str">
        <f>IF($P$1=H409,"DIASOL", "DIANOSOL")</f>
        <v>DIANOSOL</v>
      </c>
      <c r="Q409" s="63" t="s">
        <v>903</v>
      </c>
      <c r="R409" s="63" t="str">
        <f>VLOOKUP($Q409,Resultados!$A$1:$B$49,2,FALSE)</f>
        <v>Juicio Abreviado</v>
      </c>
      <c r="S409" s="63" t="s">
        <v>2047</v>
      </c>
      <c r="T409" s="72" t="str">
        <f>IF(G409=$J$1,"SI","NO")</f>
        <v>NO</v>
      </c>
      <c r="U409" s="72"/>
      <c r="V409" s="7" t="str">
        <f ca="1">IF(color_Celda(E409)=12106214,"ROSA",IF(color_Celda(E409)=65535,"AMARILLO",IF(color_Celda(E409)=5296274,"VERDE",IF(color_Celda(E409)=16777215,"BLANCO","NO SE"))))</f>
        <v>ROSA</v>
      </c>
      <c r="W409" s="63" t="s">
        <v>1275</v>
      </c>
      <c r="X409" s="365"/>
      <c r="Y409" s="63"/>
      <c r="Z409" s="118" t="s">
        <v>1039</v>
      </c>
      <c r="AA409" s="118" t="s">
        <v>1165</v>
      </c>
      <c r="AB409" s="118" t="s">
        <v>1172</v>
      </c>
      <c r="AC409" s="324"/>
    </row>
    <row r="410" spans="1:29" ht="60" customHeight="1">
      <c r="A410" s="63">
        <v>409</v>
      </c>
      <c r="B410" s="65">
        <v>45127</v>
      </c>
      <c r="C410" s="70">
        <v>0.4604166666666667</v>
      </c>
      <c r="D410" s="63" t="s">
        <v>1900</v>
      </c>
      <c r="E410" s="64" t="s">
        <v>1896</v>
      </c>
      <c r="F410" s="63">
        <v>2</v>
      </c>
      <c r="G410" s="63" t="s">
        <v>43</v>
      </c>
      <c r="H410" s="208">
        <v>45138</v>
      </c>
      <c r="I410" s="65" t="s">
        <v>1083</v>
      </c>
      <c r="J410" s="65" t="s">
        <v>1217</v>
      </c>
      <c r="K410" s="63">
        <f>IFERROR(VLOOKUP(J410,Jueces!$A$1:$B$11,2,FALSE),"")</f>
        <v>7</v>
      </c>
      <c r="L410" s="63" t="s">
        <v>800</v>
      </c>
      <c r="M410" s="193" t="s">
        <v>695</v>
      </c>
      <c r="N410" s="63" t="s">
        <v>1744</v>
      </c>
      <c r="O410" s="63" t="str">
        <f ca="1">IF(H410&lt;&gt;"",IF(H410&lt;=TODAY(),"SI","NO"),"LIMBO")</f>
        <v>SI</v>
      </c>
      <c r="P410" s="63" t="str">
        <f>IF($P$1=H410,"DIASOL", "DIANOSOL")</f>
        <v>DIANOSOL</v>
      </c>
      <c r="Q410" s="63" t="s">
        <v>151</v>
      </c>
      <c r="R410" s="63" t="str">
        <f>VLOOKUP($Q410,Resultados!$A$1:$B$49,2,FALSE)</f>
        <v>Prisión Preventiva</v>
      </c>
      <c r="S410" s="70">
        <v>0.42499999999999999</v>
      </c>
      <c r="T410" s="72" t="str">
        <f>IF(G410=$J$1,"SI","NO")</f>
        <v>NO</v>
      </c>
      <c r="U410" s="72"/>
      <c r="V410" s="7" t="str">
        <f ca="1">IF(color_Celda(E410)=12106214,"ROSA",IF(color_Celda(E410)=65535,"AMARILLO",IF(color_Celda(E410)=5296274,"VERDE",IF(color_Celda(E410)=16777215,"BLANCO","NO SE"))))</f>
        <v>ROSA</v>
      </c>
      <c r="W410" s="70">
        <v>0.48125000000000001</v>
      </c>
      <c r="X410" s="63"/>
      <c r="Y410" s="63"/>
      <c r="Z410" s="118" t="s">
        <v>748</v>
      </c>
      <c r="AA410" s="118" t="s">
        <v>1165</v>
      </c>
      <c r="AB410" s="118" t="s">
        <v>1171</v>
      </c>
      <c r="AC410" s="324"/>
    </row>
    <row r="411" spans="1:29" ht="60" customHeight="1">
      <c r="A411" s="63">
        <v>419</v>
      </c>
      <c r="B411" s="65">
        <v>45131</v>
      </c>
      <c r="C411" s="70">
        <v>0.51736111111111105</v>
      </c>
      <c r="D411" s="63" t="s">
        <v>1927</v>
      </c>
      <c r="E411" s="64" t="s">
        <v>1928</v>
      </c>
      <c r="F411" s="63">
        <v>5</v>
      </c>
      <c r="G411" s="63" t="s">
        <v>1434</v>
      </c>
      <c r="H411" s="208">
        <v>45138</v>
      </c>
      <c r="I411" s="65" t="s">
        <v>1083</v>
      </c>
      <c r="J411" s="65" t="s">
        <v>1220</v>
      </c>
      <c r="K411" s="63" t="s">
        <v>1321</v>
      </c>
      <c r="L411" s="63" t="s">
        <v>791</v>
      </c>
      <c r="M411" s="63" t="s">
        <v>1866</v>
      </c>
      <c r="N411" s="63" t="s">
        <v>2032</v>
      </c>
      <c r="O411" s="63" t="str">
        <f ca="1">IF(H411&lt;&gt;"",IF(H411&lt;=TODAY(),"SI","NO"),"LIMBO")</f>
        <v>SI</v>
      </c>
      <c r="P411" s="63" t="str">
        <f>IF($P$1=H411,"DIASOL", "DIANOSOL")</f>
        <v>DIANOSOL</v>
      </c>
      <c r="Q411" s="63" t="s">
        <v>902</v>
      </c>
      <c r="R411" s="63" t="str">
        <f>VLOOKUP($Q411,Resultados!$A$1:$B$49,2,FALSE)</f>
        <v>Juicio Abreviado</v>
      </c>
      <c r="S411" s="63" t="s">
        <v>1131</v>
      </c>
      <c r="T411" s="72" t="str">
        <f>IF(G411=$J$1,"SI","NO")</f>
        <v>NO</v>
      </c>
      <c r="U411" s="72"/>
      <c r="V411" s="7" t="str">
        <f ca="1">IF(color_Celda(E411)=12106214,"ROSA",IF(color_Celda(E411)=65535,"AMARILLO",IF(color_Celda(E411)=5296274,"VERDE",IF(color_Celda(E411)=16777215,"BLANCO","NO SE"))))</f>
        <v>ROSA</v>
      </c>
      <c r="W411" s="63" t="s">
        <v>1738</v>
      </c>
      <c r="X411" s="63"/>
      <c r="Y411" s="63"/>
      <c r="Z411" s="118" t="s">
        <v>743</v>
      </c>
      <c r="AA411" s="118" t="s">
        <v>1167</v>
      </c>
      <c r="AB411" s="118" t="s">
        <v>1173</v>
      </c>
      <c r="AC411" s="324"/>
    </row>
    <row r="412" spans="1:29" ht="60" customHeight="1">
      <c r="A412" s="63">
        <v>420</v>
      </c>
      <c r="B412" s="65">
        <v>45131</v>
      </c>
      <c r="C412" s="70">
        <v>0.53402777777777777</v>
      </c>
      <c r="D412" s="63" t="s">
        <v>1931</v>
      </c>
      <c r="E412" s="64" t="s">
        <v>2058</v>
      </c>
      <c r="F412" s="63">
        <v>4</v>
      </c>
      <c r="G412" s="63" t="s">
        <v>568</v>
      </c>
      <c r="H412" s="208">
        <v>45138</v>
      </c>
      <c r="I412" s="65" t="s">
        <v>1083</v>
      </c>
      <c r="J412" s="65" t="s">
        <v>35</v>
      </c>
      <c r="K412" s="63" t="s">
        <v>1512</v>
      </c>
      <c r="L412" s="63" t="s">
        <v>792</v>
      </c>
      <c r="M412" s="63" t="s">
        <v>1829</v>
      </c>
      <c r="N412" s="63" t="s">
        <v>2045</v>
      </c>
      <c r="O412" s="63" t="str">
        <f ca="1">IF(H412&lt;&gt;"",IF(H412&lt;=TODAY(),"SI","NO"),"LIMBO")</f>
        <v>SI</v>
      </c>
      <c r="P412" s="63" t="str">
        <f>IF($P$1=H412,"DIASOL", "DIANOSOL")</f>
        <v>DIANOSOL</v>
      </c>
      <c r="Q412" s="63" t="s">
        <v>897</v>
      </c>
      <c r="R412" s="63" t="str">
        <f>VLOOKUP($Q412,Resultados!$A$1:$B$49,2,FALSE)</f>
        <v>Libertad</v>
      </c>
      <c r="S412" s="63" t="s">
        <v>1239</v>
      </c>
      <c r="T412" s="72" t="str">
        <f>IF(G412=$J$1,"SI","NO")</f>
        <v>NO</v>
      </c>
      <c r="U412" s="72"/>
      <c r="V412" s="7" t="str">
        <f ca="1">IF(color_Celda(E412)=12106214,"ROSA",IF(color_Celda(E412)=65535,"AMARILLO",IF(color_Celda(E412)=5296274,"VERDE",IF(color_Celda(E412)=16777215,"BLANCO","NO SE"))))</f>
        <v>ROSA</v>
      </c>
      <c r="W412" s="63" t="s">
        <v>2044</v>
      </c>
      <c r="X412" s="63" t="s">
        <v>2046</v>
      </c>
      <c r="Y412" s="63"/>
      <c r="Z412" s="118" t="s">
        <v>770</v>
      </c>
      <c r="AA412" s="118" t="s">
        <v>743</v>
      </c>
      <c r="AB412" s="118" t="s">
        <v>1172</v>
      </c>
      <c r="AC412" s="324"/>
    </row>
    <row r="413" spans="1:29" ht="60" customHeight="1">
      <c r="A413" s="63">
        <v>391</v>
      </c>
      <c r="B413" s="65">
        <v>45119</v>
      </c>
      <c r="C413" s="70">
        <v>0.52013888888888882</v>
      </c>
      <c r="D413" s="63" t="s">
        <v>1809</v>
      </c>
      <c r="E413" s="64" t="s">
        <v>2114</v>
      </c>
      <c r="F413" s="63">
        <v>4</v>
      </c>
      <c r="G413" s="63" t="s">
        <v>43</v>
      </c>
      <c r="H413" s="208">
        <v>45139</v>
      </c>
      <c r="I413" s="65" t="s">
        <v>73</v>
      </c>
      <c r="J413" s="65" t="s">
        <v>1216</v>
      </c>
      <c r="K413" s="63">
        <f>IFERROR(VLOOKUP(J413,Jueces!$A$1:$B$11,2,FALSE),"")</f>
        <v>1</v>
      </c>
      <c r="L413" s="63" t="s">
        <v>803</v>
      </c>
      <c r="M413" s="63" t="s">
        <v>1960</v>
      </c>
      <c r="N413" s="63" t="s">
        <v>1860</v>
      </c>
      <c r="O413" s="63" t="str">
        <f ca="1">IF(H413&lt;&gt;"",IF(H413&lt;=TODAY(),"SI","NO"),"LIMBO")</f>
        <v>SI</v>
      </c>
      <c r="P413" s="63" t="str">
        <f>IF($P$1=H413,"DIASOL", "DIANOSOL")</f>
        <v>DIANOSOL</v>
      </c>
      <c r="Q413" s="63" t="s">
        <v>151</v>
      </c>
      <c r="R413" s="63" t="str">
        <f>VLOOKUP($Q413,Resultados!$A$1:$B$49,2,FALSE)</f>
        <v>Prisión Preventiva</v>
      </c>
      <c r="S413" s="70" t="s">
        <v>1370</v>
      </c>
      <c r="T413" s="72" t="str">
        <f>IF(G413=$J$1,"SI","NO")</f>
        <v>NO</v>
      </c>
      <c r="U413" s="72"/>
      <c r="V413" s="7" t="str">
        <f ca="1">IF(color_Celda(E413)=12106214,"ROSA",IF(color_Celda(E413)=65535,"AMARILLO",IF(color_Celda(E413)=5296274,"VERDE",IF(color_Celda(E413)=16777215,"BLANCO","NO SE"))))</f>
        <v>ROSA</v>
      </c>
      <c r="W413" s="63" t="s">
        <v>2063</v>
      </c>
      <c r="X413" s="63" t="s">
        <v>2064</v>
      </c>
      <c r="Y413" s="63"/>
      <c r="Z413" s="118" t="s">
        <v>1038</v>
      </c>
      <c r="AA413" s="118" t="s">
        <v>1165</v>
      </c>
      <c r="AB413" s="118" t="s">
        <v>1169</v>
      </c>
      <c r="AC413" s="324"/>
    </row>
    <row r="414" spans="1:29" ht="60" customHeight="1">
      <c r="A414" s="63">
        <v>413</v>
      </c>
      <c r="B414" s="65">
        <v>45128</v>
      </c>
      <c r="C414" s="70">
        <v>0.33333333333333331</v>
      </c>
      <c r="D414" s="63" t="s">
        <v>1917</v>
      </c>
      <c r="E414" s="64" t="s">
        <v>2113</v>
      </c>
      <c r="F414" s="63">
        <v>4</v>
      </c>
      <c r="G414" s="63" t="s">
        <v>1434</v>
      </c>
      <c r="H414" s="208">
        <v>45139</v>
      </c>
      <c r="I414" s="65" t="s">
        <v>73</v>
      </c>
      <c r="J414" s="65" t="s">
        <v>31</v>
      </c>
      <c r="K414" s="63">
        <f>IFERROR(VLOOKUP(J414,Jueces!$A$1:$B$11,2,FALSE),"")</f>
        <v>2</v>
      </c>
      <c r="L414" s="63" t="s">
        <v>1693</v>
      </c>
      <c r="M414" s="63" t="s">
        <v>695</v>
      </c>
      <c r="N414" s="63" t="s">
        <v>2062</v>
      </c>
      <c r="O414" s="63" t="str">
        <f ca="1">IF(H414&lt;&gt;"",IF(H414&lt;=TODAY(),"SI","NO"),"LIMBO")</f>
        <v>SI</v>
      </c>
      <c r="P414" s="63" t="str">
        <f>IF($P$1=H414,"DIASOL", "DIANOSOL")</f>
        <v>DIANOSOL</v>
      </c>
      <c r="Q414" s="63" t="s">
        <v>909</v>
      </c>
      <c r="R414" s="63" t="s">
        <v>947</v>
      </c>
      <c r="S414" s="63"/>
      <c r="T414" s="72" t="str">
        <f>IF(G414=$J$1,"SI","NO")</f>
        <v>NO</v>
      </c>
      <c r="U414" s="72"/>
      <c r="V414" s="7" t="str">
        <f ca="1">IF(color_Celda(E414)=12106214,"ROSA",IF(color_Celda(E414)=65535,"AMARILLO",IF(color_Celda(E414)=5296274,"VERDE",IF(color_Celda(E414)=16777215,"BLANCO","NO SE"))))</f>
        <v>ROSA</v>
      </c>
      <c r="W414" s="63"/>
      <c r="X414" s="63"/>
      <c r="Y414" s="63"/>
      <c r="Z414" s="118" t="s">
        <v>1039</v>
      </c>
      <c r="AA414" s="118" t="s">
        <v>1167</v>
      </c>
      <c r="AB414" s="118" t="s">
        <v>1171</v>
      </c>
      <c r="AC414" s="324"/>
    </row>
    <row r="415" spans="1:29" ht="60" customHeight="1">
      <c r="A415" s="63">
        <v>386</v>
      </c>
      <c r="B415" s="65">
        <v>45120</v>
      </c>
      <c r="C415" s="70">
        <v>0.5</v>
      </c>
      <c r="D415" s="63" t="s">
        <v>1806</v>
      </c>
      <c r="E415" s="64" t="s">
        <v>2112</v>
      </c>
      <c r="F415" s="63">
        <v>4</v>
      </c>
      <c r="G415" s="63" t="s">
        <v>1435</v>
      </c>
      <c r="H415" s="208">
        <v>45139</v>
      </c>
      <c r="I415" s="65" t="s">
        <v>1083</v>
      </c>
      <c r="J415" s="65" t="s">
        <v>33</v>
      </c>
      <c r="K415" s="63">
        <f>IFERROR(VLOOKUP(J415,Jueces!$A$1:$B$11,2,FALSE),"")</f>
        <v>4</v>
      </c>
      <c r="L415" s="63" t="s">
        <v>801</v>
      </c>
      <c r="M415" s="63" t="s">
        <v>1829</v>
      </c>
      <c r="N415" s="63" t="s">
        <v>2070</v>
      </c>
      <c r="O415" s="63" t="str">
        <f ca="1">IF(H415&lt;&gt;"",IF(H415&lt;=TODAY(),"SI","NO"),"LIMBO")</f>
        <v>SI</v>
      </c>
      <c r="P415" s="63" t="str">
        <f>IF($P$1=H415,"DIASOL", "DIANOSOL")</f>
        <v>DIANOSOL</v>
      </c>
      <c r="Q415" s="63" t="s">
        <v>151</v>
      </c>
      <c r="R415" s="63" t="str">
        <f>VLOOKUP($Q415,Resultados!$A$1:$B$49,2,FALSE)</f>
        <v>Prisión Preventiva</v>
      </c>
      <c r="S415" s="70">
        <v>0.37986111111111115</v>
      </c>
      <c r="T415" s="72" t="str">
        <f>IF(G415=$J$1,"SI","NO")</f>
        <v>SI</v>
      </c>
      <c r="U415" s="72"/>
      <c r="V415" s="7" t="str">
        <f ca="1">IF(color_Celda(E415)=12106214,"ROSA",IF(color_Celda(E415)=65535,"AMARILLO",IF(color_Celda(E415)=5296274,"VERDE",IF(color_Celda(E415)=16777215,"BLANCO","NO SE"))))</f>
        <v>ROSA</v>
      </c>
      <c r="W415" s="70">
        <v>0.3979166666666667</v>
      </c>
      <c r="X415" s="63"/>
      <c r="Y415" s="63"/>
      <c r="Z415" s="118" t="s">
        <v>748</v>
      </c>
      <c r="AA415" s="118" t="s">
        <v>1165</v>
      </c>
      <c r="AB415" s="118" t="s">
        <v>1172</v>
      </c>
      <c r="AC415" s="324"/>
    </row>
    <row r="416" spans="1:29" ht="60" customHeight="1">
      <c r="A416" s="63">
        <v>389</v>
      </c>
      <c r="B416" s="65">
        <v>45120</v>
      </c>
      <c r="C416" s="70">
        <v>0.54166666666666663</v>
      </c>
      <c r="D416" s="63" t="s">
        <v>1803</v>
      </c>
      <c r="E416" s="64" t="s">
        <v>2111</v>
      </c>
      <c r="F416" s="63">
        <v>4</v>
      </c>
      <c r="G416" s="63" t="s">
        <v>29</v>
      </c>
      <c r="H416" s="208">
        <v>45139</v>
      </c>
      <c r="I416" s="65" t="s">
        <v>1083</v>
      </c>
      <c r="J416" s="65" t="s">
        <v>1220</v>
      </c>
      <c r="K416" s="63" t="s">
        <v>1321</v>
      </c>
      <c r="L416" s="63" t="s">
        <v>809</v>
      </c>
      <c r="M416" s="63" t="s">
        <v>695</v>
      </c>
      <c r="N416" s="63" t="s">
        <v>2068</v>
      </c>
      <c r="O416" s="63" t="str">
        <f ca="1">IF(H416&lt;&gt;"",IF(H416&lt;=TODAY(),"SI","NO"),"LIMBO")</f>
        <v>SI</v>
      </c>
      <c r="P416" s="63" t="str">
        <f>IF($P$1=H416,"DIASOL", "DIANOSOL")</f>
        <v>DIANOSOL</v>
      </c>
      <c r="Q416" s="63" t="s">
        <v>902</v>
      </c>
      <c r="R416" s="63" t="str">
        <f>VLOOKUP($Q416,Resultados!$A$1:$B$49,2,FALSE)</f>
        <v>Juicio Abreviado</v>
      </c>
      <c r="S416" s="70">
        <v>0.3840277777777778</v>
      </c>
      <c r="T416" s="72" t="str">
        <f>IF(G416=$J$1,"SI","NO")</f>
        <v>NO</v>
      </c>
      <c r="U416" s="72"/>
      <c r="V416" s="7" t="str">
        <f ca="1">IF(color_Celda(E416)=12106214,"ROSA",IF(color_Celda(E416)=65535,"AMARILLO",IF(color_Celda(E416)=5296274,"VERDE",IF(color_Celda(E416)=16777215,"BLANCO","NO SE"))))</f>
        <v>ROSA</v>
      </c>
      <c r="W416" s="70">
        <v>0.41111111111111115</v>
      </c>
      <c r="X416" s="63" t="s">
        <v>2069</v>
      </c>
      <c r="Y416" s="63"/>
      <c r="Z416" s="118" t="s">
        <v>743</v>
      </c>
      <c r="AA416" s="118" t="s">
        <v>743</v>
      </c>
      <c r="AB416" s="118" t="s">
        <v>1169</v>
      </c>
      <c r="AC416" s="324"/>
    </row>
    <row r="417" spans="1:29" ht="60" customHeight="1">
      <c r="A417" s="63">
        <v>421</v>
      </c>
      <c r="B417" s="65">
        <v>45132</v>
      </c>
      <c r="C417" s="70">
        <v>0.52083333333333337</v>
      </c>
      <c r="D417" s="63" t="s">
        <v>1953</v>
      </c>
      <c r="E417" s="64" t="s">
        <v>2110</v>
      </c>
      <c r="F417" s="63">
        <v>4</v>
      </c>
      <c r="G417" s="63" t="s">
        <v>32</v>
      </c>
      <c r="H417" s="208">
        <v>45139</v>
      </c>
      <c r="I417" s="65" t="s">
        <v>1442</v>
      </c>
      <c r="J417" s="65" t="s">
        <v>1220</v>
      </c>
      <c r="K417" s="63" t="s">
        <v>1321</v>
      </c>
      <c r="L417" s="63" t="s">
        <v>809</v>
      </c>
      <c r="M417" s="63" t="s">
        <v>1829</v>
      </c>
      <c r="N417" s="63" t="s">
        <v>2078</v>
      </c>
      <c r="O417" s="63" t="str">
        <f ca="1">IF(H417&lt;&gt;"",IF(H417&lt;=TODAY(),"SI","NO"),"LIMBO")</f>
        <v>SI</v>
      </c>
      <c r="P417" s="63" t="str">
        <f>IF($P$1=H417,"DIASOL", "DIANOSOL")</f>
        <v>DIANOSOL</v>
      </c>
      <c r="Q417" s="63" t="s">
        <v>902</v>
      </c>
      <c r="R417" s="63" t="str">
        <f>VLOOKUP($Q417,Resultados!$A$1:$B$49,2,FALSE)</f>
        <v>Juicio Abreviado</v>
      </c>
      <c r="S417" s="70">
        <v>0.4284722222222222</v>
      </c>
      <c r="T417" s="72" t="str">
        <f>IF(G417=$J$1,"SI","NO")</f>
        <v>NO</v>
      </c>
      <c r="U417" s="72"/>
      <c r="V417" s="7" t="str">
        <f ca="1">IF(color_Celda(E417)=12106214,"ROSA",IF(color_Celda(E417)=65535,"AMARILLO",IF(color_Celda(E417)=5296274,"VERDE",IF(color_Celda(E417)=16777215,"BLANCO","NO SE"))))</f>
        <v>ROSA</v>
      </c>
      <c r="W417" s="70">
        <v>0.44236111111111115</v>
      </c>
      <c r="X417" s="63"/>
      <c r="Y417" s="63"/>
      <c r="Z417" s="118" t="s">
        <v>770</v>
      </c>
      <c r="AA417" s="118" t="s">
        <v>1165</v>
      </c>
      <c r="AB417" s="118" t="s">
        <v>1171</v>
      </c>
      <c r="AC417" s="324"/>
    </row>
    <row r="418" spans="1:29" ht="60" customHeight="1">
      <c r="A418" s="63">
        <v>422</v>
      </c>
      <c r="B418" s="65">
        <v>45131</v>
      </c>
      <c r="C418" s="70">
        <v>0.53749999999999998</v>
      </c>
      <c r="D418" s="63" t="s">
        <v>1930</v>
      </c>
      <c r="E418" s="64" t="s">
        <v>2109</v>
      </c>
      <c r="F418" s="63">
        <v>4</v>
      </c>
      <c r="G418" s="63" t="s">
        <v>568</v>
      </c>
      <c r="H418" s="208">
        <v>45140</v>
      </c>
      <c r="I418" s="65" t="s">
        <v>73</v>
      </c>
      <c r="J418" s="65" t="s">
        <v>1216</v>
      </c>
      <c r="K418" s="63">
        <f>IFERROR(VLOOKUP(J418,Jueces!$A$1:$B$11,2,FALSE),"")</f>
        <v>1</v>
      </c>
      <c r="L418" s="63" t="s">
        <v>789</v>
      </c>
      <c r="M418" s="63" t="s">
        <v>2103</v>
      </c>
      <c r="N418" s="63" t="s">
        <v>2102</v>
      </c>
      <c r="O418" s="63" t="str">
        <f ca="1">IF(H418&lt;&gt;"",IF(H418&lt;=TODAY(),"SI","NO"),"LIMBO")</f>
        <v>SI</v>
      </c>
      <c r="P418" s="63" t="str">
        <f>IF($P$1=H418,"DIASOL", "DIANOSOL")</f>
        <v>DIANOSOL</v>
      </c>
      <c r="Q418" s="63" t="s">
        <v>897</v>
      </c>
      <c r="R418" s="63" t="str">
        <f>VLOOKUP($Q418,Resultados!$A$1:$B$49,2,FALSE)</f>
        <v>Libertad</v>
      </c>
      <c r="S418" s="70">
        <v>0.50208333333333333</v>
      </c>
      <c r="T418" s="72" t="str">
        <f>IF(G418=$J$1,"SI","NO")</f>
        <v>NO</v>
      </c>
      <c r="U418" s="72"/>
      <c r="V418" s="7" t="str">
        <f ca="1">IF(color_Celda(E418)=12106214,"ROSA",IF(color_Celda(E418)=65535,"AMARILLO",IF(color_Celda(E418)=5296274,"VERDE",IF(color_Celda(E418)=16777215,"BLANCO","NO SE"))))</f>
        <v>ROSA</v>
      </c>
      <c r="W418" s="70">
        <v>0.52986111111111112</v>
      </c>
      <c r="X418" s="63" t="s">
        <v>2104</v>
      </c>
      <c r="Y418" s="63"/>
      <c r="Z418" s="118" t="s">
        <v>1039</v>
      </c>
      <c r="AA418" s="118" t="s">
        <v>1165</v>
      </c>
      <c r="AB418" s="118" t="s">
        <v>1169</v>
      </c>
      <c r="AC418" s="324"/>
    </row>
    <row r="419" spans="1:29" ht="60" customHeight="1">
      <c r="A419" s="63">
        <v>424</v>
      </c>
      <c r="B419" s="65">
        <v>45131</v>
      </c>
      <c r="C419" s="70">
        <v>0.52013888888888882</v>
      </c>
      <c r="D419" s="63" t="s">
        <v>1932</v>
      </c>
      <c r="E419" s="64" t="s">
        <v>1970</v>
      </c>
      <c r="F419" s="63">
        <v>4</v>
      </c>
      <c r="G419" s="63" t="s">
        <v>32</v>
      </c>
      <c r="H419" s="208">
        <v>45140</v>
      </c>
      <c r="I419" s="65" t="s">
        <v>73</v>
      </c>
      <c r="J419" s="65" t="s">
        <v>1218</v>
      </c>
      <c r="K419" s="63" t="s">
        <v>1512</v>
      </c>
      <c r="L419" s="63" t="s">
        <v>809</v>
      </c>
      <c r="M419" s="63" t="s">
        <v>1829</v>
      </c>
      <c r="N419" s="63" t="s">
        <v>2099</v>
      </c>
      <c r="O419" s="63" t="str">
        <f ca="1">IF(H419&lt;&gt;"",IF(H419&lt;=TODAY(),"SI","NO"),"LIMBO")</f>
        <v>SI</v>
      </c>
      <c r="P419" s="63" t="str">
        <f>IF($P$1=H419,"DIASOL", "DIANOSOL")</f>
        <v>DIANOSOL</v>
      </c>
      <c r="Q419" s="63" t="s">
        <v>902</v>
      </c>
      <c r="R419" s="63" t="str">
        <f>VLOOKUP($Q419,Resultados!$A$1:$B$49,2,FALSE)</f>
        <v>Juicio Abreviado</v>
      </c>
      <c r="S419" s="70">
        <v>0.36527777777777781</v>
      </c>
      <c r="T419" s="72" t="str">
        <f>IF(G419=$J$1,"SI","NO")</f>
        <v>NO</v>
      </c>
      <c r="U419" s="72"/>
      <c r="V419" s="7" t="str">
        <f ca="1">IF(color_Celda(E419)=12106214,"ROSA",IF(color_Celda(E419)=65535,"AMARILLO",IF(color_Celda(E419)=5296274,"VERDE",IF(color_Celda(E419)=16777215,"BLANCO","NO SE"))))</f>
        <v>ROSA</v>
      </c>
      <c r="W419" s="70">
        <v>0.37222222222222223</v>
      </c>
      <c r="X419" s="63"/>
      <c r="Y419" s="63"/>
      <c r="Z419" s="118" t="s">
        <v>743</v>
      </c>
      <c r="AA419" s="118" t="s">
        <v>743</v>
      </c>
      <c r="AB419" s="118" t="s">
        <v>1172</v>
      </c>
      <c r="AC419" s="324"/>
    </row>
    <row r="420" spans="1:29" ht="60" customHeight="1">
      <c r="A420" s="63">
        <v>423</v>
      </c>
      <c r="B420" s="65">
        <v>45132</v>
      </c>
      <c r="C420" s="70">
        <v>0.40763888888888888</v>
      </c>
      <c r="D420" s="63" t="s">
        <v>1950</v>
      </c>
      <c r="E420" s="64" t="s">
        <v>2108</v>
      </c>
      <c r="F420" s="63">
        <v>4</v>
      </c>
      <c r="G420" s="63" t="s">
        <v>29</v>
      </c>
      <c r="H420" s="208">
        <v>45140</v>
      </c>
      <c r="I420" s="65" t="s">
        <v>73</v>
      </c>
      <c r="J420" s="65" t="s">
        <v>33</v>
      </c>
      <c r="K420" s="63">
        <f>IFERROR(VLOOKUP(J420,Jueces!$A$1:$B$11,2,FALSE),"")</f>
        <v>4</v>
      </c>
      <c r="L420" s="63" t="s">
        <v>811</v>
      </c>
      <c r="M420" s="63" t="s">
        <v>695</v>
      </c>
      <c r="N420" s="63" t="s">
        <v>2098</v>
      </c>
      <c r="O420" s="63" t="str">
        <f ca="1">IF(H420&lt;&gt;"",IF(H420&lt;=TODAY(),"SI","NO"),"LIMBO")</f>
        <v>SI</v>
      </c>
      <c r="P420" s="63" t="str">
        <f>IF($P$1=H420,"DIASOL", "DIANOSOL")</f>
        <v>DIANOSOL</v>
      </c>
      <c r="Q420" s="63" t="s">
        <v>897</v>
      </c>
      <c r="R420" s="63" t="s">
        <v>900</v>
      </c>
      <c r="S420" s="70">
        <v>0.33333333333333331</v>
      </c>
      <c r="T420" s="72" t="str">
        <f>IF(G420=$J$1,"SI","NO")</f>
        <v>NO</v>
      </c>
      <c r="U420" s="72"/>
      <c r="V420" s="7" t="str">
        <f ca="1">IF(color_Celda(E420)=12106214,"ROSA",IF(color_Celda(E420)=65535,"AMARILLO",IF(color_Celda(E420)=5296274,"VERDE",IF(color_Celda(E420)=16777215,"BLANCO","NO SE"))))</f>
        <v>ROSA</v>
      </c>
      <c r="W420" s="70">
        <v>0.37986111111111115</v>
      </c>
      <c r="X420" s="63"/>
      <c r="Y420" s="63"/>
      <c r="Z420" s="118" t="s">
        <v>748</v>
      </c>
      <c r="AA420" s="118" t="s">
        <v>1167</v>
      </c>
      <c r="AB420" s="118" t="s">
        <v>1171</v>
      </c>
      <c r="AC420" s="324"/>
    </row>
    <row r="421" spans="1:29" ht="60" customHeight="1">
      <c r="A421" s="63">
        <v>429</v>
      </c>
      <c r="B421" s="65">
        <v>45132</v>
      </c>
      <c r="C421" s="70">
        <v>0.51041666666666663</v>
      </c>
      <c r="D421" s="63" t="s">
        <v>1954</v>
      </c>
      <c r="E421" s="64" t="s">
        <v>1955</v>
      </c>
      <c r="F421" s="63">
        <v>5</v>
      </c>
      <c r="G421" s="63" t="s">
        <v>1435</v>
      </c>
      <c r="H421" s="208">
        <v>45140</v>
      </c>
      <c r="I421" s="65" t="s">
        <v>73</v>
      </c>
      <c r="J421" s="65" t="s">
        <v>78</v>
      </c>
      <c r="K421" s="63">
        <f>IFERROR(VLOOKUP(J421,Jueces!$A$1:$B$11,2,FALSE),"")</f>
        <v>8</v>
      </c>
      <c r="L421" s="63" t="s">
        <v>1514</v>
      </c>
      <c r="M421" s="63" t="s">
        <v>1956</v>
      </c>
      <c r="N421" s="63" t="s">
        <v>2100</v>
      </c>
      <c r="O421" s="63" t="str">
        <f ca="1">IF(H421&lt;&gt;"",IF(H421&lt;=TODAY(),"SI","NO"),"LIMBO")</f>
        <v>SI</v>
      </c>
      <c r="P421" s="63" t="str">
        <f>IF($P$1=H421,"DIASOL", "DIANOSOL")</f>
        <v>DIANOSOL</v>
      </c>
      <c r="Q421" s="63" t="s">
        <v>151</v>
      </c>
      <c r="R421" s="63" t="str">
        <f>VLOOKUP($Q421,Resultados!$A$1:$B$49,2,FALSE)</f>
        <v>Prisión Preventiva</v>
      </c>
      <c r="S421" s="70">
        <v>0.3576388888888889</v>
      </c>
      <c r="T421" s="72" t="str">
        <f>IF(G421=$J$1,"SI","NO")</f>
        <v>SI</v>
      </c>
      <c r="U421" s="72"/>
      <c r="V421" s="7" t="str">
        <f ca="1">IF(color_Celda(E421)=12106214,"ROSA",IF(color_Celda(E421)=65535,"AMARILLO",IF(color_Celda(E421)=5296274,"VERDE",IF(color_Celda(E421)=16777215,"BLANCO","NO SE"))))</f>
        <v>ROSA</v>
      </c>
      <c r="W421" s="70">
        <v>0.375</v>
      </c>
      <c r="X421" s="63"/>
      <c r="Y421" s="63"/>
      <c r="Z421" s="118" t="s">
        <v>770</v>
      </c>
      <c r="AA421" s="118" t="s">
        <v>743</v>
      </c>
      <c r="AB421" s="118" t="s">
        <v>1173</v>
      </c>
      <c r="AC421" s="324"/>
    </row>
    <row r="422" spans="1:29" ht="60" customHeight="1">
      <c r="A422" s="63">
        <v>427</v>
      </c>
      <c r="B422" s="65">
        <v>45132</v>
      </c>
      <c r="C422" s="70">
        <v>0.33333333333333331</v>
      </c>
      <c r="D422" s="63" t="s">
        <v>1949</v>
      </c>
      <c r="E422" s="64" t="s">
        <v>2030</v>
      </c>
      <c r="F422" s="63">
        <v>4</v>
      </c>
      <c r="G422" s="63" t="s">
        <v>1434</v>
      </c>
      <c r="H422" s="208">
        <v>45140</v>
      </c>
      <c r="I422" s="65" t="s">
        <v>1083</v>
      </c>
      <c r="J422" s="65" t="s">
        <v>33</v>
      </c>
      <c r="K422" s="63">
        <f>IFERROR(VLOOKUP(J422,Jueces!$A$1:$B$11,2,FALSE),"")</f>
        <v>4</v>
      </c>
      <c r="L422" s="63" t="s">
        <v>805</v>
      </c>
      <c r="M422" s="63" t="s">
        <v>2026</v>
      </c>
      <c r="N422" s="63" t="s">
        <v>2097</v>
      </c>
      <c r="O422" s="63" t="str">
        <f ca="1">IF(H422&lt;&gt;"",IF(H422&lt;=TODAY(),"SI","NO"),"LIMBO")</f>
        <v>SI</v>
      </c>
      <c r="P422" s="63" t="str">
        <f>IF($P$1=H422,"DIASOL", "DIANOSOL")</f>
        <v>DIANOSOL</v>
      </c>
      <c r="Q422" s="63" t="s">
        <v>911</v>
      </c>
      <c r="R422" s="63" t="str">
        <f>VLOOKUP($Q422,Resultados!$A$1:$B$49,2,FALSE)</f>
        <v>Prision domiciliaria</v>
      </c>
      <c r="S422" s="70">
        <v>0.39166666666666666</v>
      </c>
      <c r="T422" s="72" t="str">
        <f>IF(G422=$J$1,"SI","NO")</f>
        <v>NO</v>
      </c>
      <c r="U422" s="72"/>
      <c r="V422" s="7" t="str">
        <f ca="1">IF(color_Celda(E422)=12106214,"ROSA",IF(color_Celda(E422)=65535,"AMARILLO",IF(color_Celda(E422)=5296274,"VERDE",IF(color_Celda(E422)=16777215,"BLANCO","NO SE"))))</f>
        <v>ROSA</v>
      </c>
      <c r="W422" s="70">
        <v>0.42430555555555555</v>
      </c>
      <c r="X422" s="63"/>
      <c r="Y422" s="63"/>
      <c r="Z422" s="118" t="s">
        <v>1039</v>
      </c>
      <c r="AA422" s="118" t="s">
        <v>1165</v>
      </c>
      <c r="AB422" s="118" t="s">
        <v>1171</v>
      </c>
      <c r="AC422" s="324"/>
    </row>
    <row r="423" spans="1:29" ht="60" customHeight="1">
      <c r="A423" s="63">
        <v>432</v>
      </c>
      <c r="B423" s="65">
        <v>45132</v>
      </c>
      <c r="C423" s="70">
        <v>0.33333333333333331</v>
      </c>
      <c r="D423" s="63" t="s">
        <v>1743</v>
      </c>
      <c r="E423" s="64" t="s">
        <v>1980</v>
      </c>
      <c r="F423" s="63">
        <v>4</v>
      </c>
      <c r="G423" s="63" t="s">
        <v>283</v>
      </c>
      <c r="H423" s="208">
        <v>45140</v>
      </c>
      <c r="I423" s="65" t="s">
        <v>1083</v>
      </c>
      <c r="J423" s="65" t="s">
        <v>1219</v>
      </c>
      <c r="K423" s="63" t="s">
        <v>1341</v>
      </c>
      <c r="L423" s="63" t="s">
        <v>2092</v>
      </c>
      <c r="M423" s="63" t="s">
        <v>1981</v>
      </c>
      <c r="N423" s="63" t="s">
        <v>2101</v>
      </c>
      <c r="O423" s="63" t="str">
        <f ca="1">IF(H423&lt;&gt;"",IF(H423&lt;=TODAY(),"SI","NO"),"LIMBO")</f>
        <v>SI</v>
      </c>
      <c r="P423" s="63" t="str">
        <f>IF($P$1=H423,"DIASOL", "DIANOSOL")</f>
        <v>DIANOSOL</v>
      </c>
      <c r="Q423" s="63" t="s">
        <v>902</v>
      </c>
      <c r="R423" s="63" t="str">
        <f>VLOOKUP($Q423,Resultados!$A$1:$B$49,2,FALSE)</f>
        <v>Juicio Abreviado</v>
      </c>
      <c r="S423" s="70">
        <v>0.37847222222222227</v>
      </c>
      <c r="T423" s="72" t="str">
        <f>IF(G423=$J$1,"SI","NO")</f>
        <v>NO</v>
      </c>
      <c r="U423" s="72"/>
      <c r="V423" s="7" t="str">
        <f ca="1">IF(color_Celda(E423)=12106214,"ROSA",IF(color_Celda(E423)=65535,"AMARILLO",IF(color_Celda(E423)=5296274,"VERDE",IF(color_Celda(E423)=16777215,"BLANCO","NO SE"))))</f>
        <v>ROSA</v>
      </c>
      <c r="W423" s="70">
        <v>0.39930555555555558</v>
      </c>
      <c r="X423" s="63" t="s">
        <v>2091</v>
      </c>
      <c r="Y423" s="63"/>
      <c r="Z423" s="118" t="s">
        <v>1038</v>
      </c>
      <c r="AA423" s="118" t="s">
        <v>1167</v>
      </c>
      <c r="AB423" s="118" t="s">
        <v>1169</v>
      </c>
      <c r="AC423" s="324"/>
    </row>
    <row r="424" spans="1:29" ht="60" customHeight="1">
      <c r="A424" s="63">
        <v>394</v>
      </c>
      <c r="B424" s="65">
        <v>45121</v>
      </c>
      <c r="C424" s="70">
        <v>0.33333333333333331</v>
      </c>
      <c r="D424" s="63" t="s">
        <v>1830</v>
      </c>
      <c r="E424" s="64" t="s">
        <v>1969</v>
      </c>
      <c r="F424" s="63">
        <v>4</v>
      </c>
      <c r="G424" s="63" t="s">
        <v>32</v>
      </c>
      <c r="H424" s="208">
        <v>45141</v>
      </c>
      <c r="I424" s="65" t="s">
        <v>73</v>
      </c>
      <c r="J424" s="65" t="s">
        <v>1219</v>
      </c>
      <c r="K424" s="63" t="s">
        <v>1321</v>
      </c>
      <c r="L424" s="63" t="s">
        <v>810</v>
      </c>
      <c r="M424" s="63" t="s">
        <v>1829</v>
      </c>
      <c r="N424" s="63" t="s">
        <v>1744</v>
      </c>
      <c r="O424" s="63" t="str">
        <f ca="1">IF(H424&lt;&gt;"",IF(H424&lt;=TODAY(),"SI","NO"),"LIMBO")</f>
        <v>SI</v>
      </c>
      <c r="P424" s="63" t="str">
        <f>IF($P$1=H424,"DIASOL", "DIANOSOL")</f>
        <v>DIANOSOL</v>
      </c>
      <c r="Q424" s="63" t="s">
        <v>151</v>
      </c>
      <c r="R424" s="63" t="str">
        <f>VLOOKUP($Q424,Resultados!$A$1:$B$49,2,FALSE)</f>
        <v>Prisión Preventiva</v>
      </c>
      <c r="S424" s="63"/>
      <c r="T424" s="72" t="str">
        <f>IF(G424=$J$1,"SI","NO")</f>
        <v>NO</v>
      </c>
      <c r="U424" s="72"/>
      <c r="V424" s="7" t="str">
        <f ca="1">IF(color_Celda(E424)=12106214,"ROSA",IF(color_Celda(E424)=65535,"AMARILLO",IF(color_Celda(E424)=5296274,"VERDE",IF(color_Celda(E424)=16777215,"BLANCO","NO SE"))))</f>
        <v>ROSA</v>
      </c>
      <c r="W424" s="63"/>
      <c r="X424" s="63"/>
      <c r="Y424" s="63"/>
      <c r="Z424" s="118" t="s">
        <v>748</v>
      </c>
      <c r="AA424" s="118" t="s">
        <v>743</v>
      </c>
      <c r="AB424" s="118" t="s">
        <v>1171</v>
      </c>
      <c r="AC424" s="324"/>
    </row>
    <row r="425" spans="1:29" ht="60" customHeight="1">
      <c r="A425" s="63">
        <v>399</v>
      </c>
      <c r="B425" s="65">
        <v>45125</v>
      </c>
      <c r="C425" s="63" t="s">
        <v>1858</v>
      </c>
      <c r="D425" s="63" t="s">
        <v>1857</v>
      </c>
      <c r="E425" s="64" t="s">
        <v>2125</v>
      </c>
      <c r="F425" s="63">
        <v>2</v>
      </c>
      <c r="G425" s="63" t="s">
        <v>1435</v>
      </c>
      <c r="H425" s="208">
        <v>45141</v>
      </c>
      <c r="I425" s="65" t="s">
        <v>73</v>
      </c>
      <c r="J425" s="65" t="s">
        <v>33</v>
      </c>
      <c r="K425" s="63">
        <f>IFERROR(VLOOKUP(J425,Jueces!$A$1:$B$11,2,FALSE),"")</f>
        <v>4</v>
      </c>
      <c r="L425" s="63" t="s">
        <v>803</v>
      </c>
      <c r="M425" s="63" t="s">
        <v>695</v>
      </c>
      <c r="N425" s="205" t="s">
        <v>2122</v>
      </c>
      <c r="O425" s="63" t="str">
        <f ca="1">IF(H425&lt;&gt;"",IF(H425&lt;=TODAY(),"SI","NO"),"LIMBO")</f>
        <v>SI</v>
      </c>
      <c r="P425" s="63" t="str">
        <f>IF($P$1=H425,"DIASOL", "DIANOSOL")</f>
        <v>DIANOSOL</v>
      </c>
      <c r="Q425" s="63" t="s">
        <v>897</v>
      </c>
      <c r="R425" s="63" t="str">
        <f>VLOOKUP($Q425,Resultados!$A$1:$B$49,2,FALSE)</f>
        <v>Libertad</v>
      </c>
      <c r="S425" s="63"/>
      <c r="T425" s="72" t="str">
        <f>IF(G425=$J$1,"SI","NO")</f>
        <v>SI</v>
      </c>
      <c r="U425" s="72"/>
      <c r="V425" s="7" t="str">
        <f ca="1">IF(color_Celda(E425)=12106214,"ROSA",IF(color_Celda(E425)=65535,"AMARILLO",IF(color_Celda(E425)=5296274,"VERDE",IF(color_Celda(E425)=16777215,"BLANCO","NO SE"))))</f>
        <v>ROSA</v>
      </c>
      <c r="W425" s="63"/>
      <c r="X425" s="63"/>
      <c r="Y425" s="63"/>
      <c r="Z425" s="118" t="s">
        <v>770</v>
      </c>
      <c r="AA425" s="118" t="s">
        <v>743</v>
      </c>
      <c r="AB425" s="118" t="s">
        <v>1172</v>
      </c>
      <c r="AC425" s="324"/>
    </row>
    <row r="426" spans="1:29" ht="60" customHeight="1">
      <c r="A426" s="63">
        <v>435</v>
      </c>
      <c r="B426" s="65">
        <v>45134</v>
      </c>
      <c r="C426" s="70">
        <v>0.50694444444444442</v>
      </c>
      <c r="D426" s="63" t="s">
        <v>1999</v>
      </c>
      <c r="E426" s="64" t="s">
        <v>2000</v>
      </c>
      <c r="F426" s="63">
        <v>5</v>
      </c>
      <c r="G426" s="63" t="s">
        <v>1434</v>
      </c>
      <c r="H426" s="208">
        <v>45141</v>
      </c>
      <c r="I426" s="65" t="s">
        <v>73</v>
      </c>
      <c r="J426" s="65" t="s">
        <v>1216</v>
      </c>
      <c r="K426" s="63" t="s">
        <v>1916</v>
      </c>
      <c r="L426" s="63" t="s">
        <v>811</v>
      </c>
      <c r="M426" s="63" t="s">
        <v>1956</v>
      </c>
      <c r="N426" s="63" t="s">
        <v>2116</v>
      </c>
      <c r="O426" s="63" t="str">
        <f ca="1">IF(H426&lt;&gt;"",IF(H426&lt;=TODAY(),"SI","NO"),"LIMBO")</f>
        <v>SI</v>
      </c>
      <c r="P426" s="63" t="str">
        <f>IF($P$1=H426,"DIASOL", "DIANOSOL")</f>
        <v>DIANOSOL</v>
      </c>
      <c r="Q426" s="63" t="s">
        <v>902</v>
      </c>
      <c r="R426" s="63" t="str">
        <f>VLOOKUP($Q426,Resultados!$A$1:$B$49,2,FALSE)</f>
        <v>Juicio Abreviado</v>
      </c>
      <c r="S426" s="63"/>
      <c r="T426" s="72" t="str">
        <f>IF(G426=$J$1,"SI","NO")</f>
        <v>NO</v>
      </c>
      <c r="U426" s="72"/>
      <c r="V426" s="7" t="str">
        <f ca="1">IF(color_Celda(E426)=12106214,"ROSA",IF(color_Celda(E426)=65535,"AMARILLO",IF(color_Celda(E426)=5296274,"VERDE",IF(color_Celda(E426)=16777215,"BLANCO","NO SE"))))</f>
        <v>ROSA</v>
      </c>
      <c r="W426" s="63"/>
      <c r="X426" s="63"/>
      <c r="Y426" s="63"/>
      <c r="Z426" s="118" t="s">
        <v>1039</v>
      </c>
      <c r="AA426" s="118" t="s">
        <v>1167</v>
      </c>
      <c r="AB426" s="118" t="s">
        <v>1170</v>
      </c>
      <c r="AC426" s="324"/>
    </row>
    <row r="427" spans="1:29" ht="60" customHeight="1">
      <c r="A427" s="63">
        <v>425</v>
      </c>
      <c r="B427" s="65">
        <v>45132</v>
      </c>
      <c r="C427" s="70">
        <v>0.33333333333333331</v>
      </c>
      <c r="D427" s="63" t="s">
        <v>1948</v>
      </c>
      <c r="E427" s="64" t="s">
        <v>1971</v>
      </c>
      <c r="F427" s="63">
        <v>4</v>
      </c>
      <c r="G427" s="63" t="s">
        <v>283</v>
      </c>
      <c r="H427" s="208">
        <v>45141</v>
      </c>
      <c r="I427" s="65" t="s">
        <v>1083</v>
      </c>
      <c r="J427" s="65" t="s">
        <v>35</v>
      </c>
      <c r="K427" s="63">
        <f>IFERROR(VLOOKUP(J427,Jueces!$A$1:$B$11,2,FALSE),"")</f>
        <v>3</v>
      </c>
      <c r="L427" s="63" t="s">
        <v>806</v>
      </c>
      <c r="M427" s="63" t="s">
        <v>1829</v>
      </c>
      <c r="N427" s="63" t="s">
        <v>510</v>
      </c>
      <c r="O427" s="63" t="str">
        <f ca="1">IF(H427&lt;&gt;"",IF(H427&lt;=TODAY(),"SI","NO"),"LIMBO")</f>
        <v>SI</v>
      </c>
      <c r="P427" s="63" t="str">
        <f>IF($P$1=H427,"DIASOL", "DIANOSOL")</f>
        <v>DIANOSOL</v>
      </c>
      <c r="Q427" s="63" t="s">
        <v>897</v>
      </c>
      <c r="R427" s="63" t="str">
        <f>VLOOKUP($Q427,Resultados!$A$1:$B$49,2,FALSE)</f>
        <v>Libertad</v>
      </c>
      <c r="S427" s="63"/>
      <c r="T427" s="72" t="str">
        <f>IF(G427=$J$1,"SI","NO")</f>
        <v>NO</v>
      </c>
      <c r="U427" s="72"/>
      <c r="V427" s="7" t="str">
        <f ca="1">IF(color_Celda(E427)=12106214,"ROSA",IF(color_Celda(E427)=65535,"AMARILLO",IF(color_Celda(E427)=5296274,"VERDE",IF(color_Celda(E427)=16777215,"BLANCO","NO SE"))))</f>
        <v>ROSA</v>
      </c>
      <c r="W427" s="63"/>
      <c r="X427" s="63"/>
      <c r="Y427" s="63"/>
      <c r="Z427" s="118" t="s">
        <v>748</v>
      </c>
      <c r="AA427" s="118" t="s">
        <v>743</v>
      </c>
      <c r="AB427" s="118" t="s">
        <v>1169</v>
      </c>
      <c r="AC427" s="324"/>
    </row>
    <row r="428" spans="1:29" ht="60" customHeight="1">
      <c r="A428" s="63">
        <v>439</v>
      </c>
      <c r="B428" s="65">
        <v>45135</v>
      </c>
      <c r="C428" s="70">
        <v>0.49861111111111112</v>
      </c>
      <c r="D428" s="63" t="s">
        <v>2029</v>
      </c>
      <c r="E428" s="64" t="s">
        <v>2072</v>
      </c>
      <c r="F428" s="63">
        <v>5</v>
      </c>
      <c r="G428" s="63" t="s">
        <v>43</v>
      </c>
      <c r="H428" s="208">
        <v>45141</v>
      </c>
      <c r="I428" s="65" t="s">
        <v>1083</v>
      </c>
      <c r="J428" s="65" t="s">
        <v>1217</v>
      </c>
      <c r="K428" s="63">
        <f>IFERROR(VLOOKUP(J428,Jueces!$A$1:$B$11,2,FALSE),"")</f>
        <v>7</v>
      </c>
      <c r="L428" s="63" t="s">
        <v>789</v>
      </c>
      <c r="M428" s="63" t="s">
        <v>1956</v>
      </c>
      <c r="N428" s="63" t="s">
        <v>1744</v>
      </c>
      <c r="O428" s="63" t="str">
        <f ca="1">IF(H428&lt;&gt;"",IF(H428&lt;=TODAY(),"SI","NO"),"LIMBO")</f>
        <v>SI</v>
      </c>
      <c r="P428" s="63" t="str">
        <f>IF($P$1=H428,"DIASOL", "DIANOSOL")</f>
        <v>DIANOSOL</v>
      </c>
      <c r="Q428" s="63" t="s">
        <v>151</v>
      </c>
      <c r="R428" s="63" t="str">
        <f>VLOOKUP($Q428,Resultados!$A$1:$B$49,2,FALSE)</f>
        <v>Prisión Preventiva</v>
      </c>
      <c r="S428" s="63"/>
      <c r="T428" s="72" t="str">
        <f>IF(G428=$J$1,"SI","NO")</f>
        <v>NO</v>
      </c>
      <c r="U428" s="72"/>
      <c r="V428" s="7" t="str">
        <f ca="1">IF(color_Celda(E428)=12106214,"ROSA",IF(color_Celda(E428)=65535,"AMARILLO",IF(color_Celda(E428)=5296274,"VERDE",IF(color_Celda(E428)=16777215,"BLANCO","NO SE"))))</f>
        <v>ROSA</v>
      </c>
      <c r="W428" s="63"/>
      <c r="X428" s="63"/>
      <c r="Y428" s="63"/>
      <c r="Z428" s="118" t="s">
        <v>770</v>
      </c>
      <c r="AA428" s="118" t="s">
        <v>1165</v>
      </c>
      <c r="AB428" s="118" t="s">
        <v>1171</v>
      </c>
      <c r="AC428" s="324"/>
    </row>
    <row r="429" spans="1:29" ht="60" customHeight="1">
      <c r="A429" s="63">
        <v>438</v>
      </c>
      <c r="B429" s="65">
        <v>45135</v>
      </c>
      <c r="C429" s="70">
        <v>0.41736111111111113</v>
      </c>
      <c r="D429" s="63" t="s">
        <v>2019</v>
      </c>
      <c r="E429" s="64" t="s">
        <v>2020</v>
      </c>
      <c r="F429" s="63">
        <v>5</v>
      </c>
      <c r="G429" s="63" t="s">
        <v>1435</v>
      </c>
      <c r="H429" s="208">
        <v>45141</v>
      </c>
      <c r="I429" s="65" t="s">
        <v>1442</v>
      </c>
      <c r="J429" s="65" t="s">
        <v>31</v>
      </c>
      <c r="K429" s="63" t="s">
        <v>1916</v>
      </c>
      <c r="L429" s="63" t="s">
        <v>569</v>
      </c>
      <c r="M429" s="63" t="s">
        <v>1684</v>
      </c>
      <c r="N429" s="63" t="s">
        <v>2123</v>
      </c>
      <c r="O429" s="63" t="str">
        <f ca="1">IF(H429&lt;&gt;"",IF(H429&lt;=TODAY(),"SI","NO"),"LIMBO")</f>
        <v>SI</v>
      </c>
      <c r="P429" s="63" t="str">
        <f>IF($P$1=H429,"DIASOL", "DIANOSOL")</f>
        <v>DIANOSOL</v>
      </c>
      <c r="Q429" s="63" t="s">
        <v>903</v>
      </c>
      <c r="R429" s="63" t="str">
        <f>VLOOKUP($Q429,Resultados!$A$1:$B$49,2,FALSE)</f>
        <v>Juicio Abreviado</v>
      </c>
      <c r="S429" s="63"/>
      <c r="T429" s="72" t="str">
        <f>IF(G429=$J$1,"SI","NO")</f>
        <v>SI</v>
      </c>
      <c r="U429" s="72"/>
      <c r="V429" s="7" t="str">
        <f ca="1">IF(color_Celda(E429)=12106214,"ROSA",IF(color_Celda(E429)=65535,"AMARILLO",IF(color_Celda(E429)=5296274,"VERDE",IF(color_Celda(E429)=16777215,"BLANCO","NO SE"))))</f>
        <v>ROSA</v>
      </c>
      <c r="W429" s="63"/>
      <c r="X429" s="63"/>
      <c r="Y429" s="63"/>
      <c r="Z429" s="118" t="s">
        <v>1038</v>
      </c>
      <c r="AA429" s="118" t="s">
        <v>1167</v>
      </c>
      <c r="AB429" s="118" t="s">
        <v>1173</v>
      </c>
      <c r="AC429" s="324"/>
    </row>
    <row r="430" spans="1:29" ht="60" customHeight="1">
      <c r="A430" s="63">
        <v>426</v>
      </c>
      <c r="B430" s="65">
        <v>45132</v>
      </c>
      <c r="C430" s="70">
        <v>0.44513888888888892</v>
      </c>
      <c r="D430" s="63" t="s">
        <v>1951</v>
      </c>
      <c r="E430" s="64" t="s">
        <v>2126</v>
      </c>
      <c r="F430" s="63">
        <v>4</v>
      </c>
      <c r="G430" s="63" t="s">
        <v>32</v>
      </c>
      <c r="H430" s="208">
        <v>45142</v>
      </c>
      <c r="I430" s="65" t="s">
        <v>73</v>
      </c>
      <c r="J430" s="65" t="s">
        <v>1219</v>
      </c>
      <c r="K430" s="63" t="s">
        <v>1341</v>
      </c>
      <c r="L430" s="63" t="s">
        <v>801</v>
      </c>
      <c r="M430" s="63" t="s">
        <v>1829</v>
      </c>
      <c r="N430" s="63" t="s">
        <v>577</v>
      </c>
      <c r="O430" s="63" t="str">
        <f ca="1">IF(H430&lt;&gt;"",IF(H430&lt;=TODAY(),"SI","NO"),"LIMBO")</f>
        <v>SI</v>
      </c>
      <c r="P430" s="63" t="str">
        <f>IF($P$1=H430,"DIASOL", "DIANOSOL")</f>
        <v>DIANOSOL</v>
      </c>
      <c r="Q430" s="63" t="s">
        <v>151</v>
      </c>
      <c r="R430" s="63" t="str">
        <f>VLOOKUP($Q430,Resultados!$A$1:$B$49,2,FALSE)</f>
        <v>Prisión Preventiva</v>
      </c>
      <c r="S430" s="63"/>
      <c r="T430" s="72" t="str">
        <f>IF(G430=$J$1,"SI","NO")</f>
        <v>NO</v>
      </c>
      <c r="U430" s="72"/>
      <c r="V430" s="7" t="str">
        <f ca="1">IF(color_Celda(E430)=12106214,"ROSA",IF(color_Celda(E430)=65535,"AMARILLO",IF(color_Celda(E430)=5296274,"VERDE",IF(color_Celda(E430)=16777215,"BLANCO","NO SE"))))</f>
        <v>ROSA</v>
      </c>
      <c r="W430" s="63"/>
      <c r="X430" s="63"/>
      <c r="Y430" s="63"/>
      <c r="Z430" s="118" t="s">
        <v>2133</v>
      </c>
      <c r="AA430" s="118" t="s">
        <v>1165</v>
      </c>
      <c r="AB430" s="118" t="s">
        <v>1170</v>
      </c>
      <c r="AC430" s="324"/>
    </row>
    <row r="431" spans="1:29" ht="60" customHeight="1">
      <c r="A431" s="63">
        <v>434</v>
      </c>
      <c r="B431" s="65">
        <v>45134</v>
      </c>
      <c r="C431" s="70">
        <v>0.3611111111111111</v>
      </c>
      <c r="D431" s="63" t="s">
        <v>1987</v>
      </c>
      <c r="E431" s="64" t="s">
        <v>2127</v>
      </c>
      <c r="F431" s="63">
        <v>1</v>
      </c>
      <c r="G431" s="63" t="s">
        <v>29</v>
      </c>
      <c r="H431" s="208">
        <v>45142</v>
      </c>
      <c r="I431" s="65" t="s">
        <v>73</v>
      </c>
      <c r="J431" s="65" t="s">
        <v>1217</v>
      </c>
      <c r="K431" s="63">
        <f>IFERROR(VLOOKUP(J431,Jueces!$A$1:$B$11,2,FALSE),"")</f>
        <v>7</v>
      </c>
      <c r="L431" s="63" t="s">
        <v>582</v>
      </c>
      <c r="M431" s="63" t="s">
        <v>767</v>
      </c>
      <c r="N431" s="63" t="s">
        <v>2135</v>
      </c>
      <c r="O431" s="63" t="str">
        <f ca="1">IF(H431&lt;&gt;"",IF(H431&lt;=TODAY(),"SI","NO"),"LIMBO")</f>
        <v>SI</v>
      </c>
      <c r="P431" s="63" t="str">
        <f>IF($P$1=H431,"DIASOL", "DIANOSOL")</f>
        <v>DIANOSOL</v>
      </c>
      <c r="Q431" s="63" t="s">
        <v>903</v>
      </c>
      <c r="R431" s="63" t="str">
        <f>VLOOKUP($Q431,Resultados!$A$1:$B$49,2,FALSE)</f>
        <v>Juicio Abreviado</v>
      </c>
      <c r="S431" s="70">
        <v>0.36249999999999999</v>
      </c>
      <c r="T431" s="72" t="str">
        <f>IF(G431=$J$1,"SI","NO")</f>
        <v>NO</v>
      </c>
      <c r="U431" s="72"/>
      <c r="V431" s="7" t="str">
        <f ca="1">IF(color_Celda(E431)=12106214,"ROSA",IF(color_Celda(E431)=65535,"AMARILLO",IF(color_Celda(E431)=5296274,"VERDE",IF(color_Celda(E431)=16777215,"BLANCO","NO SE"))))</f>
        <v>ROSA</v>
      </c>
      <c r="W431" s="70">
        <v>0.37847222222222227</v>
      </c>
      <c r="X431" s="63" t="s">
        <v>2136</v>
      </c>
      <c r="Y431" s="63"/>
      <c r="Z431" s="118" t="s">
        <v>748</v>
      </c>
      <c r="AA431" s="118" t="s">
        <v>1165</v>
      </c>
      <c r="AB431" s="118" t="s">
        <v>1172</v>
      </c>
      <c r="AC431" s="324"/>
    </row>
    <row r="432" spans="1:29" ht="60" customHeight="1">
      <c r="A432" s="63">
        <v>436</v>
      </c>
      <c r="B432" s="65">
        <v>45135</v>
      </c>
      <c r="C432" s="70">
        <v>0.35416666666666669</v>
      </c>
      <c r="D432" s="63" t="s">
        <v>2023</v>
      </c>
      <c r="E432" s="64" t="s">
        <v>2128</v>
      </c>
      <c r="F432" s="63">
        <v>5</v>
      </c>
      <c r="G432" s="63" t="s">
        <v>1434</v>
      </c>
      <c r="H432" s="208">
        <v>45142</v>
      </c>
      <c r="I432" s="65" t="s">
        <v>73</v>
      </c>
      <c r="J432" s="65" t="s">
        <v>1218</v>
      </c>
      <c r="K432" s="63" t="s">
        <v>1321</v>
      </c>
      <c r="L432" s="63" t="s">
        <v>810</v>
      </c>
      <c r="M432" s="63" t="s">
        <v>1956</v>
      </c>
      <c r="N432" s="63" t="s">
        <v>151</v>
      </c>
      <c r="O432" s="63" t="str">
        <f ca="1">IF(H432&lt;&gt;"",IF(H432&lt;=TODAY(),"SI","NO"),"LIMBO")</f>
        <v>SI</v>
      </c>
      <c r="P432" s="63" t="str">
        <f>IF($P$1=H432,"DIASOL", "DIANOSOL")</f>
        <v>DIANOSOL</v>
      </c>
      <c r="Q432" s="63" t="s">
        <v>151</v>
      </c>
      <c r="R432" s="63" t="str">
        <f>VLOOKUP($Q432,Resultados!$A$1:$B$49,2,FALSE)</f>
        <v>Prisión Preventiva</v>
      </c>
      <c r="S432" s="70">
        <v>0.3611111111111111</v>
      </c>
      <c r="T432" s="72" t="str">
        <f>IF(G432=$J$1,"SI","NO")</f>
        <v>NO</v>
      </c>
      <c r="U432" s="72"/>
      <c r="V432" s="7" t="str">
        <f ca="1">IF(color_Celda(E432)=12106214,"ROSA",IF(color_Celda(E432)=65535,"AMARILLO",IF(color_Celda(E432)=5296274,"VERDE",IF(color_Celda(E432)=16777215,"BLANCO","NO SE"))))</f>
        <v>ROSA</v>
      </c>
      <c r="W432" s="70">
        <v>0.375</v>
      </c>
      <c r="X432" s="63" t="s">
        <v>2137</v>
      </c>
      <c r="Y432" s="63"/>
      <c r="Z432" s="118" t="s">
        <v>770</v>
      </c>
      <c r="AA432" s="118" t="s">
        <v>743</v>
      </c>
      <c r="AB432" s="118" t="s">
        <v>1169</v>
      </c>
      <c r="AC432" s="324"/>
    </row>
    <row r="433" spans="1:29" ht="60" customHeight="1">
      <c r="A433" s="63">
        <v>437</v>
      </c>
      <c r="B433" s="65">
        <v>45135</v>
      </c>
      <c r="C433" s="70">
        <v>0.35416666666666669</v>
      </c>
      <c r="D433" s="63" t="s">
        <v>2039</v>
      </c>
      <c r="E433" s="64" t="s">
        <v>2129</v>
      </c>
      <c r="F433" s="63">
        <v>5</v>
      </c>
      <c r="G433" s="63" t="s">
        <v>43</v>
      </c>
      <c r="H433" s="208">
        <v>45142</v>
      </c>
      <c r="I433" s="65" t="s">
        <v>73</v>
      </c>
      <c r="J433" s="65" t="s">
        <v>35</v>
      </c>
      <c r="K433" s="63" t="s">
        <v>1512</v>
      </c>
      <c r="L433" s="63" t="s">
        <v>796</v>
      </c>
      <c r="M433" s="63" t="s">
        <v>1984</v>
      </c>
      <c r="N433" s="63" t="s">
        <v>577</v>
      </c>
      <c r="O433" s="63" t="str">
        <f ca="1">IF(H433&lt;&gt;"",IF(H433&lt;=TODAY(),"SI","NO"),"LIMBO")</f>
        <v>SI</v>
      </c>
      <c r="P433" s="63" t="str">
        <f>IF($P$1=H433,"DIASOL", "DIANOSOL")</f>
        <v>DIANOSOL</v>
      </c>
      <c r="Q433" s="63" t="s">
        <v>151</v>
      </c>
      <c r="R433" s="63" t="str">
        <f>VLOOKUP($Q433,Resultados!$A$1:$B$49,2,FALSE)</f>
        <v>Prisión Preventiva</v>
      </c>
      <c r="S433" s="70">
        <v>0.34583333333333338</v>
      </c>
      <c r="T433" s="72" t="str">
        <f>IF(G433=$J$1,"SI","NO")</f>
        <v>NO</v>
      </c>
      <c r="U433" s="72"/>
      <c r="V433" s="7" t="str">
        <f ca="1">IF(color_Celda(E433)=12106214,"ROSA",IF(color_Celda(E433)=65535,"AMARILLO",IF(color_Celda(E433)=5296274,"VERDE",IF(color_Celda(E433)=16777215,"BLANCO","NO SE"))))</f>
        <v>ROSA</v>
      </c>
      <c r="W433" s="70">
        <v>0.36041666666666666</v>
      </c>
      <c r="X433" s="63" t="s">
        <v>2138</v>
      </c>
      <c r="Y433" s="63"/>
      <c r="Z433" s="118" t="s">
        <v>1038</v>
      </c>
      <c r="AA433" s="118" t="s">
        <v>743</v>
      </c>
      <c r="AB433" s="118" t="s">
        <v>1171</v>
      </c>
      <c r="AC433" s="324"/>
    </row>
    <row r="434" spans="1:29" ht="60" customHeight="1">
      <c r="A434" s="63">
        <v>430</v>
      </c>
      <c r="B434" s="65">
        <v>45133</v>
      </c>
      <c r="C434" s="70">
        <v>0.50624999999999998</v>
      </c>
      <c r="D434" s="63" t="s">
        <v>1978</v>
      </c>
      <c r="E434" s="64" t="s">
        <v>2130</v>
      </c>
      <c r="F434" s="63">
        <v>4</v>
      </c>
      <c r="G434" s="63" t="s">
        <v>1435</v>
      </c>
      <c r="H434" s="208">
        <v>45142</v>
      </c>
      <c r="I434" s="65" t="s">
        <v>1083</v>
      </c>
      <c r="J434" s="65" t="s">
        <v>1219</v>
      </c>
      <c r="K434" s="63" t="s">
        <v>1916</v>
      </c>
      <c r="L434" s="63" t="s">
        <v>1445</v>
      </c>
      <c r="M434" s="63" t="s">
        <v>1994</v>
      </c>
      <c r="N434" s="63" t="s">
        <v>2025</v>
      </c>
      <c r="O434" s="63" t="str">
        <f ca="1">IF(H434&lt;&gt;"",IF(H434&lt;=TODAY(),"SI","NO"),"LIMBO")</f>
        <v>SI</v>
      </c>
      <c r="P434" s="63" t="str">
        <f>IF($P$1=H434,"DIASOL", "DIANOSOL")</f>
        <v>DIANOSOL</v>
      </c>
      <c r="Q434" s="63" t="s">
        <v>151</v>
      </c>
      <c r="R434" s="63" t="str">
        <f>VLOOKUP($Q434,Resultados!$A$1:$B$49,2,FALSE)</f>
        <v>Prisión Preventiva</v>
      </c>
      <c r="S434" s="70">
        <v>0.38680555555555557</v>
      </c>
      <c r="T434" s="72" t="str">
        <f>IF(G434=$J$1,"SI","NO")</f>
        <v>SI</v>
      </c>
      <c r="U434" s="72"/>
      <c r="V434" s="7" t="str">
        <f ca="1">IF(color_Celda(E434)=12106214,"ROSA",IF(color_Celda(E434)=65535,"AMARILLO",IF(color_Celda(E434)=5296274,"VERDE",IF(color_Celda(E434)=16777215,"BLANCO","NO SE"))))</f>
        <v>ROSA</v>
      </c>
      <c r="W434" s="70">
        <v>0.40277777777777773</v>
      </c>
      <c r="X434" s="63" t="s">
        <v>2134</v>
      </c>
      <c r="Y434" s="63"/>
      <c r="Z434" s="118" t="s">
        <v>748</v>
      </c>
      <c r="AA434" s="118" t="s">
        <v>1165</v>
      </c>
      <c r="AB434" s="118" t="s">
        <v>1173</v>
      </c>
      <c r="AC434" s="324"/>
    </row>
    <row r="435" spans="1:29" ht="60" customHeight="1">
      <c r="A435" s="63">
        <v>433</v>
      </c>
      <c r="B435" s="65">
        <v>45134</v>
      </c>
      <c r="C435" s="70">
        <v>0.33333333333333331</v>
      </c>
      <c r="D435" s="63" t="s">
        <v>1993</v>
      </c>
      <c r="E435" s="64" t="s">
        <v>2131</v>
      </c>
      <c r="F435" s="63">
        <v>4</v>
      </c>
      <c r="G435" s="63" t="s">
        <v>1433</v>
      </c>
      <c r="H435" s="208">
        <v>45142</v>
      </c>
      <c r="I435" s="65" t="s">
        <v>1083</v>
      </c>
      <c r="J435" s="65" t="s">
        <v>78</v>
      </c>
      <c r="K435" s="63">
        <f>IFERROR(VLOOKUP(J435,Jueces!$A$1:$B$11,2,FALSE),"")</f>
        <v>8</v>
      </c>
      <c r="L435" s="63" t="s">
        <v>796</v>
      </c>
      <c r="M435" s="63" t="s">
        <v>1960</v>
      </c>
      <c r="N435" s="63" t="s">
        <v>482</v>
      </c>
      <c r="O435" s="63" t="str">
        <f ca="1">IF(H435&lt;&gt;"",IF(H435&lt;=TODAY(),"SI","NO"),"LIMBO")</f>
        <v>SI</v>
      </c>
      <c r="P435" s="63" t="str">
        <f>IF($P$1=H435,"DIASOL", "DIANOSOL")</f>
        <v>DIANOSOL</v>
      </c>
      <c r="Q435" s="63" t="s">
        <v>151</v>
      </c>
      <c r="R435" s="63" t="str">
        <f>VLOOKUP($Q435,Resultados!$A$1:$B$49,2,FALSE)</f>
        <v>Prisión Preventiva</v>
      </c>
      <c r="S435" s="70">
        <v>0.3923611111111111</v>
      </c>
      <c r="T435" s="72" t="str">
        <f>IF(G435=$J$1,"SI","NO")</f>
        <v>NO</v>
      </c>
      <c r="U435" s="72"/>
      <c r="V435" s="7" t="str">
        <f ca="1">IF(color_Celda(E435)=12106214,"ROSA",IF(color_Celda(E435)=65535,"AMARILLO",IF(color_Celda(E435)=5296274,"VERDE",IF(color_Celda(E435)=16777215,"BLANCO","NO SE"))))</f>
        <v>ROSA</v>
      </c>
      <c r="W435" s="70">
        <v>0.41111111111111115</v>
      </c>
      <c r="X435" s="63" t="s">
        <v>2016</v>
      </c>
      <c r="Y435" s="63"/>
      <c r="Z435" s="118" t="s">
        <v>770</v>
      </c>
      <c r="AA435" s="118" t="s">
        <v>1167</v>
      </c>
      <c r="AB435" s="118" t="s">
        <v>1170</v>
      </c>
      <c r="AC435" s="324"/>
    </row>
    <row r="436" spans="1:29" ht="60" customHeight="1">
      <c r="A436" s="63">
        <v>431</v>
      </c>
      <c r="B436" s="65">
        <v>45133</v>
      </c>
      <c r="C436" s="70">
        <v>0.51388888888888895</v>
      </c>
      <c r="D436" s="63" t="s">
        <v>1979</v>
      </c>
      <c r="E436" s="64" t="s">
        <v>2132</v>
      </c>
      <c r="F436" s="63">
        <v>4</v>
      </c>
      <c r="G436" s="63" t="s">
        <v>568</v>
      </c>
      <c r="H436" s="208">
        <v>45142</v>
      </c>
      <c r="I436" s="65" t="s">
        <v>2011</v>
      </c>
      <c r="J436" s="65" t="s">
        <v>33</v>
      </c>
      <c r="K436" s="63">
        <f>IFERROR(VLOOKUP(J436,Jueces!$A$1:$B$11,2,FALSE),"")</f>
        <v>4</v>
      </c>
      <c r="L436" s="63" t="s">
        <v>796</v>
      </c>
      <c r="M436" s="63" t="s">
        <v>1829</v>
      </c>
      <c r="N436" s="63" t="s">
        <v>1892</v>
      </c>
      <c r="O436" s="63" t="str">
        <f ca="1">IF(H436&lt;&gt;"",IF(H436&lt;=TODAY(),"SI","NO"),"LIMBO")</f>
        <v>SI</v>
      </c>
      <c r="P436" s="63" t="str">
        <f>IF($P$1=H436,"DIASOL", "DIANOSOL")</f>
        <v>DIANOSOL</v>
      </c>
      <c r="Q436" s="63" t="s">
        <v>1892</v>
      </c>
      <c r="R436" s="63" t="str">
        <f>VLOOKUP($Q436,Resultados!$A$1:$B$49,2,FALSE)</f>
        <v>Sobreseimiento</v>
      </c>
      <c r="S436" s="70">
        <v>0.53749999999999998</v>
      </c>
      <c r="T436" s="72" t="str">
        <f>IF(G436=$J$1,"SI","NO")</f>
        <v>NO</v>
      </c>
      <c r="U436" s="72"/>
      <c r="V436" s="7" t="str">
        <f ca="1">IF(color_Celda(E436)=12106214,"ROSA",IF(color_Celda(E436)=65535,"AMARILLO",IF(color_Celda(E436)=5296274,"VERDE",IF(color_Celda(E436)=16777215,"BLANCO","NO SE"))))</f>
        <v>ROSA</v>
      </c>
      <c r="W436" s="70">
        <v>0.54513888888888895</v>
      </c>
      <c r="X436" s="63"/>
      <c r="Y436" s="63"/>
      <c r="Z436" s="118" t="s">
        <v>1038</v>
      </c>
      <c r="AA436" s="118" t="s">
        <v>743</v>
      </c>
      <c r="AB436" s="118" t="s">
        <v>1172</v>
      </c>
      <c r="AC436" s="324"/>
    </row>
    <row r="437" spans="1:29" ht="60" customHeight="1">
      <c r="A437" s="7">
        <v>428</v>
      </c>
      <c r="B437" s="19">
        <v>45132</v>
      </c>
      <c r="C437" s="15">
        <v>0.4916666666666667</v>
      </c>
      <c r="D437" s="7" t="s">
        <v>1986</v>
      </c>
      <c r="E437" s="40" t="s">
        <v>1952</v>
      </c>
      <c r="F437" s="7">
        <v>2</v>
      </c>
      <c r="G437" s="7" t="s">
        <v>29</v>
      </c>
      <c r="H437" s="297">
        <v>45145</v>
      </c>
      <c r="I437" s="19" t="s">
        <v>73</v>
      </c>
      <c r="J437" s="19" t="s">
        <v>33</v>
      </c>
      <c r="K437" s="7">
        <v>4</v>
      </c>
      <c r="L437" s="7" t="s">
        <v>1067</v>
      </c>
      <c r="M437" s="7" t="s">
        <v>1976</v>
      </c>
      <c r="N437" s="7" t="s">
        <v>2148</v>
      </c>
      <c r="O437" s="365" t="str">
        <f ca="1">IF(H437&lt;&gt;"",IF(H437&lt;=TODAY(),"SI","NO"),"LIMBO")</f>
        <v>SI</v>
      </c>
      <c r="P437" s="365" t="str">
        <f>IF($P$1=H437,"DIASOL", "DIANOSOL")</f>
        <v>DIANOSOL</v>
      </c>
      <c r="Q437" s="7" t="s">
        <v>151</v>
      </c>
      <c r="R437" s="7" t="str">
        <f>VLOOKUP($Q437,Resultados!$A$1:$B$49,2,FALSE)</f>
        <v>Prisión Preventiva</v>
      </c>
      <c r="S437" s="15">
        <v>0.3444444444444445</v>
      </c>
      <c r="T437" s="367" t="str">
        <f>IF(G437=$J$1,"SI","NO")</f>
        <v>NO</v>
      </c>
      <c r="U437" s="367"/>
      <c r="V437" s="7" t="str">
        <f ca="1">IF(color_Celda(E437)=12106214,"ROSA",IF(color_Celda(E437)=65535,"AMARILLO",IF(color_Celda(E437)=5296274,"VERDE",IF(color_Celda(E437)=16777215,"BLANCO","NO SE"))))</f>
        <v>ROSA</v>
      </c>
      <c r="W437" s="15">
        <v>0.3576388888888889</v>
      </c>
      <c r="X437" s="7" t="s">
        <v>2150</v>
      </c>
      <c r="Y437" s="7"/>
      <c r="Z437" s="118" t="s">
        <v>1039</v>
      </c>
      <c r="AA437" s="268" t="s">
        <v>1167</v>
      </c>
      <c r="AB437" s="118" t="s">
        <v>1169</v>
      </c>
      <c r="AC437" s="324"/>
    </row>
    <row r="438" spans="1:29" ht="60" customHeight="1">
      <c r="A438" s="63">
        <v>440</v>
      </c>
      <c r="B438" s="65">
        <v>45135</v>
      </c>
      <c r="C438" s="70">
        <v>0.48888888888888887</v>
      </c>
      <c r="D438" s="63" t="s">
        <v>2027</v>
      </c>
      <c r="E438" s="64" t="s">
        <v>2028</v>
      </c>
      <c r="F438" s="63">
        <v>5</v>
      </c>
      <c r="G438" s="63" t="s">
        <v>43</v>
      </c>
      <c r="H438" s="208">
        <v>45145</v>
      </c>
      <c r="I438" s="65" t="s">
        <v>73</v>
      </c>
      <c r="J438" s="65" t="s">
        <v>1216</v>
      </c>
      <c r="K438" s="63">
        <f>IFERROR(VLOOKUP(J438,Jueces!$A$1:$B$11,2,FALSE),"")</f>
        <v>1</v>
      </c>
      <c r="L438" s="63" t="s">
        <v>811</v>
      </c>
      <c r="M438" s="63" t="s">
        <v>1956</v>
      </c>
      <c r="N438" s="63" t="s">
        <v>621</v>
      </c>
      <c r="O438" s="63" t="str">
        <f ca="1">IF(H438&lt;&gt;"",IF(H438&lt;=TODAY(),"SI","NO"),"LIMBO")</f>
        <v>SI</v>
      </c>
      <c r="P438" s="63" t="str">
        <f>IF($P$1=H438,"DIASOL", "DIANOSOL")</f>
        <v>DIANOSOL</v>
      </c>
      <c r="Q438" s="63" t="s">
        <v>151</v>
      </c>
      <c r="R438" s="63" t="str">
        <f>VLOOKUP($Q438,Resultados!$A$1:$B$49,2,FALSE)</f>
        <v>Prisión Preventiva</v>
      </c>
      <c r="S438" s="70">
        <v>0.42083333333333334</v>
      </c>
      <c r="T438" s="72" t="str">
        <f>IF(G438=$J$1,"SI","NO")</f>
        <v>NO</v>
      </c>
      <c r="U438" s="72"/>
      <c r="V438" s="7" t="str">
        <f ca="1">IF(color_Celda(E438)=12106214,"ROSA",IF(color_Celda(E438)=65535,"AMARILLO",IF(color_Celda(E438)=5296274,"VERDE",IF(color_Celda(E438)=16777215,"BLANCO","NO SE"))))</f>
        <v>ROSA</v>
      </c>
      <c r="W438" s="70">
        <v>0.43888888888888888</v>
      </c>
      <c r="X438" s="63"/>
      <c r="Y438" s="63"/>
      <c r="Z438" s="118" t="s">
        <v>748</v>
      </c>
      <c r="AA438" s="118" t="s">
        <v>743</v>
      </c>
      <c r="AB438" s="118" t="s">
        <v>1171</v>
      </c>
      <c r="AC438" s="324"/>
    </row>
    <row r="439" spans="1:29" ht="60" customHeight="1">
      <c r="A439" s="63">
        <v>441</v>
      </c>
      <c r="B439" s="65">
        <v>45138</v>
      </c>
      <c r="C439" s="70">
        <v>0.33333333333333331</v>
      </c>
      <c r="D439" s="63" t="s">
        <v>2040</v>
      </c>
      <c r="E439" s="64" t="s">
        <v>2041</v>
      </c>
      <c r="F439" s="63">
        <v>5</v>
      </c>
      <c r="G439" s="63" t="s">
        <v>568</v>
      </c>
      <c r="H439" s="208">
        <v>45145</v>
      </c>
      <c r="I439" s="65" t="s">
        <v>73</v>
      </c>
      <c r="J439" s="65" t="s">
        <v>1218</v>
      </c>
      <c r="K439" s="63" t="s">
        <v>1321</v>
      </c>
      <c r="L439" s="63" t="s">
        <v>810</v>
      </c>
      <c r="M439" s="63" t="s">
        <v>1866</v>
      </c>
      <c r="N439" s="63" t="s">
        <v>2147</v>
      </c>
      <c r="O439" s="63" t="str">
        <f ca="1">IF(H439&lt;&gt;"",IF(H439&lt;=TODAY(),"SI","NO"),"LIMBO")</f>
        <v>SI</v>
      </c>
      <c r="P439" s="63" t="str">
        <f>IF($P$1=H439,"DIASOL", "DIANOSOL")</f>
        <v>DIANOSOL</v>
      </c>
      <c r="Q439" s="63" t="s">
        <v>902</v>
      </c>
      <c r="R439" s="63" t="str">
        <f>VLOOKUP($Q439,Resultados!$A$1:$B$49,2,FALSE)</f>
        <v>Juicio Abreviado</v>
      </c>
      <c r="S439" s="70">
        <v>0.34722222222222227</v>
      </c>
      <c r="T439" s="72" t="str">
        <f>IF(G439=$J$1,"SI","NO")</f>
        <v>NO</v>
      </c>
      <c r="U439" s="72"/>
      <c r="V439" s="7" t="str">
        <f ca="1">IF(color_Celda(E439)=12106214,"ROSA",IF(color_Celda(E439)=65535,"AMARILLO",IF(color_Celda(E439)=5296274,"VERDE",IF(color_Celda(E439)=16777215,"BLANCO","NO SE"))))</f>
        <v>ROSA</v>
      </c>
      <c r="W439" s="70">
        <v>0.3527777777777778</v>
      </c>
      <c r="X439" s="63" t="s">
        <v>2149</v>
      </c>
      <c r="Y439" s="63"/>
      <c r="Z439" s="118" t="s">
        <v>743</v>
      </c>
      <c r="AA439" s="118" t="s">
        <v>1165</v>
      </c>
      <c r="AB439" s="118" t="s">
        <v>1173</v>
      </c>
      <c r="AC439" s="324"/>
    </row>
    <row r="440" spans="1:29" ht="60" customHeight="1">
      <c r="A440" s="63">
        <v>445</v>
      </c>
      <c r="B440" s="65">
        <v>45139</v>
      </c>
      <c r="C440" s="70">
        <v>0.39097222222222222</v>
      </c>
      <c r="D440" s="63" t="s">
        <v>2065</v>
      </c>
      <c r="E440" s="64" t="s">
        <v>2066</v>
      </c>
      <c r="F440" s="63">
        <v>5</v>
      </c>
      <c r="G440" s="63" t="s">
        <v>283</v>
      </c>
      <c r="H440" s="208">
        <v>45145</v>
      </c>
      <c r="I440" s="65" t="s">
        <v>73</v>
      </c>
      <c r="J440" s="65" t="s">
        <v>31</v>
      </c>
      <c r="K440" s="63">
        <f>IFERROR(VLOOKUP(J440,Jueces!$A$1:$B$11,2,FALSE),"")</f>
        <v>2</v>
      </c>
      <c r="L440" s="63" t="s">
        <v>806</v>
      </c>
      <c r="M440" s="63" t="s">
        <v>2067</v>
      </c>
      <c r="N440" s="63" t="s">
        <v>897</v>
      </c>
      <c r="O440" s="63" t="str">
        <f ca="1">IF(H440&lt;&gt;"",IF(H440&lt;=TODAY(),"SI","NO"),"LIMBO")</f>
        <v>SI</v>
      </c>
      <c r="P440" s="63" t="str">
        <f>IF($P$1=H440,"DIASOL", "DIANOSOL")</f>
        <v>DIANOSOL</v>
      </c>
      <c r="Q440" s="63" t="s">
        <v>897</v>
      </c>
      <c r="R440" s="63" t="str">
        <f>VLOOKUP($Q440,Resultados!$A$1:$B$49,2,FALSE)</f>
        <v>Libertad</v>
      </c>
      <c r="S440" s="70">
        <v>0.45555555555555555</v>
      </c>
      <c r="T440" s="72" t="str">
        <f>IF(G440=$J$1,"SI","NO")</f>
        <v>NO</v>
      </c>
      <c r="U440" s="72"/>
      <c r="V440" s="7" t="str">
        <f ca="1">IF(color_Celda(E440)=12106214,"ROSA",IF(color_Celda(E440)=65535,"AMARILLO",IF(color_Celda(E440)=5296274,"VERDE",IF(color_Celda(E440)=16777215,"BLANCO","NO SE"))))</f>
        <v>ROSA</v>
      </c>
      <c r="W440" s="70">
        <v>0.47430555555555554</v>
      </c>
      <c r="X440" s="63" t="s">
        <v>2153</v>
      </c>
      <c r="Y440" s="7"/>
      <c r="Z440" s="118" t="s">
        <v>770</v>
      </c>
      <c r="AA440" s="268" t="s">
        <v>1167</v>
      </c>
      <c r="AB440" s="118" t="s">
        <v>1172</v>
      </c>
      <c r="AC440" s="324"/>
    </row>
    <row r="441" spans="1:29" ht="60" customHeight="1">
      <c r="A441" s="63">
        <v>446</v>
      </c>
      <c r="B441" s="65">
        <v>45139</v>
      </c>
      <c r="C441" s="70">
        <v>0.43472222222222223</v>
      </c>
      <c r="D441" s="63" t="s">
        <v>2071</v>
      </c>
      <c r="E441" s="64" t="s">
        <v>2083</v>
      </c>
      <c r="F441" s="63">
        <v>5</v>
      </c>
      <c r="G441" s="63" t="s">
        <v>1433</v>
      </c>
      <c r="H441" s="208">
        <v>45145</v>
      </c>
      <c r="I441" s="65" t="s">
        <v>73</v>
      </c>
      <c r="J441" s="65" t="s">
        <v>78</v>
      </c>
      <c r="K441" s="63">
        <f>IFERROR(VLOOKUP(J441,Jueces!$A$1:$B$11,2,FALSE),"")</f>
        <v>8</v>
      </c>
      <c r="L441" s="63" t="s">
        <v>797</v>
      </c>
      <c r="M441" s="63" t="s">
        <v>2079</v>
      </c>
      <c r="N441" s="63" t="s">
        <v>2151</v>
      </c>
      <c r="O441" s="63" t="str">
        <f ca="1">IF(H441&lt;&gt;"",IF(H441&lt;=TODAY(),"SI","NO"),"LIMBO")</f>
        <v>SI</v>
      </c>
      <c r="P441" s="63" t="str">
        <f>IF($P$1=H441,"DIASOL", "DIANOSOL")</f>
        <v>DIANOSOL</v>
      </c>
      <c r="Q441" s="63" t="s">
        <v>151</v>
      </c>
      <c r="R441" s="63" t="str">
        <f>VLOOKUP($Q441,Resultados!$A$1:$B$49,2,FALSE)</f>
        <v>Prisión Preventiva</v>
      </c>
      <c r="S441" s="70">
        <v>0.37847222222222227</v>
      </c>
      <c r="T441" s="72" t="str">
        <f>IF(G441=$J$1,"SI","NO")</f>
        <v>NO</v>
      </c>
      <c r="U441" s="72"/>
      <c r="V441" s="7" t="str">
        <f ca="1">IF(color_Celda(E441)=12106214,"ROSA",IF(color_Celda(E441)=65535,"AMARILLO",IF(color_Celda(E441)=5296274,"VERDE",IF(color_Celda(E441)=16777215,"BLANCO","NO SE"))))</f>
        <v>ROSA</v>
      </c>
      <c r="W441" s="70">
        <v>0.39513888888888887</v>
      </c>
      <c r="X441" s="63" t="s">
        <v>2152</v>
      </c>
      <c r="Y441" s="365"/>
      <c r="Z441" s="118" t="s">
        <v>1038</v>
      </c>
      <c r="AA441" s="118" t="s">
        <v>1165</v>
      </c>
      <c r="AB441" s="118" t="s">
        <v>1169</v>
      </c>
      <c r="AC441" s="324"/>
    </row>
    <row r="442" spans="1:29" ht="60" customHeight="1">
      <c r="A442" s="63">
        <v>443</v>
      </c>
      <c r="B442" s="65">
        <v>45138</v>
      </c>
      <c r="C442" s="70">
        <v>0.53055555555555556</v>
      </c>
      <c r="D442" s="63" t="s">
        <v>2054</v>
      </c>
      <c r="E442" s="64" t="s">
        <v>2055</v>
      </c>
      <c r="F442" s="63">
        <v>2</v>
      </c>
      <c r="G442" s="63" t="s">
        <v>32</v>
      </c>
      <c r="H442" s="208">
        <v>45145</v>
      </c>
      <c r="I442" s="65" t="s">
        <v>1083</v>
      </c>
      <c r="J442" s="65" t="s">
        <v>35</v>
      </c>
      <c r="K442" s="63">
        <v>1</v>
      </c>
      <c r="L442" s="63" t="s">
        <v>806</v>
      </c>
      <c r="M442" s="63" t="s">
        <v>1956</v>
      </c>
      <c r="N442" s="63" t="s">
        <v>897</v>
      </c>
      <c r="O442" s="63" t="str">
        <f ca="1">IF(H442&lt;&gt;"",IF(H442&lt;=TODAY(),"SI","NO"),"LIMBO")</f>
        <v>SI</v>
      </c>
      <c r="P442" s="63" t="str">
        <f>IF($P$1=H442,"DIASOL", "DIANOSOL")</f>
        <v>DIANOSOL</v>
      </c>
      <c r="Q442" s="63" t="s">
        <v>897</v>
      </c>
      <c r="R442" s="63" t="str">
        <f>VLOOKUP($Q442,Resultados!$A$1:$B$49,2,FALSE)</f>
        <v>Libertad</v>
      </c>
      <c r="S442" s="70">
        <v>0.37708333333333338</v>
      </c>
      <c r="T442" s="72" t="str">
        <f>IF(G442=$J$1,"SI","NO")</f>
        <v>NO</v>
      </c>
      <c r="U442" s="72"/>
      <c r="V442" s="7" t="str">
        <f ca="1">IF(color_Celda(E442)=12106214,"ROSA",IF(color_Celda(E442)=65535,"AMARILLO",IF(color_Celda(E442)=5296274,"VERDE",IF(color_Celda(E442)=16777215,"BLANCO","NO SE"))))</f>
        <v>ROSA</v>
      </c>
      <c r="W442" s="70">
        <v>0.39374999999999999</v>
      </c>
      <c r="X442" s="63"/>
      <c r="Y442" s="63"/>
      <c r="Z442" s="118" t="s">
        <v>1039</v>
      </c>
      <c r="AA442" s="118" t="s">
        <v>743</v>
      </c>
      <c r="AB442" s="118" t="s">
        <v>1170</v>
      </c>
      <c r="AC442" s="324"/>
    </row>
    <row r="443" spans="1:29" ht="60" customHeight="1">
      <c r="A443" s="63">
        <v>371</v>
      </c>
      <c r="B443" s="65">
        <v>45114</v>
      </c>
      <c r="C443" s="70">
        <v>0.49444444444444446</v>
      </c>
      <c r="D443" s="63" t="s">
        <v>1692</v>
      </c>
      <c r="E443" s="64" t="s">
        <v>2176</v>
      </c>
      <c r="F443" s="63">
        <v>3</v>
      </c>
      <c r="G443" s="63" t="s">
        <v>1433</v>
      </c>
      <c r="H443" s="208">
        <v>45145</v>
      </c>
      <c r="I443" s="65" t="s">
        <v>2011</v>
      </c>
      <c r="J443" s="65" t="s">
        <v>35</v>
      </c>
      <c r="K443" s="63" t="s">
        <v>1512</v>
      </c>
      <c r="L443" s="63" t="s">
        <v>1693</v>
      </c>
      <c r="M443" s="63" t="s">
        <v>694</v>
      </c>
      <c r="N443" s="63" t="s">
        <v>235</v>
      </c>
      <c r="O443" s="63" t="str">
        <f ca="1">IF(H443&lt;&gt;"",IF(H443&lt;=TODAY(),"SI","NO"),"LIMBO")</f>
        <v>SI</v>
      </c>
      <c r="P443" s="63" t="str">
        <f>IF($P$1=H443,"DIASOL", "DIANOSOL")</f>
        <v>DIANOSOL</v>
      </c>
      <c r="Q443" s="63" t="s">
        <v>151</v>
      </c>
      <c r="R443" s="63" t="str">
        <f>VLOOKUP($Q443,Resultados!$A$1:$B$49,2,FALSE)</f>
        <v>Prisión Preventiva</v>
      </c>
      <c r="S443" s="70">
        <v>0.53402777777777777</v>
      </c>
      <c r="T443" s="72" t="str">
        <f>IF(G443=$J$1,"SI","NO")</f>
        <v>NO</v>
      </c>
      <c r="U443" s="72"/>
      <c r="V443" s="7" t="str">
        <f ca="1">IF(color_Celda(E443)=12106214,"ROSA",IF(color_Celda(E443)=65535,"AMARILLO",IF(color_Celda(E443)=5296274,"VERDE",IF(color_Celda(E443)=16777215,"BLANCO","NO SE"))))</f>
        <v>ROSA</v>
      </c>
      <c r="W443" s="70">
        <v>0.54097222222222219</v>
      </c>
      <c r="X443" s="63" t="s">
        <v>2165</v>
      </c>
      <c r="Y443" s="63"/>
      <c r="Z443" s="118" t="s">
        <v>748</v>
      </c>
      <c r="AA443" s="118" t="s">
        <v>1167</v>
      </c>
      <c r="AB443" s="118" t="s">
        <v>1171</v>
      </c>
      <c r="AC443" s="324"/>
    </row>
    <row r="444" spans="1:29" ht="60" customHeight="1">
      <c r="A444" s="63">
        <v>444</v>
      </c>
      <c r="B444" s="65">
        <v>45138</v>
      </c>
      <c r="C444" s="70">
        <v>0.47152777777777777</v>
      </c>
      <c r="D444" s="63" t="s">
        <v>2057</v>
      </c>
      <c r="E444" s="64" t="s">
        <v>2056</v>
      </c>
      <c r="F444" s="63">
        <v>5</v>
      </c>
      <c r="G444" s="63" t="s">
        <v>32</v>
      </c>
      <c r="H444" s="208">
        <v>45146</v>
      </c>
      <c r="I444" s="65" t="s">
        <v>73</v>
      </c>
      <c r="J444" s="65" t="s">
        <v>1219</v>
      </c>
      <c r="K444" s="63" t="s">
        <v>1321</v>
      </c>
      <c r="L444" s="63" t="s">
        <v>809</v>
      </c>
      <c r="M444" s="63" t="s">
        <v>1866</v>
      </c>
      <c r="N444" s="63" t="s">
        <v>2177</v>
      </c>
      <c r="O444" s="63" t="str">
        <f ca="1">IF(H444&lt;&gt;"",IF(H444&lt;=TODAY(),"SI","NO"),"LIMBO")</f>
        <v>SI</v>
      </c>
      <c r="P444" s="63" t="str">
        <f>IF($P$1=H444,"DIASOL", "DIANOSOL")</f>
        <v>DIANOSOL</v>
      </c>
      <c r="Q444" s="63" t="s">
        <v>902</v>
      </c>
      <c r="R444" s="63" t="str">
        <f>VLOOKUP($Q444,Resultados!$A$1:$B$49,2,FALSE)</f>
        <v>Juicio Abreviado</v>
      </c>
      <c r="S444" s="70">
        <v>0.36527777777777781</v>
      </c>
      <c r="T444" s="72" t="str">
        <f>IF(G444=$J$1,"SI","NO")</f>
        <v>NO</v>
      </c>
      <c r="U444" s="72"/>
      <c r="V444" s="7" t="str">
        <f ca="1">IF(color_Celda(E444)=12106214,"ROSA",IF(color_Celda(E444)=65535,"AMARILLO",IF(color_Celda(E444)=5296274,"VERDE",IF(color_Celda(E444)=16777215,"BLANCO","NO SE"))))</f>
        <v>ROSA</v>
      </c>
      <c r="W444" s="70">
        <v>0.375</v>
      </c>
      <c r="X444" s="63" t="s">
        <v>2138</v>
      </c>
      <c r="Y444" s="63"/>
      <c r="Z444" s="118" t="s">
        <v>743</v>
      </c>
      <c r="AA444" s="118" t="s">
        <v>743</v>
      </c>
      <c r="AB444" s="118" t="s">
        <v>1173</v>
      </c>
      <c r="AC444" s="324"/>
    </row>
    <row r="445" spans="1:29" ht="60" customHeight="1">
      <c r="A445" s="63">
        <v>448</v>
      </c>
      <c r="B445" s="65">
        <v>45139</v>
      </c>
      <c r="C445" s="70">
        <v>0.49861111111111112</v>
      </c>
      <c r="D445" s="63" t="s">
        <v>2081</v>
      </c>
      <c r="E445" s="64" t="s">
        <v>2082</v>
      </c>
      <c r="F445" s="63">
        <v>5</v>
      </c>
      <c r="G445" s="63" t="s">
        <v>43</v>
      </c>
      <c r="H445" s="208">
        <v>45146</v>
      </c>
      <c r="I445" s="65" t="s">
        <v>73</v>
      </c>
      <c r="J445" s="65" t="s">
        <v>1216</v>
      </c>
      <c r="K445" s="63" t="s">
        <v>1512</v>
      </c>
      <c r="L445" s="63" t="s">
        <v>807</v>
      </c>
      <c r="M445" s="63" t="s">
        <v>1956</v>
      </c>
      <c r="N445" s="63" t="s">
        <v>2180</v>
      </c>
      <c r="O445" s="63" t="str">
        <f ca="1">IF(H445&lt;&gt;"",IF(H445&lt;=TODAY(),"SI","NO"),"LIMBO")</f>
        <v>SI</v>
      </c>
      <c r="P445" s="63" t="str">
        <f>IF($P$1=H445,"DIASOL", "DIANOSOL")</f>
        <v>DIANOSOL</v>
      </c>
      <c r="Q445" s="63" t="s">
        <v>902</v>
      </c>
      <c r="R445" s="63" t="str">
        <f>VLOOKUP($Q445,Resultados!$A$1:$B$49,2,FALSE)</f>
        <v>Juicio Abreviado</v>
      </c>
      <c r="S445" s="70">
        <v>0.36805555555555558</v>
      </c>
      <c r="T445" s="72" t="str">
        <f>IF(G445=$J$1,"SI","NO")</f>
        <v>NO</v>
      </c>
      <c r="U445" s="72"/>
      <c r="V445" s="7" t="str">
        <f ca="1">IF(color_Celda(E445)=12106214,"ROSA",IF(color_Celda(E445)=65535,"AMARILLO",IF(color_Celda(E445)=5296274,"VERDE",IF(color_Celda(E445)=16777215,"BLANCO","NO SE"))))</f>
        <v>ROSA</v>
      </c>
      <c r="W445" s="70">
        <v>0.38125000000000003</v>
      </c>
      <c r="X445" s="63"/>
      <c r="Y445" s="63"/>
      <c r="Z445" s="118" t="s">
        <v>770</v>
      </c>
      <c r="AA445" s="118" t="s">
        <v>1167</v>
      </c>
      <c r="AB445" s="118" t="s">
        <v>1172</v>
      </c>
      <c r="AC445" s="324"/>
    </row>
    <row r="446" spans="1:29" ht="60" customHeight="1">
      <c r="A446" s="63">
        <v>449</v>
      </c>
      <c r="B446" s="65">
        <v>45139</v>
      </c>
      <c r="C446" s="70">
        <v>0.50347222222222221</v>
      </c>
      <c r="D446" s="63" t="s">
        <v>2088</v>
      </c>
      <c r="E446" s="64" t="s">
        <v>2084</v>
      </c>
      <c r="F446" s="63">
        <v>7</v>
      </c>
      <c r="G446" s="63" t="s">
        <v>1434</v>
      </c>
      <c r="H446" s="208">
        <v>45146</v>
      </c>
      <c r="I446" s="65" t="s">
        <v>73</v>
      </c>
      <c r="J446" s="65" t="s">
        <v>78</v>
      </c>
      <c r="K446" s="63">
        <f>IFERROR(VLOOKUP(J446,Jueces!$A$1:$B$11,2,FALSE),"")</f>
        <v>8</v>
      </c>
      <c r="L446" s="63" t="s">
        <v>1301</v>
      </c>
      <c r="M446" s="63" t="s">
        <v>2085</v>
      </c>
      <c r="N446" s="63" t="s">
        <v>2178</v>
      </c>
      <c r="O446" s="63" t="str">
        <f ca="1">IF(H446&lt;&gt;"",IF(H446&lt;=TODAY(),"SI","NO"),"LIMBO")</f>
        <v>SI</v>
      </c>
      <c r="P446" s="63" t="str">
        <f>IF($P$1=H446,"DIASOL", "DIANOSOL")</f>
        <v>DIANOSOL</v>
      </c>
      <c r="Q446" s="63" t="s">
        <v>902</v>
      </c>
      <c r="R446" s="63" t="str">
        <f>VLOOKUP($Q446,Resultados!$A$1:$B$49,2,FALSE)</f>
        <v>Juicio Abreviado</v>
      </c>
      <c r="S446" s="70">
        <v>0.36319444444444443</v>
      </c>
      <c r="T446" s="72" t="str">
        <f>IF(G446=$J$1,"SI","NO")</f>
        <v>NO</v>
      </c>
      <c r="U446" s="72"/>
      <c r="V446" s="7" t="str">
        <f ca="1">IF(color_Celda(E446)=12106214,"ROSA",IF(color_Celda(E446)=65535,"AMARILLO",IF(color_Celda(E446)=5296274,"VERDE",IF(color_Celda(E446)=16777215,"BLANCO","NO SE"))))</f>
        <v>ROSA</v>
      </c>
      <c r="W446" s="70">
        <v>0.38055555555555554</v>
      </c>
      <c r="X446" s="63" t="s">
        <v>2179</v>
      </c>
      <c r="Y446" s="63"/>
      <c r="Z446" s="118" t="s">
        <v>1038</v>
      </c>
      <c r="AA446" s="118" t="s">
        <v>1165</v>
      </c>
      <c r="AB446" s="118" t="s">
        <v>1169</v>
      </c>
      <c r="AC446" s="324"/>
    </row>
    <row r="447" spans="1:29" ht="60" customHeight="1">
      <c r="A447" s="63">
        <v>450</v>
      </c>
      <c r="B447" s="65">
        <v>45139</v>
      </c>
      <c r="C447" s="70">
        <v>0.51180555555555551</v>
      </c>
      <c r="D447" s="63" t="s">
        <v>2086</v>
      </c>
      <c r="E447" s="64" t="s">
        <v>2087</v>
      </c>
      <c r="F447" s="63">
        <v>5</v>
      </c>
      <c r="G447" s="63" t="s">
        <v>1435</v>
      </c>
      <c r="H447" s="208">
        <v>45146</v>
      </c>
      <c r="I447" s="65" t="s">
        <v>73</v>
      </c>
      <c r="J447" s="65" t="s">
        <v>1217</v>
      </c>
      <c r="K447" s="63">
        <f>IFERROR(VLOOKUP(J447,Jueces!$A$1:$B$11,2,FALSE),"")</f>
        <v>7</v>
      </c>
      <c r="L447" s="63" t="s">
        <v>811</v>
      </c>
      <c r="M447" s="63" t="s">
        <v>2107</v>
      </c>
      <c r="N447" s="63" t="s">
        <v>235</v>
      </c>
      <c r="O447" s="63" t="str">
        <f ca="1">IF(H447&lt;&gt;"",IF(H447&lt;=TODAY(),"SI","NO"),"LIMBO")</f>
        <v>SI</v>
      </c>
      <c r="P447" s="63" t="str">
        <f>IF($P$1=H447,"DIASOL", "DIANOSOL")</f>
        <v>DIANOSOL</v>
      </c>
      <c r="Q447" s="63" t="s">
        <v>151</v>
      </c>
      <c r="R447" s="63" t="str">
        <f>VLOOKUP($Q447,Resultados!$A$1:$B$49,2,FALSE)</f>
        <v>Prisión Preventiva</v>
      </c>
      <c r="S447" s="63" t="s">
        <v>76</v>
      </c>
      <c r="T447" s="72" t="str">
        <f>IF(G447=$J$1,"SI","NO")</f>
        <v>SI</v>
      </c>
      <c r="U447" s="72"/>
      <c r="V447" s="7" t="str">
        <f ca="1">IF(color_Celda(E447)=12106214,"ROSA",IF(color_Celda(E447)=65535,"AMARILLO",IF(color_Celda(E447)=5296274,"VERDE",IF(color_Celda(E447)=16777215,"BLANCO","NO SE"))))</f>
        <v>ROSA</v>
      </c>
      <c r="W447" s="70">
        <v>0.39652777777777781</v>
      </c>
      <c r="X447" s="63" t="s">
        <v>2186</v>
      </c>
      <c r="Y447" s="63"/>
      <c r="Z447" s="118" t="s">
        <v>1039</v>
      </c>
      <c r="AA447" s="118" t="s">
        <v>743</v>
      </c>
      <c r="AB447" s="118" t="s">
        <v>1170</v>
      </c>
      <c r="AC447" s="324"/>
    </row>
    <row r="448" spans="1:29" ht="60" customHeight="1">
      <c r="A448" s="63">
        <v>458</v>
      </c>
      <c r="B448" s="65">
        <v>45141</v>
      </c>
      <c r="C448" s="63" t="s">
        <v>1554</v>
      </c>
      <c r="D448" s="63" t="s">
        <v>2052</v>
      </c>
      <c r="E448" s="64" t="s">
        <v>2119</v>
      </c>
      <c r="F448" s="63">
        <v>4</v>
      </c>
      <c r="G448" s="63" t="s">
        <v>568</v>
      </c>
      <c r="H448" s="208">
        <v>45146</v>
      </c>
      <c r="I448" s="65" t="s">
        <v>73</v>
      </c>
      <c r="J448" s="65" t="s">
        <v>33</v>
      </c>
      <c r="K448" s="63">
        <f>IFERROR(VLOOKUP(J448,Jueces!$A$1:$B$11,2,FALSE),"")</f>
        <v>4</v>
      </c>
      <c r="L448" s="63" t="s">
        <v>801</v>
      </c>
      <c r="M448" s="63" t="s">
        <v>1829</v>
      </c>
      <c r="N448" s="63" t="s">
        <v>151</v>
      </c>
      <c r="O448" s="63" t="str">
        <f ca="1">IF(H448&lt;&gt;"",IF(H448&lt;=TODAY(),"SI","NO"),"LIMBO")</f>
        <v>SI</v>
      </c>
      <c r="P448" s="63" t="str">
        <f>IF($P$1=H448,"DIASOL", "DIANOSOL")</f>
        <v>DIANOSOL</v>
      </c>
      <c r="Q448" s="63" t="s">
        <v>151</v>
      </c>
      <c r="R448" s="63" t="str">
        <f>VLOOKUP($Q448,Resultados!$A$1:$B$49,2,FALSE)</f>
        <v>Prisión Preventiva</v>
      </c>
      <c r="S448" s="70">
        <v>0.35416666666666669</v>
      </c>
      <c r="T448" s="72" t="str">
        <f>IF(G448=$J$1,"SI","NO")</f>
        <v>NO</v>
      </c>
      <c r="U448" s="72"/>
      <c r="V448" s="7" t="str">
        <f ca="1">IF(color_Celda(E448)=12106214,"ROSA",IF(color_Celda(E448)=65535,"AMARILLO",IF(color_Celda(E448)=5296274,"VERDE",IF(color_Celda(E448)=16777215,"BLANCO","NO SE"))))</f>
        <v>ROSA</v>
      </c>
      <c r="W448" s="70">
        <v>0.37291666666666662</v>
      </c>
      <c r="X448" s="63"/>
      <c r="Y448" s="63"/>
      <c r="Z448" s="118" t="s">
        <v>748</v>
      </c>
      <c r="AA448" s="118" t="s">
        <v>1165</v>
      </c>
      <c r="AB448" s="118" t="s">
        <v>1171</v>
      </c>
      <c r="AC448" s="324"/>
    </row>
    <row r="449" spans="1:29" ht="60" customHeight="1">
      <c r="A449" s="63">
        <v>418</v>
      </c>
      <c r="B449" s="65">
        <v>45131</v>
      </c>
      <c r="C449" s="70">
        <v>0.50208333333333333</v>
      </c>
      <c r="D449" s="63" t="s">
        <v>1926</v>
      </c>
      <c r="E449" s="64" t="s">
        <v>2204</v>
      </c>
      <c r="F449" s="63">
        <v>4</v>
      </c>
      <c r="G449" s="63" t="s">
        <v>1433</v>
      </c>
      <c r="H449" s="208">
        <v>45146</v>
      </c>
      <c r="I449" s="65" t="s">
        <v>1083</v>
      </c>
      <c r="J449" s="65" t="s">
        <v>1217</v>
      </c>
      <c r="K449" s="63">
        <f>IFERROR(VLOOKUP(J449,Jueces!$A$1:$B$11,2,FALSE),"")</f>
        <v>7</v>
      </c>
      <c r="L449" s="63" t="s">
        <v>795</v>
      </c>
      <c r="M449" s="63" t="s">
        <v>1988</v>
      </c>
      <c r="N449" s="63" t="s">
        <v>2187</v>
      </c>
      <c r="O449" s="63" t="str">
        <f ca="1">IF(H449&lt;&gt;"",IF(H449&lt;=TODAY(),"SI","NO"),"LIMBO")</f>
        <v>SI</v>
      </c>
      <c r="P449" s="63" t="str">
        <f>IF($P$1=H449,"DIASOL", "DIANOSOL")</f>
        <v>DIANOSOL</v>
      </c>
      <c r="Q449" s="63" t="s">
        <v>903</v>
      </c>
      <c r="R449" s="63" t="str">
        <f>VLOOKUP($Q449,Resultados!$A$1:$B$49,2,FALSE)</f>
        <v>Juicio Abreviado</v>
      </c>
      <c r="S449" s="70">
        <v>0.41944444444444445</v>
      </c>
      <c r="T449" s="72" t="str">
        <f>IF(G449=$J$1,"SI","NO")</f>
        <v>NO</v>
      </c>
      <c r="U449" s="72"/>
      <c r="V449" s="7" t="str">
        <f ca="1">IF(color_Celda(E449)=12106214,"ROSA",IF(color_Celda(E449)=65535,"AMARILLO",IF(color_Celda(E449)=5296274,"VERDE",IF(color_Celda(E449)=16777215,"BLANCO","NO SE"))))</f>
        <v>ROSA</v>
      </c>
      <c r="W449" s="70">
        <v>0.4375</v>
      </c>
      <c r="X449" s="63" t="s">
        <v>2188</v>
      </c>
      <c r="Y449" s="63"/>
      <c r="Z449" s="118" t="s">
        <v>743</v>
      </c>
      <c r="AA449" s="118" t="s">
        <v>1165</v>
      </c>
      <c r="AB449" s="118" t="s">
        <v>1173</v>
      </c>
      <c r="AC449" s="324"/>
    </row>
    <row r="450" spans="1:29" ht="60" customHeight="1">
      <c r="A450" s="63">
        <v>387</v>
      </c>
      <c r="B450" s="65">
        <v>45120</v>
      </c>
      <c r="C450" s="70">
        <v>0.5</v>
      </c>
      <c r="D450" s="63" t="s">
        <v>1805</v>
      </c>
      <c r="E450" s="64" t="s">
        <v>1810</v>
      </c>
      <c r="F450" s="63">
        <v>4</v>
      </c>
      <c r="G450" s="63" t="s">
        <v>283</v>
      </c>
      <c r="H450" s="208">
        <v>45147</v>
      </c>
      <c r="I450" s="65" t="s">
        <v>73</v>
      </c>
      <c r="J450" s="65" t="s">
        <v>33</v>
      </c>
      <c r="K450" s="63">
        <v>4</v>
      </c>
      <c r="L450" s="63" t="s">
        <v>802</v>
      </c>
      <c r="M450" s="63" t="s">
        <v>1829</v>
      </c>
      <c r="N450" s="63" t="s">
        <v>2226</v>
      </c>
      <c r="O450" s="63" t="str">
        <f ca="1">IF(H450&lt;&gt;"",IF(H450&lt;=TODAY(),"SI","NO"),"LIMBO")</f>
        <v>SI</v>
      </c>
      <c r="P450" s="63" t="str">
        <f>IF($P$1=H450,"DIASOL", "DIANOSOL")</f>
        <v>DIANOSOL</v>
      </c>
      <c r="Q450" s="63" t="s">
        <v>910</v>
      </c>
      <c r="R450" s="63" t="str">
        <f>VLOOKUP($Q450,Resultados!$A$1:$B$49,2,FALSE)</f>
        <v>Suspendida</v>
      </c>
      <c r="S450" s="70">
        <v>0.35833333333333334</v>
      </c>
      <c r="T450" s="72" t="str">
        <f>IF(G450=$J$1,"SI","NO")</f>
        <v>NO</v>
      </c>
      <c r="U450" s="72"/>
      <c r="V450" s="7" t="str">
        <f ca="1">IF(color_Celda(E450)=12106214,"ROSA",IF(color_Celda(E450)=65535,"AMARILLO",IF(color_Celda(E450)=5296274,"VERDE",IF(color_Celda(E450)=16777215,"BLANCO","NO SE"))))</f>
        <v>ROSA</v>
      </c>
      <c r="W450" s="70">
        <v>0.37708333333333338</v>
      </c>
      <c r="X450" s="63"/>
      <c r="Y450" s="63"/>
      <c r="Z450" s="118" t="s">
        <v>770</v>
      </c>
      <c r="AA450" s="118" t="s">
        <v>1167</v>
      </c>
      <c r="AB450" s="118" t="s">
        <v>1172</v>
      </c>
      <c r="AC450" s="324"/>
    </row>
    <row r="451" spans="1:29" ht="60" customHeight="1">
      <c r="A451" s="63">
        <v>442</v>
      </c>
      <c r="B451" s="65">
        <v>45138</v>
      </c>
      <c r="C451" s="70">
        <v>0.40486111111111112</v>
      </c>
      <c r="D451" s="208" t="s">
        <v>2042</v>
      </c>
      <c r="E451" s="64" t="s">
        <v>2080</v>
      </c>
      <c r="F451" s="63">
        <v>1</v>
      </c>
      <c r="G451" s="63" t="s">
        <v>43</v>
      </c>
      <c r="H451" s="208">
        <v>45147</v>
      </c>
      <c r="I451" s="65" t="s">
        <v>73</v>
      </c>
      <c r="J451" s="65" t="s">
        <v>1216</v>
      </c>
      <c r="K451" s="63">
        <f>IFERROR(VLOOKUP(J451,Jueces!$A$1:$B$11,2,FALSE),"")</f>
        <v>1</v>
      </c>
      <c r="L451" s="63" t="s">
        <v>791</v>
      </c>
      <c r="M451" s="63" t="s">
        <v>694</v>
      </c>
      <c r="N451" s="63" t="s">
        <v>2224</v>
      </c>
      <c r="O451" s="63" t="str">
        <f ca="1">IF(H451&lt;&gt;"",IF(H451&lt;=TODAY(),"SI","NO"),"LIMBO")</f>
        <v>SI</v>
      </c>
      <c r="P451" s="63" t="str">
        <f>IF($P$1=H451,"DIASOL", "DIANOSOL")</f>
        <v>DIANOSOL</v>
      </c>
      <c r="Q451" s="63" t="s">
        <v>151</v>
      </c>
      <c r="R451" s="63" t="str">
        <f>VLOOKUP($Q451,Resultados!$A$1:$B$49,2,FALSE)</f>
        <v>Prisión Preventiva</v>
      </c>
      <c r="S451" s="70">
        <v>0.37222222222222223</v>
      </c>
      <c r="T451" s="72" t="str">
        <f>IF(G451=$J$1,"SI","NO")</f>
        <v>NO</v>
      </c>
      <c r="U451" s="72"/>
      <c r="V451" s="7" t="str">
        <f ca="1">IF(color_Celda(E451)=12106214,"ROSA",IF(color_Celda(E451)=65535,"AMARILLO",IF(color_Celda(E451)=5296274,"VERDE",IF(color_Celda(E451)=16777215,"BLANCO","NO SE"))))</f>
        <v>ROSA</v>
      </c>
      <c r="W451" s="70">
        <v>0.39444444444444443</v>
      </c>
      <c r="X451" s="63"/>
      <c r="Y451" s="63"/>
      <c r="Z451" s="118" t="s">
        <v>1038</v>
      </c>
      <c r="AA451" s="118" t="s">
        <v>743</v>
      </c>
      <c r="AB451" s="118" t="s">
        <v>1170</v>
      </c>
      <c r="AC451" s="324"/>
    </row>
    <row r="452" spans="1:29" ht="60" customHeight="1">
      <c r="A452" s="63">
        <v>451</v>
      </c>
      <c r="B452" s="65">
        <v>45140</v>
      </c>
      <c r="C452" s="70">
        <v>0.35416666666666669</v>
      </c>
      <c r="D452" s="63" t="s">
        <v>2095</v>
      </c>
      <c r="E452" s="64" t="s">
        <v>2290</v>
      </c>
      <c r="F452" s="63">
        <v>5</v>
      </c>
      <c r="G452" s="63" t="s">
        <v>32</v>
      </c>
      <c r="H452" s="208">
        <v>45147</v>
      </c>
      <c r="I452" s="65" t="s">
        <v>73</v>
      </c>
      <c r="J452" s="65" t="s">
        <v>35</v>
      </c>
      <c r="K452" s="63">
        <v>3</v>
      </c>
      <c r="L452" s="63" t="s">
        <v>807</v>
      </c>
      <c r="M452" s="63" t="s">
        <v>1956</v>
      </c>
      <c r="N452" s="63" t="s">
        <v>2401</v>
      </c>
      <c r="O452" s="63" t="str">
        <f ca="1">IF(H452&lt;&gt;"",IF(H452&lt;=TODAY(),"SI","NO"),"LIMBO")</f>
        <v>SI</v>
      </c>
      <c r="P452" s="63" t="str">
        <f>IF($P$1=H452,"DIASOL", "DIANOSOL")</f>
        <v>DIANOSOL</v>
      </c>
      <c r="Q452" s="63" t="s">
        <v>909</v>
      </c>
      <c r="R452" s="63" t="str">
        <f>VLOOKUP($Q452,Resultados!$A$1:$B$49,2,FALSE)</f>
        <v>Suspendida</v>
      </c>
      <c r="S452" s="63" t="s">
        <v>2402</v>
      </c>
      <c r="T452" s="72" t="str">
        <f>IF(G452=$J$1,"SI","NO")</f>
        <v>NO</v>
      </c>
      <c r="U452" s="72"/>
      <c r="V452" s="7" t="str">
        <f ca="1">IF(color_Celda(E452)=12106214,"ROSA",IF(color_Celda(E452)=65535,"AMARILLO",IF(color_Celda(E452)=5296274,"VERDE",IF(color_Celda(E452)=16777215,"BLANCO","NO SE"))))</f>
        <v>ROSA</v>
      </c>
      <c r="W452" s="63" t="s">
        <v>1383</v>
      </c>
      <c r="X452" s="169" t="s">
        <v>2403</v>
      </c>
      <c r="Y452" s="63"/>
      <c r="Z452" s="118" t="s">
        <v>1039</v>
      </c>
      <c r="AA452" s="118" t="s">
        <v>1165</v>
      </c>
      <c r="AB452" s="118" t="s">
        <v>1169</v>
      </c>
      <c r="AC452" s="324"/>
    </row>
    <row r="453" spans="1:29" ht="60" customHeight="1">
      <c r="A453" s="63">
        <v>455</v>
      </c>
      <c r="B453" s="65">
        <v>45141</v>
      </c>
      <c r="C453" s="70">
        <v>0.33333333333333331</v>
      </c>
      <c r="D453" s="63" t="s">
        <v>1105</v>
      </c>
      <c r="E453" s="64" t="s">
        <v>2115</v>
      </c>
      <c r="F453" s="63">
        <v>2</v>
      </c>
      <c r="G453" s="63" t="s">
        <v>1435</v>
      </c>
      <c r="H453" s="208">
        <v>45147</v>
      </c>
      <c r="I453" s="65" t="s">
        <v>73</v>
      </c>
      <c r="J453" s="65" t="s">
        <v>31</v>
      </c>
      <c r="K453" s="63">
        <v>8</v>
      </c>
      <c r="L453" s="63" t="s">
        <v>809</v>
      </c>
      <c r="M453" s="63" t="s">
        <v>711</v>
      </c>
      <c r="N453" s="63" t="s">
        <v>2228</v>
      </c>
      <c r="O453" s="63" t="str">
        <f ca="1">IF(H453&lt;&gt;"",IF(H453&lt;=TODAY(),"SI","NO"),"LIMBO")</f>
        <v>SI</v>
      </c>
      <c r="P453" s="63" t="str">
        <f>IF($P$1=H453,"DIASOL", "DIANOSOL")</f>
        <v>DIANOSOL</v>
      </c>
      <c r="Q453" s="63" t="s">
        <v>902</v>
      </c>
      <c r="R453" s="63" t="str">
        <f>VLOOKUP($Q453,Resultados!$A$1:$B$49,2,FALSE)</f>
        <v>Juicio Abreviado</v>
      </c>
      <c r="S453" s="63" t="s">
        <v>73</v>
      </c>
      <c r="T453" s="72" t="str">
        <f>IF(G453=$J$1,"SI","NO")</f>
        <v>SI</v>
      </c>
      <c r="U453" s="72"/>
      <c r="V453" s="7" t="str">
        <f ca="1">IF(color_Celda(E453)=12106214,"ROSA",IF(color_Celda(E453)=65535,"AMARILLO",IF(color_Celda(E453)=5296274,"VERDE",IF(color_Celda(E453)=16777215,"BLANCO","NO SE"))))</f>
        <v>ROSA</v>
      </c>
      <c r="W453" s="63" t="s">
        <v>1126</v>
      </c>
      <c r="X453" s="63"/>
      <c r="Y453" s="63"/>
      <c r="Z453" s="118" t="s">
        <v>748</v>
      </c>
      <c r="AA453" s="118" t="s">
        <v>1167</v>
      </c>
      <c r="AB453" s="118" t="s">
        <v>1171</v>
      </c>
      <c r="AC453" s="324"/>
    </row>
    <row r="454" spans="1:29" ht="60" customHeight="1">
      <c r="A454" s="63">
        <v>453</v>
      </c>
      <c r="B454" s="65">
        <v>45140</v>
      </c>
      <c r="C454" s="70">
        <v>0.52222222222222225</v>
      </c>
      <c r="D454" s="63" t="s">
        <v>2105</v>
      </c>
      <c r="E454" s="64" t="s">
        <v>2106</v>
      </c>
      <c r="F454" s="63">
        <v>5</v>
      </c>
      <c r="G454" s="63" t="s">
        <v>1434</v>
      </c>
      <c r="H454" s="208">
        <v>45147</v>
      </c>
      <c r="I454" s="65" t="s">
        <v>1083</v>
      </c>
      <c r="J454" s="65" t="s">
        <v>1220</v>
      </c>
      <c r="K454" s="63" t="s">
        <v>1341</v>
      </c>
      <c r="L454" s="63" t="s">
        <v>806</v>
      </c>
      <c r="M454" s="63" t="s">
        <v>2124</v>
      </c>
      <c r="N454" s="63" t="s">
        <v>2222</v>
      </c>
      <c r="O454" s="63" t="str">
        <f ca="1">IF(H454&lt;&gt;"",IF(H454&lt;=TODAY(),"SI","NO"),"LIMBO")</f>
        <v>SI</v>
      </c>
      <c r="P454" s="63" t="str">
        <f>IF($P$1=H454,"DIASOL", "DIANOSOL")</f>
        <v>DIANOSOL</v>
      </c>
      <c r="Q454" s="63" t="s">
        <v>902</v>
      </c>
      <c r="R454" s="63" t="str">
        <f>VLOOKUP($Q454,Resultados!$A$1:$B$49,2,FALSE)</f>
        <v>Juicio Abreviado</v>
      </c>
      <c r="S454" s="70">
        <v>0.3840277777777778</v>
      </c>
      <c r="T454" s="72" t="str">
        <f>IF(G454=$J$1,"SI","NO")</f>
        <v>NO</v>
      </c>
      <c r="U454" s="72"/>
      <c r="V454" s="7" t="str">
        <f ca="1">IF(color_Celda(E454)=12106214,"ROSA",IF(color_Celda(E454)=65535,"AMARILLO",IF(color_Celda(E454)=5296274,"VERDE",IF(color_Celda(E454)=16777215,"BLANCO","NO SE"))))</f>
        <v>ROSA</v>
      </c>
      <c r="W454" s="70">
        <v>0.3979166666666667</v>
      </c>
      <c r="X454" s="63" t="s">
        <v>2223</v>
      </c>
      <c r="Y454" s="63"/>
      <c r="Z454" s="118" t="s">
        <v>743</v>
      </c>
      <c r="AA454" s="118" t="s">
        <v>1167</v>
      </c>
      <c r="AB454" s="118" t="s">
        <v>1173</v>
      </c>
      <c r="AC454" s="324"/>
    </row>
    <row r="455" spans="1:29" ht="60" customHeight="1">
      <c r="A455" s="63">
        <v>456</v>
      </c>
      <c r="B455" s="65">
        <v>45141</v>
      </c>
      <c r="C455" s="70">
        <v>0.44375000000000003</v>
      </c>
      <c r="D455" s="63" t="s">
        <v>2117</v>
      </c>
      <c r="E455" s="64" t="s">
        <v>2118</v>
      </c>
      <c r="F455" s="63">
        <v>6</v>
      </c>
      <c r="G455" s="63" t="s">
        <v>29</v>
      </c>
      <c r="H455" s="208">
        <v>45147</v>
      </c>
      <c r="I455" s="65" t="s">
        <v>1206</v>
      </c>
      <c r="J455" s="65" t="s">
        <v>1220</v>
      </c>
      <c r="K455" s="63">
        <v>2</v>
      </c>
      <c r="L455" s="63" t="s">
        <v>806</v>
      </c>
      <c r="M455" s="63" t="s">
        <v>2107</v>
      </c>
      <c r="N455" s="63" t="s">
        <v>2225</v>
      </c>
      <c r="O455" s="63" t="str">
        <f ca="1">IF(H455&lt;&gt;"",IF(H455&lt;=TODAY(),"SI","NO"),"LIMBO")</f>
        <v>SI</v>
      </c>
      <c r="P455" s="63" t="str">
        <f>IF($P$1=H455,"DIASOL", "DIANOSOL")</f>
        <v>DIANOSOL</v>
      </c>
      <c r="Q455" s="63" t="s">
        <v>907</v>
      </c>
      <c r="R455" s="63" t="str">
        <f>VLOOKUP($Q455,Resultados!$A$1:$B$49,2,FALSE)</f>
        <v>Suspensión de juicio a prueba</v>
      </c>
      <c r="S455" s="70">
        <v>0.39999999999999997</v>
      </c>
      <c r="T455" s="72" t="str">
        <f>IF(G455=$J$1,"SI","NO")</f>
        <v>NO</v>
      </c>
      <c r="U455" s="72"/>
      <c r="V455" s="7" t="str">
        <f ca="1">IF(color_Celda(E455)=12106214,"ROSA",IF(color_Celda(E455)=65535,"AMARILLO",IF(color_Celda(E455)=5296274,"VERDE",IF(color_Celda(E455)=16777215,"BLANCO","NO SE"))))</f>
        <v>ROSA</v>
      </c>
      <c r="W455" s="70">
        <v>0.4375</v>
      </c>
      <c r="X455" s="63"/>
      <c r="Y455" s="63"/>
      <c r="Z455" s="118" t="s">
        <v>770</v>
      </c>
      <c r="AA455" s="118" t="s">
        <v>1165</v>
      </c>
      <c r="AB455" s="118" t="s">
        <v>1172</v>
      </c>
      <c r="AC455" s="324"/>
    </row>
    <row r="456" spans="1:29" ht="60" customHeight="1">
      <c r="A456" s="63">
        <v>452</v>
      </c>
      <c r="B456" s="65">
        <v>45140</v>
      </c>
      <c r="C456" s="70">
        <v>0.34861111111111115</v>
      </c>
      <c r="D456" s="63" t="s">
        <v>2096</v>
      </c>
      <c r="E456" s="64" t="s">
        <v>2229</v>
      </c>
      <c r="F456" s="63">
        <v>5</v>
      </c>
      <c r="G456" s="63" t="s">
        <v>1435</v>
      </c>
      <c r="H456" s="208">
        <v>45148</v>
      </c>
      <c r="I456" s="65" t="s">
        <v>73</v>
      </c>
      <c r="J456" s="65" t="s">
        <v>31</v>
      </c>
      <c r="K456" s="63">
        <f>IFERROR(VLOOKUP(J456,Jueces!$A$1:$B$11,2,FALSE),"")</f>
        <v>2</v>
      </c>
      <c r="L456" s="63" t="s">
        <v>807</v>
      </c>
      <c r="M456" s="63" t="s">
        <v>2236</v>
      </c>
      <c r="N456" s="63" t="s">
        <v>2234</v>
      </c>
      <c r="O456" s="63" t="str">
        <f ca="1">IF(H456&lt;&gt;"",IF(H456&lt;=TODAY(),"SI","NO"),"LIMBO")</f>
        <v>SI</v>
      </c>
      <c r="P456" s="63" t="str">
        <f>IF($P$1=H456,"DIASOL", "DIANOSOL")</f>
        <v>DIANOSOL</v>
      </c>
      <c r="Q456" s="63" t="s">
        <v>902</v>
      </c>
      <c r="R456" s="63" t="str">
        <f>VLOOKUP($Q456,Resultados!$A$1:$B$49,2,FALSE)</f>
        <v>Juicio Abreviado</v>
      </c>
      <c r="S456" s="63" t="s">
        <v>1015</v>
      </c>
      <c r="T456" s="72" t="str">
        <f>IF(G456=$J$1,"SI","NO")</f>
        <v>SI</v>
      </c>
      <c r="U456" s="72"/>
      <c r="V456" s="7" t="str">
        <f ca="1">IF(color_Celda(E456)=12106214,"ROSA",IF(color_Celda(E456)=65535,"AMARILLO",IF(color_Celda(E456)=5296274,"VERDE",IF(color_Celda(E456)=16777215,"BLANCO","NO SE"))))</f>
        <v>ROSA</v>
      </c>
      <c r="W456" s="63" t="s">
        <v>1062</v>
      </c>
      <c r="X456" s="63" t="s">
        <v>2235</v>
      </c>
      <c r="Y456" s="63"/>
      <c r="Z456" s="118" t="s">
        <v>1038</v>
      </c>
      <c r="AA456" s="118" t="s">
        <v>1165</v>
      </c>
      <c r="AB456" s="118" t="s">
        <v>1170</v>
      </c>
      <c r="AC456" s="324"/>
    </row>
    <row r="457" spans="1:29" ht="60" customHeight="1">
      <c r="A457" s="63">
        <v>457</v>
      </c>
      <c r="B457" s="65">
        <v>45142</v>
      </c>
      <c r="C457" s="70">
        <v>0.4284722222222222</v>
      </c>
      <c r="D457" s="63" t="s">
        <v>2139</v>
      </c>
      <c r="E457" s="64" t="s">
        <v>2230</v>
      </c>
      <c r="F457" s="63">
        <v>7</v>
      </c>
      <c r="G457" s="63" t="s">
        <v>1433</v>
      </c>
      <c r="H457" s="208">
        <v>45148</v>
      </c>
      <c r="I457" s="65" t="s">
        <v>73</v>
      </c>
      <c r="J457" s="65" t="s">
        <v>35</v>
      </c>
      <c r="K457" s="63">
        <f>IFERROR(VLOOKUP(J457,Jueces!$A$1:$B$11,2,FALSE),"")</f>
        <v>3</v>
      </c>
      <c r="L457" s="63" t="s">
        <v>806</v>
      </c>
      <c r="M457" s="63" t="s">
        <v>2036</v>
      </c>
      <c r="N457" s="63" t="s">
        <v>2243</v>
      </c>
      <c r="O457" s="63" t="str">
        <f ca="1">IF(H457&lt;&gt;"",IF(H457&lt;=TODAY(),"SI","NO"),"LIMBO")</f>
        <v>SI</v>
      </c>
      <c r="P457" s="63" t="str">
        <f>IF($P$1=H457,"DIASOL", "DIANOSOL")</f>
        <v>DIANOSOL</v>
      </c>
      <c r="Q457" s="63" t="s">
        <v>897</v>
      </c>
      <c r="R457" s="63" t="str">
        <f>VLOOKUP($Q457,Resultados!$A$1:$B$49,2,FALSE)</f>
        <v>Libertad</v>
      </c>
      <c r="S457" s="63" t="s">
        <v>73</v>
      </c>
      <c r="T457" s="72" t="str">
        <f>IF(G457=$J$1,"SI","NO")</f>
        <v>NO</v>
      </c>
      <c r="U457" s="72"/>
      <c r="V457" s="7" t="str">
        <f ca="1">IF(color_Celda(E457)=12106214,"ROSA",IF(color_Celda(E457)=65535,"AMARILLO",IF(color_Celda(E457)=5296274,"VERDE",IF(color_Celda(E457)=16777215,"BLANCO","NO SE"))))</f>
        <v>ROSA</v>
      </c>
      <c r="W457" s="63" t="s">
        <v>1530</v>
      </c>
      <c r="X457" s="63"/>
      <c r="Y457" s="63"/>
      <c r="Z457" s="118" t="s">
        <v>748</v>
      </c>
      <c r="AA457" s="118" t="s">
        <v>1167</v>
      </c>
      <c r="AB457" s="118" t="s">
        <v>1171</v>
      </c>
      <c r="AC457" s="324"/>
    </row>
    <row r="458" spans="1:29" ht="60" customHeight="1">
      <c r="A458" s="63">
        <v>467</v>
      </c>
      <c r="B458" s="65">
        <v>45145</v>
      </c>
      <c r="C458" s="70">
        <v>0.41805555555555557</v>
      </c>
      <c r="D458" s="63" t="s">
        <v>2160</v>
      </c>
      <c r="E458" s="64" t="s">
        <v>2231</v>
      </c>
      <c r="F458" s="63">
        <v>5</v>
      </c>
      <c r="G458" s="63" t="s">
        <v>29</v>
      </c>
      <c r="H458" s="208">
        <v>45148</v>
      </c>
      <c r="I458" s="65" t="s">
        <v>73</v>
      </c>
      <c r="J458" s="65" t="s">
        <v>1218</v>
      </c>
      <c r="K458" s="63" t="s">
        <v>2164</v>
      </c>
      <c r="L458" s="63" t="s">
        <v>810</v>
      </c>
      <c r="M458" s="63" t="s">
        <v>1956</v>
      </c>
      <c r="N458" s="63" t="s">
        <v>2237</v>
      </c>
      <c r="O458" s="63" t="str">
        <f ca="1">IF(H458&lt;&gt;"",IF(H458&lt;=TODAY(),"SI","NO"),"LIMBO")</f>
        <v>SI</v>
      </c>
      <c r="P458" s="63" t="str">
        <f>IF($P$1=H458,"DIASOL", "DIANOSOL")</f>
        <v>DIANOSOL</v>
      </c>
      <c r="Q458" s="63" t="s">
        <v>907</v>
      </c>
      <c r="R458" s="63" t="str">
        <f>VLOOKUP($Q458,Resultados!$A$1:$B$49,2,FALSE)</f>
        <v>Suspensión de juicio a prueba</v>
      </c>
      <c r="S458" s="63" t="s">
        <v>2238</v>
      </c>
      <c r="T458" s="72" t="str">
        <f>IF(G458=$J$1,"SI","NO")</f>
        <v>NO</v>
      </c>
      <c r="U458" s="72"/>
      <c r="V458" s="7" t="str">
        <f ca="1">IF(color_Celda(E458)=12106214,"ROSA",IF(color_Celda(E458)=65535,"AMARILLO",IF(color_Celda(E458)=5296274,"VERDE",IF(color_Celda(E458)=16777215,"BLANCO","NO SE"))))</f>
        <v>ROSA</v>
      </c>
      <c r="W458" s="63" t="s">
        <v>1579</v>
      </c>
      <c r="X458" s="63" t="s">
        <v>2137</v>
      </c>
      <c r="Y458" s="63"/>
      <c r="Z458" s="118" t="s">
        <v>743</v>
      </c>
      <c r="AA458" s="118" t="s">
        <v>1165</v>
      </c>
      <c r="AB458" s="118" t="s">
        <v>1173</v>
      </c>
      <c r="AC458" s="324"/>
    </row>
    <row r="459" spans="1:29" ht="60" customHeight="1">
      <c r="A459" s="63">
        <v>465</v>
      </c>
      <c r="B459" s="65">
        <v>45145</v>
      </c>
      <c r="C459" s="70">
        <v>0.50069444444444444</v>
      </c>
      <c r="D459" s="63" t="s">
        <v>2156</v>
      </c>
      <c r="E459" s="64" t="s">
        <v>2232</v>
      </c>
      <c r="F459" s="63">
        <v>5</v>
      </c>
      <c r="G459" s="63" t="s">
        <v>1434</v>
      </c>
      <c r="H459" s="208">
        <v>45148</v>
      </c>
      <c r="I459" s="70" t="s">
        <v>1083</v>
      </c>
      <c r="J459" s="65" t="s">
        <v>1216</v>
      </c>
      <c r="K459" s="63">
        <f>IFERROR(VLOOKUP(J459,Jueces!$A$1:$B$11,2,FALSE),"")</f>
        <v>1</v>
      </c>
      <c r="L459" s="63" t="s">
        <v>811</v>
      </c>
      <c r="M459" s="63" t="s">
        <v>2242</v>
      </c>
      <c r="N459" s="63" t="s">
        <v>1744</v>
      </c>
      <c r="O459" s="63" t="str">
        <f ca="1">IF(H459&lt;&gt;"",IF(H459&lt;=TODAY(),"SI","NO"),"LIMBO")</f>
        <v>SI</v>
      </c>
      <c r="P459" s="63" t="str">
        <f>IF($P$1=H459,"DIASOL", "DIANOSOL")</f>
        <v>DIANOSOL</v>
      </c>
      <c r="Q459" s="63" t="s">
        <v>151</v>
      </c>
      <c r="R459" s="63" t="str">
        <f>VLOOKUP($Q459,Resultados!$A$1:$B$49,2,FALSE)</f>
        <v>Prisión Preventiva</v>
      </c>
      <c r="S459" s="70">
        <v>0.39861111111111108</v>
      </c>
      <c r="T459" s="72" t="str">
        <f>IF(G459=$J$1,"SI","NO")</f>
        <v>NO</v>
      </c>
      <c r="U459" s="72"/>
      <c r="V459" s="7" t="str">
        <f ca="1">IF(color_Celda(E459)=12106214,"ROSA",IF(color_Celda(E459)=65535,"AMARILLO",IF(color_Celda(E459)=5296274,"VERDE",IF(color_Celda(E459)=16777215,"BLANCO","NO SE"))))</f>
        <v>ROSA</v>
      </c>
      <c r="W459" s="70">
        <v>0.40763888888888888</v>
      </c>
      <c r="X459" s="63"/>
      <c r="Y459" s="63"/>
      <c r="Z459" s="118" t="s">
        <v>770</v>
      </c>
      <c r="AA459" s="118" t="s">
        <v>1167</v>
      </c>
      <c r="AB459" s="118" t="s">
        <v>1172</v>
      </c>
      <c r="AC459" s="324"/>
    </row>
    <row r="460" spans="1:29" ht="60" customHeight="1">
      <c r="A460" s="63">
        <v>447</v>
      </c>
      <c r="B460" s="65">
        <v>45139</v>
      </c>
      <c r="C460" s="70">
        <v>0.43888888888888888</v>
      </c>
      <c r="D460" s="63" t="s">
        <v>2073</v>
      </c>
      <c r="E460" s="64" t="s">
        <v>2074</v>
      </c>
      <c r="F460" s="63">
        <v>4</v>
      </c>
      <c r="G460" s="63" t="s">
        <v>568</v>
      </c>
      <c r="H460" s="208">
        <v>45149</v>
      </c>
      <c r="I460" s="65" t="s">
        <v>73</v>
      </c>
      <c r="J460" s="65" t="s">
        <v>35</v>
      </c>
      <c r="K460" s="63">
        <f>IFERROR(VLOOKUP(J460,Jueces!$A$1:$B$11,2,FALSE),"")</f>
        <v>3</v>
      </c>
      <c r="L460" s="63" t="s">
        <v>800</v>
      </c>
      <c r="M460" s="63" t="s">
        <v>1866</v>
      </c>
      <c r="N460" s="63" t="s">
        <v>577</v>
      </c>
      <c r="O460" s="63" t="str">
        <f ca="1">IF(H460&lt;&gt;"",IF(H460&lt;=TODAY(),"SI","NO"),"LIMBO")</f>
        <v>SI</v>
      </c>
      <c r="P460" s="63" t="str">
        <f>IF($P$1=H460,"DIASOL", "DIANOSOL")</f>
        <v>DIANOSOL</v>
      </c>
      <c r="Q460" s="63" t="s">
        <v>151</v>
      </c>
      <c r="R460" s="63" t="str">
        <f>VLOOKUP($Q460,Resultados!$A$1:$B$49,2,FALSE)</f>
        <v>Prisión Preventiva</v>
      </c>
      <c r="S460" s="70">
        <v>0.34861111111111115</v>
      </c>
      <c r="T460" s="72" t="str">
        <f>IF(G460=$J$1,"SI","NO")</f>
        <v>NO</v>
      </c>
      <c r="U460" s="72"/>
      <c r="V460" s="7" t="str">
        <f ca="1">IF(color_Celda(E460)=12106214,"ROSA",IF(color_Celda(E460)=65535,"AMARILLO",IF(color_Celda(E460)=5296274,"VERDE",IF(color_Celda(E460)=16777215,"BLANCO","NO SE"))))</f>
        <v>ROSA</v>
      </c>
      <c r="W460" s="70">
        <v>0.38958333333333334</v>
      </c>
      <c r="X460" s="63"/>
      <c r="Y460" s="63"/>
      <c r="Z460" s="118" t="s">
        <v>1038</v>
      </c>
      <c r="AA460" s="118" t="s">
        <v>1165</v>
      </c>
      <c r="AB460" s="118" t="s">
        <v>1171</v>
      </c>
      <c r="AC460" s="324"/>
    </row>
    <row r="461" spans="1:29" ht="60" customHeight="1">
      <c r="A461" s="63">
        <v>459</v>
      </c>
      <c r="B461" s="65">
        <v>45142</v>
      </c>
      <c r="C461" s="70">
        <v>0.53611111111111109</v>
      </c>
      <c r="D461" s="63" t="s">
        <v>2140</v>
      </c>
      <c r="E461" s="64" t="s">
        <v>2221</v>
      </c>
      <c r="F461" s="63">
        <v>4</v>
      </c>
      <c r="G461" s="63" t="s">
        <v>32</v>
      </c>
      <c r="H461" s="208">
        <v>45149</v>
      </c>
      <c r="I461" s="65" t="s">
        <v>73</v>
      </c>
      <c r="J461" s="65" t="s">
        <v>1216</v>
      </c>
      <c r="K461" s="63">
        <f>IFERROR(VLOOKUP(J461,Jueces!$A$1:$B$11,2,FALSE),"")</f>
        <v>1</v>
      </c>
      <c r="L461" s="63" t="s">
        <v>789</v>
      </c>
      <c r="M461" s="63" t="s">
        <v>1829</v>
      </c>
      <c r="N461" s="63" t="s">
        <v>897</v>
      </c>
      <c r="O461" s="63" t="str">
        <f ca="1">IF(H461&lt;&gt;"",IF(H461&lt;=TODAY(),"SI","NO"),"LIMBO")</f>
        <v>SI</v>
      </c>
      <c r="P461" s="63" t="str">
        <f>IF($P$1=H461,"DIASOL", "DIANOSOL")</f>
        <v>DIANOSOL</v>
      </c>
      <c r="Q461" s="63" t="s">
        <v>897</v>
      </c>
      <c r="R461" s="63" t="str">
        <f>VLOOKUP($Q461,Resultados!$A$1:$B$49,2,FALSE)</f>
        <v>Libertad</v>
      </c>
      <c r="S461" s="70">
        <v>0.36527777777777781</v>
      </c>
      <c r="T461" s="72" t="str">
        <f>IF(G461=$J$1,"SI","NO")</f>
        <v>NO</v>
      </c>
      <c r="U461" s="72"/>
      <c r="V461" s="7" t="str">
        <f ca="1">IF(color_Celda(E461)=12106214,"ROSA",IF(color_Celda(E461)=65535,"AMARILLO",IF(color_Celda(E461)=5296274,"VERDE",IF(color_Celda(E461)=16777215,"BLANCO","NO SE"))))</f>
        <v>ROSA</v>
      </c>
      <c r="W461" s="63"/>
      <c r="X461" s="63"/>
      <c r="Y461" s="63"/>
      <c r="Z461" s="118" t="s">
        <v>1039</v>
      </c>
      <c r="AA461" s="118" t="s">
        <v>1167</v>
      </c>
      <c r="AB461" s="118" t="s">
        <v>1173</v>
      </c>
      <c r="AC461" s="324"/>
    </row>
    <row r="462" spans="1:29" ht="60" customHeight="1">
      <c r="A462" s="63">
        <v>462</v>
      </c>
      <c r="B462" s="65">
        <v>45145</v>
      </c>
      <c r="C462" s="70">
        <v>0.38055555555555554</v>
      </c>
      <c r="D462" s="63" t="s">
        <v>2144</v>
      </c>
      <c r="E462" s="64" t="s">
        <v>2170</v>
      </c>
      <c r="F462" s="63">
        <v>6</v>
      </c>
      <c r="G462" s="63" t="s">
        <v>29</v>
      </c>
      <c r="H462" s="208">
        <v>45149</v>
      </c>
      <c r="I462" s="65" t="s">
        <v>73</v>
      </c>
      <c r="J462" s="65" t="s">
        <v>31</v>
      </c>
      <c r="K462" s="63">
        <f>IFERROR(VLOOKUP(J462,Jueces!$A$1:$B$11,2,FALSE),"")</f>
        <v>2</v>
      </c>
      <c r="L462" s="63" t="s">
        <v>810</v>
      </c>
      <c r="M462" s="63" t="s">
        <v>2107</v>
      </c>
      <c r="N462" s="63" t="s">
        <v>2252</v>
      </c>
      <c r="O462" s="63" t="str">
        <f ca="1">IF(H462&lt;&gt;"",IF(H462&lt;=TODAY(),"SI","NO"),"LIMBO")</f>
        <v>SI</v>
      </c>
      <c r="P462" s="63" t="str">
        <f>IF($P$1=H462,"DIASOL", "DIANOSOL")</f>
        <v>DIANOSOL</v>
      </c>
      <c r="Q462" s="63" t="s">
        <v>907</v>
      </c>
      <c r="R462" s="63" t="str">
        <f>VLOOKUP($Q462,Resultados!$A$1:$B$49,2,FALSE)</f>
        <v>Suspensión de juicio a prueba</v>
      </c>
      <c r="S462" s="70">
        <v>0.36944444444444446</v>
      </c>
      <c r="T462" s="72" t="str">
        <f>IF(G462=$J$1,"SI","NO")</f>
        <v>NO</v>
      </c>
      <c r="U462" s="72"/>
      <c r="V462" s="7" t="str">
        <f ca="1">IF(color_Celda(E462)=12106214,"ROSA",IF(color_Celda(E462)=65535,"AMARILLO",IF(color_Celda(E462)=5296274,"VERDE",IF(color_Celda(E462)=16777215,"BLANCO","NO SE"))))</f>
        <v>ROSA</v>
      </c>
      <c r="W462" s="70">
        <v>0.37847222222222227</v>
      </c>
      <c r="X462" s="63"/>
      <c r="Y462" s="63"/>
      <c r="Z462" s="118" t="s">
        <v>748</v>
      </c>
      <c r="AA462" s="118" t="s">
        <v>743</v>
      </c>
      <c r="AB462" s="118" t="s">
        <v>1172</v>
      </c>
      <c r="AC462" s="324"/>
    </row>
    <row r="463" spans="1:29" ht="60" customHeight="1">
      <c r="A463" s="63">
        <v>464</v>
      </c>
      <c r="B463" s="65">
        <v>45145</v>
      </c>
      <c r="C463" s="70">
        <v>0.48472222222222222</v>
      </c>
      <c r="D463" s="63" t="s">
        <v>2154</v>
      </c>
      <c r="E463" s="64" t="s">
        <v>2155</v>
      </c>
      <c r="F463" s="63">
        <v>5</v>
      </c>
      <c r="G463" s="63" t="s">
        <v>43</v>
      </c>
      <c r="H463" s="208">
        <v>45149</v>
      </c>
      <c r="I463" s="65" t="s">
        <v>73</v>
      </c>
      <c r="J463" s="65" t="s">
        <v>1217</v>
      </c>
      <c r="K463" s="63">
        <f>IFERROR(VLOOKUP(J463,Jueces!$A$1:$B$11,2,FALSE),"")</f>
        <v>7</v>
      </c>
      <c r="L463" s="63" t="s">
        <v>809</v>
      </c>
      <c r="M463" s="63" t="s">
        <v>1956</v>
      </c>
      <c r="N463" s="63" t="s">
        <v>2254</v>
      </c>
      <c r="O463" s="63" t="str">
        <f ca="1">IF(H463&lt;&gt;"",IF(H463&lt;=TODAY(),"SI","NO"),"LIMBO")</f>
        <v>SI</v>
      </c>
      <c r="P463" s="63" t="str">
        <f>IF($P$1=H463,"DIASOL", "DIANOSOL")</f>
        <v>DIANOSOL</v>
      </c>
      <c r="Q463" s="63" t="s">
        <v>902</v>
      </c>
      <c r="R463" s="63" t="str">
        <f>VLOOKUP($Q463,Resultados!$A$1:$B$49,2,FALSE)</f>
        <v>Juicio Abreviado</v>
      </c>
      <c r="S463" s="70">
        <v>0.35833333333333334</v>
      </c>
      <c r="T463" s="72" t="str">
        <f>IF(G463=$J$1,"SI","NO")</f>
        <v>NO</v>
      </c>
      <c r="U463" s="72"/>
      <c r="V463" s="7" t="str">
        <f ca="1">IF(color_Celda(E463)=12106214,"ROSA",IF(color_Celda(E463)=65535,"AMARILLO",IF(color_Celda(E463)=5296274,"VERDE",IF(color_Celda(E463)=16777215,"BLANCO","NO SE"))))</f>
        <v>ROSA</v>
      </c>
      <c r="W463" s="70">
        <v>0.36249999999999999</v>
      </c>
      <c r="X463" s="63"/>
      <c r="Y463" s="63"/>
      <c r="Z463" s="118" t="s">
        <v>743</v>
      </c>
      <c r="AA463" s="118" t="s">
        <v>743</v>
      </c>
      <c r="AB463" s="118" t="s">
        <v>1169</v>
      </c>
      <c r="AC463" s="324"/>
    </row>
    <row r="464" spans="1:29" ht="60" customHeight="1">
      <c r="A464" s="63">
        <v>479</v>
      </c>
      <c r="B464" s="65">
        <v>45146</v>
      </c>
      <c r="C464" s="70">
        <v>0.45277777777777778</v>
      </c>
      <c r="D464" s="63" t="s">
        <v>2190</v>
      </c>
      <c r="E464" s="64" t="s">
        <v>2191</v>
      </c>
      <c r="F464" s="63">
        <v>6</v>
      </c>
      <c r="G464" s="63" t="s">
        <v>1435</v>
      </c>
      <c r="H464" s="208">
        <v>45149</v>
      </c>
      <c r="I464" s="70" t="s">
        <v>73</v>
      </c>
      <c r="J464" s="65" t="s">
        <v>1219</v>
      </c>
      <c r="K464" s="63" t="s">
        <v>2248</v>
      </c>
      <c r="L464" s="63" t="s">
        <v>508</v>
      </c>
      <c r="M464" s="63" t="s">
        <v>2107</v>
      </c>
      <c r="N464" s="63" t="s">
        <v>2255</v>
      </c>
      <c r="O464" s="63" t="str">
        <f ca="1">IF(H464&lt;&gt;"",IF(H464&lt;=TODAY(),"SI","NO"),"LIMBO")</f>
        <v>SI</v>
      </c>
      <c r="P464" s="63" t="str">
        <f>IF($P$1=H464,"DIASOL", "DIANOSOL")</f>
        <v>DIANOSOL</v>
      </c>
      <c r="Q464" s="63" t="s">
        <v>151</v>
      </c>
      <c r="R464" s="63" t="str">
        <f>VLOOKUP($Q464,Resultados!$A$1:$B$49,2,FALSE)</f>
        <v>Prisión Preventiva</v>
      </c>
      <c r="S464" s="70">
        <v>0.34861111111111115</v>
      </c>
      <c r="T464" s="72" t="str">
        <f>IF(G464=$J$1,"SI","NO")</f>
        <v>SI</v>
      </c>
      <c r="U464" s="72"/>
      <c r="V464" s="7" t="str">
        <f ca="1">IF(color_Celda(E464)=12106214,"ROSA",IF(color_Celda(E464)=65535,"AMARILLO",IF(color_Celda(E464)=5296274,"VERDE",IF(color_Celda(E464)=16777215,"BLANCO","NO SE"))))</f>
        <v>ROSA</v>
      </c>
      <c r="W464" s="70">
        <v>0.4145833333333333</v>
      </c>
      <c r="X464" s="63"/>
      <c r="Y464" s="63"/>
      <c r="Z464" s="118" t="s">
        <v>770</v>
      </c>
      <c r="AA464" s="118" t="s">
        <v>1165</v>
      </c>
      <c r="AB464" s="118" t="s">
        <v>1170</v>
      </c>
      <c r="AC464" s="324"/>
    </row>
    <row r="465" spans="1:29" ht="60" customHeight="1">
      <c r="A465" s="63">
        <v>463</v>
      </c>
      <c r="B465" s="65">
        <v>45145</v>
      </c>
      <c r="C465" s="70">
        <v>0.37847222222222227</v>
      </c>
      <c r="D465" s="63" t="s">
        <v>2145</v>
      </c>
      <c r="E465" s="64" t="s">
        <v>2233</v>
      </c>
      <c r="F465" s="63">
        <v>6</v>
      </c>
      <c r="G465" s="63" t="s">
        <v>283</v>
      </c>
      <c r="H465" s="208">
        <v>45149</v>
      </c>
      <c r="I465" s="65" t="s">
        <v>1083</v>
      </c>
      <c r="J465" s="65" t="s">
        <v>1219</v>
      </c>
      <c r="K465" s="63" t="s">
        <v>1512</v>
      </c>
      <c r="L465" s="63" t="s">
        <v>788</v>
      </c>
      <c r="M465" s="63" t="s">
        <v>2107</v>
      </c>
      <c r="N465" s="63" t="s">
        <v>2256</v>
      </c>
      <c r="O465" s="63" t="str">
        <f ca="1">IF(H465&lt;&gt;"",IF(H465&lt;=TODAY(),"SI","NO"),"LIMBO")</f>
        <v>SI</v>
      </c>
      <c r="P465" s="63" t="str">
        <f>IF($P$1=H465,"DIASOL", "DIANOSOL")</f>
        <v>DIANOSOL</v>
      </c>
      <c r="Q465" s="63" t="s">
        <v>902</v>
      </c>
      <c r="R465" s="63" t="str">
        <f>VLOOKUP($Q465,Resultados!$A$1:$B$49,2,FALSE)</f>
        <v>Juicio Abreviado</v>
      </c>
      <c r="S465" s="70">
        <v>0.4597222222222222</v>
      </c>
      <c r="T465" s="72" t="str">
        <f>IF(G465=$J$1,"SI","NO")</f>
        <v>NO</v>
      </c>
      <c r="U465" s="72"/>
      <c r="V465" s="7" t="str">
        <f ca="1">IF(color_Celda(E465)=12106214,"ROSA",IF(color_Celda(E465)=65535,"AMARILLO",IF(color_Celda(E465)=5296274,"VERDE",IF(color_Celda(E465)=16777215,"BLANCO","NO SE"))))</f>
        <v>ROSA</v>
      </c>
      <c r="W465" s="70">
        <v>0.47361111111111115</v>
      </c>
      <c r="X465" s="63"/>
      <c r="Y465" s="63"/>
      <c r="Z465" s="118" t="s">
        <v>1038</v>
      </c>
      <c r="AA465" s="118" t="s">
        <v>1165</v>
      </c>
      <c r="AB465" s="118" t="s">
        <v>1170</v>
      </c>
      <c r="AC465" s="324"/>
    </row>
    <row r="466" spans="1:29" ht="60" customHeight="1">
      <c r="A466" s="63">
        <v>466</v>
      </c>
      <c r="B466" s="65">
        <v>45145</v>
      </c>
      <c r="C466" s="63" t="s">
        <v>2157</v>
      </c>
      <c r="D466" s="63" t="s">
        <v>2158</v>
      </c>
      <c r="E466" s="64" t="s">
        <v>2159</v>
      </c>
      <c r="F466" s="63">
        <v>5</v>
      </c>
      <c r="G466" s="63" t="s">
        <v>1433</v>
      </c>
      <c r="H466" s="208">
        <v>45149</v>
      </c>
      <c r="I466" s="65" t="s">
        <v>1083</v>
      </c>
      <c r="J466" s="65" t="s">
        <v>33</v>
      </c>
      <c r="K466" s="63">
        <f>IFERROR(VLOOKUP(J466,Jueces!$A$1:$B$11,2,FALSE),"")</f>
        <v>4</v>
      </c>
      <c r="L466" s="63" t="s">
        <v>809</v>
      </c>
      <c r="M466" s="63" t="s">
        <v>1956</v>
      </c>
      <c r="N466" s="63" t="s">
        <v>2253</v>
      </c>
      <c r="O466" s="63" t="str">
        <f ca="1">IF(H466&lt;&gt;"",IF(H466&lt;=TODAY(),"SI","NO"),"LIMBO")</f>
        <v>SI</v>
      </c>
      <c r="P466" s="63" t="str">
        <f>IF($P$1=H466,"DIASOL", "DIANOSOL")</f>
        <v>DIANOSOL</v>
      </c>
      <c r="Q466" s="63" t="s">
        <v>902</v>
      </c>
      <c r="R466" s="63" t="str">
        <f>VLOOKUP($Q466,Resultados!$A$1:$B$49,2,FALSE)</f>
        <v>Juicio Abreviado</v>
      </c>
      <c r="S466" s="70">
        <v>0.37986111111111115</v>
      </c>
      <c r="T466" s="72" t="str">
        <f>IF(G466=$J$1,"SI","NO")</f>
        <v>NO</v>
      </c>
      <c r="U466" s="72"/>
      <c r="V466" s="7" t="str">
        <f ca="1">IF(color_Celda(E466)=12106214,"ROSA",IF(color_Celda(E466)=65535,"AMARILLO",IF(color_Celda(E466)=5296274,"VERDE",IF(color_Celda(E466)=16777215,"BLANCO","NO SE"))))</f>
        <v>ROSA</v>
      </c>
      <c r="W466" s="70">
        <v>0.38750000000000001</v>
      </c>
      <c r="X466" s="63"/>
      <c r="Y466" s="63"/>
      <c r="Z466" s="118" t="s">
        <v>1039</v>
      </c>
      <c r="AA466" s="118" t="s">
        <v>1167</v>
      </c>
      <c r="AB466" s="118" t="s">
        <v>1169</v>
      </c>
      <c r="AC466" s="324"/>
    </row>
    <row r="467" spans="1:29" ht="60" customHeight="1">
      <c r="A467" s="63">
        <v>461</v>
      </c>
      <c r="B467" s="65">
        <v>45145</v>
      </c>
      <c r="C467" s="70">
        <v>0.37708333333333338</v>
      </c>
      <c r="D467" s="63" t="s">
        <v>2142</v>
      </c>
      <c r="E467" s="64" t="s">
        <v>2143</v>
      </c>
      <c r="F467" s="63">
        <v>6</v>
      </c>
      <c r="G467" s="63" t="s">
        <v>1433</v>
      </c>
      <c r="H467" s="208">
        <v>45152</v>
      </c>
      <c r="I467" s="65" t="s">
        <v>73</v>
      </c>
      <c r="J467" s="65" t="s">
        <v>35</v>
      </c>
      <c r="K467" s="63">
        <f>IFERROR(VLOOKUP(J467,Jueces!$A$1:$B$11,2,FALSE),"")</f>
        <v>3</v>
      </c>
      <c r="L467" s="63" t="s">
        <v>809</v>
      </c>
      <c r="M467" s="63" t="s">
        <v>2107</v>
      </c>
      <c r="N467" s="63" t="s">
        <v>2274</v>
      </c>
      <c r="O467" s="63" t="str">
        <f ca="1">IF(H467&lt;&gt;"",IF(H467&lt;=TODAY(),"SI","NO"),"LIMBO")</f>
        <v>SI</v>
      </c>
      <c r="P467" s="63" t="str">
        <f>IF($P$1=H467,"DIASOL", "DIANOSOL")</f>
        <v>DIANOSOL</v>
      </c>
      <c r="Q467" s="63" t="s">
        <v>902</v>
      </c>
      <c r="R467" s="63" t="str">
        <f>VLOOKUP($Q467,Resultados!$A$1:$B$49,2,FALSE)</f>
        <v>Juicio Abreviado</v>
      </c>
      <c r="S467" s="70">
        <v>0.35486111111111113</v>
      </c>
      <c r="T467" s="72" t="str">
        <f>IF(G467=$J$1,"SI","NO")</f>
        <v>NO</v>
      </c>
      <c r="U467" s="72"/>
      <c r="V467" s="7" t="str">
        <f ca="1">IF(color_Celda(E467)=12106214,"ROSA",IF(color_Celda(E467)=65535,"AMARILLO",IF(color_Celda(E467)=5296274,"VERDE",IF(color_Celda(E467)=16777215,"BLANCO","NO SE"))))</f>
        <v>ROSA</v>
      </c>
      <c r="W467" s="70">
        <v>0.35902777777777778</v>
      </c>
      <c r="X467" s="63"/>
      <c r="Y467" s="63"/>
      <c r="Z467" s="118" t="s">
        <v>748</v>
      </c>
      <c r="AA467" s="118" t="s">
        <v>743</v>
      </c>
      <c r="AB467" s="118" t="s">
        <v>1171</v>
      </c>
      <c r="AC467" s="324"/>
    </row>
    <row r="468" spans="1:29" ht="60" customHeight="1">
      <c r="A468" s="63">
        <v>468</v>
      </c>
      <c r="B468" s="65">
        <v>45145</v>
      </c>
      <c r="C468" s="70">
        <v>0.51111111111111118</v>
      </c>
      <c r="D468" s="63" t="s">
        <v>2162</v>
      </c>
      <c r="E468" s="64" t="s">
        <v>2163</v>
      </c>
      <c r="F468" s="63">
        <v>5</v>
      </c>
      <c r="G468" s="63" t="s">
        <v>1435</v>
      </c>
      <c r="H468" s="208">
        <v>45152</v>
      </c>
      <c r="I468" s="65" t="s">
        <v>73</v>
      </c>
      <c r="J468" s="65" t="s">
        <v>78</v>
      </c>
      <c r="K468" s="63">
        <v>8</v>
      </c>
      <c r="L468" s="63" t="s">
        <v>1693</v>
      </c>
      <c r="M468" s="63" t="s">
        <v>1025</v>
      </c>
      <c r="N468" s="63" t="s">
        <v>2211</v>
      </c>
      <c r="O468" s="63" t="str">
        <f ca="1">IF(H468&lt;&gt;"",IF(H468&lt;=TODAY(),"SI","NO"),"LIMBO")</f>
        <v>SI</v>
      </c>
      <c r="P468" s="63" t="str">
        <f>IF($P$1=H468,"DIASOL", "DIANOSOL")</f>
        <v>DIANOSOL</v>
      </c>
      <c r="Q468" s="63" t="s">
        <v>151</v>
      </c>
      <c r="R468" s="63" t="str">
        <f>VLOOKUP($Q468,Resultados!$A$1:$B$49,2,FALSE)</f>
        <v>Prisión Preventiva</v>
      </c>
      <c r="S468" s="70">
        <v>0.36319444444444443</v>
      </c>
      <c r="T468" s="72" t="str">
        <f>IF(G468=$J$1,"SI","NO")</f>
        <v>SI</v>
      </c>
      <c r="U468" s="72"/>
      <c r="V468" s="7" t="str">
        <f ca="1">IF(color_Celda(E468)=12106214,"ROSA",IF(color_Celda(E468)=65535,"AMARILLO",IF(color_Celda(E468)=5296274,"VERDE",IF(color_Celda(E468)=16777215,"BLANCO","NO SE"))))</f>
        <v>ROSA</v>
      </c>
      <c r="W468" s="70">
        <v>0.39305555555555555</v>
      </c>
      <c r="X468" s="63" t="s">
        <v>2276</v>
      </c>
      <c r="Y468" s="63"/>
      <c r="Z468" s="118" t="s">
        <v>743</v>
      </c>
      <c r="AA468" s="118" t="s">
        <v>743</v>
      </c>
      <c r="AB468" s="118" t="s">
        <v>1173</v>
      </c>
      <c r="AC468" s="324"/>
    </row>
    <row r="469" spans="1:29" ht="60" customHeight="1">
      <c r="A469" s="63">
        <v>476</v>
      </c>
      <c r="B469" s="65">
        <v>45146</v>
      </c>
      <c r="C469" s="70">
        <v>0.33333333333333331</v>
      </c>
      <c r="D469" s="63" t="s">
        <v>2182</v>
      </c>
      <c r="E469" s="64" t="s">
        <v>2202</v>
      </c>
      <c r="F469" s="63">
        <v>6</v>
      </c>
      <c r="G469" s="63" t="s">
        <v>32</v>
      </c>
      <c r="H469" s="208">
        <v>45152</v>
      </c>
      <c r="I469" s="65" t="s">
        <v>73</v>
      </c>
      <c r="J469" s="65" t="s">
        <v>1218</v>
      </c>
      <c r="K469" s="63">
        <v>5</v>
      </c>
      <c r="L469" s="63" t="s">
        <v>807</v>
      </c>
      <c r="M469" s="63" t="s">
        <v>2201</v>
      </c>
      <c r="N469" s="63" t="s">
        <v>2301</v>
      </c>
      <c r="O469" s="63" t="str">
        <f ca="1">IF(H469&lt;&gt;"",IF(H469&lt;=TODAY(),"SI","NO"),"LIMBO")</f>
        <v>SI</v>
      </c>
      <c r="P469" s="63" t="str">
        <f>IF($P$1=H469,"DIASOL", "DIANOSOL")</f>
        <v>DIANOSOL</v>
      </c>
      <c r="Q469" s="63" t="s">
        <v>902</v>
      </c>
      <c r="R469" s="63" t="str">
        <f>VLOOKUP($Q469,Resultados!$A$1:$B$49,2,FALSE)</f>
        <v>Juicio Abreviado</v>
      </c>
      <c r="S469" s="70">
        <v>0.35069444444444442</v>
      </c>
      <c r="T469" s="72" t="str">
        <f>IF(G469=$J$1,"SI","NO")</f>
        <v>NO</v>
      </c>
      <c r="U469" s="72"/>
      <c r="V469" s="7" t="str">
        <f ca="1">IF(color_Celda(E469)=12106214,"ROSA",IF(color_Celda(E469)=65535,"AMARILLO",IF(color_Celda(E469)=5296274,"VERDE",IF(color_Celda(E469)=16777215,"BLANCO","NO SE"))))</f>
        <v>ROSA</v>
      </c>
      <c r="W469" s="70">
        <v>0.35416666666666669</v>
      </c>
      <c r="X469" s="63" t="s">
        <v>2275</v>
      </c>
      <c r="Y469" s="63"/>
      <c r="Z469" s="118" t="s">
        <v>770</v>
      </c>
      <c r="AA469" s="118" t="s">
        <v>1165</v>
      </c>
      <c r="AB469" s="118" t="s">
        <v>1172</v>
      </c>
      <c r="AC469" s="324"/>
    </row>
    <row r="470" spans="1:29" ht="60" customHeight="1">
      <c r="A470" s="63">
        <v>417</v>
      </c>
      <c r="B470" s="65">
        <v>45131</v>
      </c>
      <c r="C470" s="70">
        <v>0.40625</v>
      </c>
      <c r="D470" s="63" t="s">
        <v>1922</v>
      </c>
      <c r="E470" s="64" t="s">
        <v>2146</v>
      </c>
      <c r="F470" s="63">
        <v>4</v>
      </c>
      <c r="G470" s="63" t="s">
        <v>568</v>
      </c>
      <c r="H470" s="208">
        <v>45152</v>
      </c>
      <c r="I470" s="65" t="s">
        <v>1083</v>
      </c>
      <c r="J470" s="65" t="s">
        <v>33</v>
      </c>
      <c r="K470" s="63">
        <f>IFERROR(VLOOKUP(J470,Jueces!$A$1:$B$11,2,FALSE),"")</f>
        <v>4</v>
      </c>
      <c r="L470" s="63" t="s">
        <v>809</v>
      </c>
      <c r="M470" s="63" t="s">
        <v>1829</v>
      </c>
      <c r="N470" s="63" t="s">
        <v>2313</v>
      </c>
      <c r="O470" s="63" t="str">
        <f ca="1">IF(H470&lt;&gt;"",IF(H470&lt;=TODAY(),"SI","NO"),"LIMBO")</f>
        <v>SI</v>
      </c>
      <c r="P470" s="63" t="str">
        <f>IF($P$1=H470,"DIASOL", "DIANOSOL")</f>
        <v>DIANOSOL</v>
      </c>
      <c r="Q470" s="63" t="s">
        <v>902</v>
      </c>
      <c r="R470" s="63" t="str">
        <f>VLOOKUP($Q470,Resultados!$A$1:$B$49,2,FALSE)</f>
        <v>Juicio Abreviado</v>
      </c>
      <c r="S470" s="70">
        <v>0.39999999999999997</v>
      </c>
      <c r="T470" s="72" t="str">
        <f>IF(G470=$J$1,"SI","NO")</f>
        <v>NO</v>
      </c>
      <c r="U470" s="72"/>
      <c r="V470" s="7" t="str">
        <f ca="1">IF(color_Celda(E470)=12106214,"ROSA",IF(color_Celda(E470)=65535,"AMARILLO",IF(color_Celda(E470)=5296274,"VERDE",IF(color_Celda(E470)=16777215,"BLANCO","NO SE"))))</f>
        <v>ROSA</v>
      </c>
      <c r="W470" s="70">
        <v>0.41319444444444442</v>
      </c>
      <c r="X470" s="63" t="s">
        <v>2277</v>
      </c>
      <c r="Y470" s="63"/>
      <c r="Z470" s="118" t="s">
        <v>1038</v>
      </c>
      <c r="AA470" s="118" t="s">
        <v>1167</v>
      </c>
      <c r="AB470" s="118" t="s">
        <v>1170</v>
      </c>
      <c r="AC470" s="324"/>
    </row>
    <row r="471" spans="1:29" ht="60" customHeight="1">
      <c r="A471" s="63">
        <v>469</v>
      </c>
      <c r="B471" s="65">
        <v>45145</v>
      </c>
      <c r="C471" s="70">
        <v>0.50624999999999998</v>
      </c>
      <c r="D471" s="63" t="s">
        <v>2167</v>
      </c>
      <c r="E471" s="64" t="s">
        <v>2166</v>
      </c>
      <c r="F471" s="63">
        <v>5</v>
      </c>
      <c r="G471" s="63" t="s">
        <v>43</v>
      </c>
      <c r="H471" s="208">
        <v>45152</v>
      </c>
      <c r="I471" s="65" t="s">
        <v>1083</v>
      </c>
      <c r="J471" s="65" t="s">
        <v>1220</v>
      </c>
      <c r="K471" s="63">
        <v>2</v>
      </c>
      <c r="L471" s="63" t="s">
        <v>2076</v>
      </c>
      <c r="M471" s="63" t="s">
        <v>783</v>
      </c>
      <c r="N471" s="63" t="s">
        <v>2314</v>
      </c>
      <c r="O471" s="63" t="str">
        <f ca="1">IF(H471&lt;&gt;"",IF(H471&lt;=TODAY(),"SI","NO"),"LIMBO")</f>
        <v>SI</v>
      </c>
      <c r="P471" s="63" t="str">
        <f>IF($P$1=H471,"DIASOL", "DIANOSOL")</f>
        <v>DIANOSOL</v>
      </c>
      <c r="Q471" s="63" t="s">
        <v>902</v>
      </c>
      <c r="R471" s="63" t="str">
        <f>VLOOKUP($Q471,Resultados!$A$1:$B$49,2,FALSE)</f>
        <v>Juicio Abreviado</v>
      </c>
      <c r="S471" s="63"/>
      <c r="T471" s="72" t="str">
        <f>IF(G471=$J$1,"SI","NO")</f>
        <v>NO</v>
      </c>
      <c r="U471" s="72"/>
      <c r="V471" s="7" t="str">
        <f ca="1">IF(color_Celda(E471)=12106214,"ROSA",IF(color_Celda(E471)=65535,"AMARILLO",IF(color_Celda(E471)=5296274,"VERDE",IF(color_Celda(E471)=16777215,"BLANCO","NO SE"))))</f>
        <v>ROSA</v>
      </c>
      <c r="W471" s="63"/>
      <c r="X471" s="63" t="s">
        <v>2278</v>
      </c>
      <c r="Y471" s="63"/>
      <c r="Z471" s="118" t="s">
        <v>1039</v>
      </c>
      <c r="AA471" s="118" t="s">
        <v>743</v>
      </c>
      <c r="AB471" s="118" t="s">
        <v>1169</v>
      </c>
      <c r="AC471" s="324"/>
    </row>
    <row r="472" spans="1:29" ht="60" customHeight="1">
      <c r="A472" s="63">
        <v>472</v>
      </c>
      <c r="B472" s="65">
        <v>45145</v>
      </c>
      <c r="C472" s="70">
        <v>0.52777777777777779</v>
      </c>
      <c r="D472" s="63" t="s">
        <v>2174</v>
      </c>
      <c r="E472" s="64" t="s">
        <v>2175</v>
      </c>
      <c r="F472" s="63">
        <v>6</v>
      </c>
      <c r="G472" s="63" t="s">
        <v>1434</v>
      </c>
      <c r="H472" s="208">
        <v>45152</v>
      </c>
      <c r="I472" s="65" t="s">
        <v>1083</v>
      </c>
      <c r="J472" s="65" t="s">
        <v>1219</v>
      </c>
      <c r="K472" s="63" t="s">
        <v>1916</v>
      </c>
      <c r="L472" s="63" t="s">
        <v>2076</v>
      </c>
      <c r="M472" s="63" t="s">
        <v>2107</v>
      </c>
      <c r="N472" s="63" t="s">
        <v>621</v>
      </c>
      <c r="O472" s="63" t="str">
        <f ca="1">IF(H472&lt;&gt;"",IF(H472&lt;=TODAY(),"SI","NO"),"LIMBO")</f>
        <v>SI</v>
      </c>
      <c r="P472" s="63" t="str">
        <f>IF($P$1=H472,"DIASOL", "DIANOSOL")</f>
        <v>DIANOSOL</v>
      </c>
      <c r="Q472" s="63" t="s">
        <v>151</v>
      </c>
      <c r="R472" s="63" t="str">
        <f>VLOOKUP($Q472,Resultados!$A$1:$B$49,2,FALSE)</f>
        <v>Prisión Preventiva</v>
      </c>
      <c r="S472" s="70">
        <v>0.38194444444444442</v>
      </c>
      <c r="T472" s="72"/>
      <c r="U472" s="72"/>
      <c r="V472" s="7" t="str">
        <f ca="1">IF(color_Celda(E472)=12106214,"ROSA",IF(color_Celda(E472)=65535,"AMARILLO",IF(color_Celda(E472)=5296274,"VERDE",IF(color_Celda(E472)=16777215,"BLANCO","NO SE"))))</f>
        <v>ROSA</v>
      </c>
      <c r="W472" s="70">
        <v>0.3923611111111111</v>
      </c>
      <c r="X472" s="63"/>
      <c r="Y472" s="63"/>
      <c r="Z472" s="118" t="s">
        <v>748</v>
      </c>
      <c r="AA472" s="118" t="s">
        <v>1165</v>
      </c>
      <c r="AB472" s="118" t="s">
        <v>1171</v>
      </c>
      <c r="AC472" s="324"/>
    </row>
    <row r="473" spans="1:29" ht="60" customHeight="1">
      <c r="A473" s="63">
        <v>470</v>
      </c>
      <c r="B473" s="65">
        <v>45145</v>
      </c>
      <c r="C473" s="70">
        <v>0.44305555555555554</v>
      </c>
      <c r="D473" s="63" t="s">
        <v>2168</v>
      </c>
      <c r="E473" s="64" t="s">
        <v>2169</v>
      </c>
      <c r="F473" s="63">
        <v>4</v>
      </c>
      <c r="G473" s="63" t="s">
        <v>29</v>
      </c>
      <c r="H473" s="208">
        <v>45153</v>
      </c>
      <c r="I473" s="65" t="s">
        <v>73</v>
      </c>
      <c r="J473" s="65" t="s">
        <v>31</v>
      </c>
      <c r="K473" s="63">
        <f>IFERROR(VLOOKUP(J473,Jueces!$A$1:$B$11,2,FALSE),"")</f>
        <v>2</v>
      </c>
      <c r="L473" s="63" t="s">
        <v>797</v>
      </c>
      <c r="M473" s="63" t="s">
        <v>695</v>
      </c>
      <c r="N473" s="63" t="s">
        <v>2291</v>
      </c>
      <c r="O473" s="63" t="str">
        <f ca="1">IF(H473&lt;&gt;"",IF(H473&lt;=TODAY(),"SI","NO"),"LIMBO")</f>
        <v>SI</v>
      </c>
      <c r="P473" s="63" t="str">
        <f>IF($P$1=H473,"DIASOL", "DIANOSOL")</f>
        <v>DIANOSOL</v>
      </c>
      <c r="Q473" s="63" t="s">
        <v>900</v>
      </c>
      <c r="R473" s="63" t="str">
        <f>VLOOKUP($Q473,Resultados!$A$1:$B$49,2,FALSE)</f>
        <v>Libertad</v>
      </c>
      <c r="S473" s="70">
        <v>0.3527777777777778</v>
      </c>
      <c r="T473" s="72" t="str">
        <f>IF(G473=$J$1,"SI","NO")</f>
        <v>NO</v>
      </c>
      <c r="U473" s="72"/>
      <c r="V473" s="7" t="str">
        <f ca="1">IF(color_Celda(E473)=12106214,"ROSA",IF(color_Celda(E473)=65535,"AMARILLO",IF(color_Celda(E473)=5296274,"VERDE",IF(color_Celda(E473)=16777215,"BLANCO","NO SE"))))</f>
        <v>ROSA</v>
      </c>
      <c r="W473" s="70">
        <v>0.38194444444444442</v>
      </c>
      <c r="X473" s="63" t="s">
        <v>2293</v>
      </c>
      <c r="Y473" s="63"/>
      <c r="Z473" s="118" t="s">
        <v>743</v>
      </c>
      <c r="AA473" s="118" t="s">
        <v>1167</v>
      </c>
      <c r="AB473" s="118" t="s">
        <v>1173</v>
      </c>
      <c r="AC473" s="324"/>
    </row>
    <row r="474" spans="1:29" ht="60" customHeight="1">
      <c r="A474" s="63">
        <v>474</v>
      </c>
      <c r="B474" s="65">
        <v>45146</v>
      </c>
      <c r="C474" s="70">
        <v>0.3354166666666667</v>
      </c>
      <c r="D474" s="63" t="s">
        <v>2200</v>
      </c>
      <c r="E474" s="64" t="s">
        <v>2181</v>
      </c>
      <c r="F474" s="63">
        <v>6</v>
      </c>
      <c r="G474" s="63" t="s">
        <v>283</v>
      </c>
      <c r="H474" s="208">
        <v>45153</v>
      </c>
      <c r="I474" s="65" t="s">
        <v>73</v>
      </c>
      <c r="J474" s="65" t="s">
        <v>1217</v>
      </c>
      <c r="K474" s="63" t="s">
        <v>2285</v>
      </c>
      <c r="L474" s="63" t="s">
        <v>1067</v>
      </c>
      <c r="M474" s="63" t="s">
        <v>2107</v>
      </c>
      <c r="N474" s="63" t="s">
        <v>2312</v>
      </c>
      <c r="O474" s="63" t="str">
        <f ca="1">IF(H474&lt;&gt;"",IF(H474&lt;=TODAY(),"SI","NO"),"LIMBO")</f>
        <v>SI</v>
      </c>
      <c r="P474" s="63" t="str">
        <f>IF($P$1=H474,"DIASOL", "DIANOSOL")</f>
        <v>DIANOSOL</v>
      </c>
      <c r="Q474" s="63" t="s">
        <v>151</v>
      </c>
      <c r="R474" s="63" t="str">
        <f>VLOOKUP($Q474,Resultados!$A$1:$B$49,2,FALSE)</f>
        <v>Prisión Preventiva</v>
      </c>
      <c r="S474" s="70">
        <v>0.3666666666666667</v>
      </c>
      <c r="T474" s="72" t="str">
        <f>IF(G474=$J$1,"SI","NO")</f>
        <v>NO</v>
      </c>
      <c r="U474" s="72"/>
      <c r="V474" s="7" t="str">
        <f ca="1">IF(color_Celda(E474)=12106214,"ROSA",IF(color_Celda(E474)=65535,"AMARILLO",IF(color_Celda(E474)=5296274,"VERDE",IF(color_Celda(E474)=16777215,"BLANCO","NO SE"))))</f>
        <v>ROSA</v>
      </c>
      <c r="W474" s="70">
        <v>0.38263888888888892</v>
      </c>
      <c r="X474" s="63" t="s">
        <v>2292</v>
      </c>
      <c r="Y474" s="63"/>
      <c r="Z474" s="118" t="s">
        <v>1038</v>
      </c>
      <c r="AA474" s="118" t="s">
        <v>1165</v>
      </c>
      <c r="AB474" s="118" t="s">
        <v>1170</v>
      </c>
      <c r="AC474" s="324"/>
    </row>
    <row r="475" spans="1:29" ht="60" customHeight="1">
      <c r="A475" s="63">
        <v>480</v>
      </c>
      <c r="B475" s="65">
        <v>45146</v>
      </c>
      <c r="C475" s="63" t="s">
        <v>2192</v>
      </c>
      <c r="D475" s="63" t="s">
        <v>2193</v>
      </c>
      <c r="E475" s="64" t="s">
        <v>2194</v>
      </c>
      <c r="F475" s="63">
        <v>2</v>
      </c>
      <c r="G475" s="63" t="s">
        <v>43</v>
      </c>
      <c r="H475" s="208">
        <v>45153</v>
      </c>
      <c r="I475" s="65" t="s">
        <v>73</v>
      </c>
      <c r="J475" s="65" t="s">
        <v>1218</v>
      </c>
      <c r="K475" s="63" t="s">
        <v>1916</v>
      </c>
      <c r="L475" s="63" t="s">
        <v>807</v>
      </c>
      <c r="M475" s="63" t="s">
        <v>1956</v>
      </c>
      <c r="N475" s="63" t="s">
        <v>621</v>
      </c>
      <c r="O475" s="63" t="str">
        <f ca="1">IF(H475&lt;&gt;"",IF(H475&lt;=TODAY(),"SI","NO"),"LIMBO")</f>
        <v>SI</v>
      </c>
      <c r="P475" s="63" t="str">
        <f>IF($P$1=H475,"DIASOL", "DIANOSOL")</f>
        <v>DIANOSOL</v>
      </c>
      <c r="Q475" s="63" t="s">
        <v>151</v>
      </c>
      <c r="R475" s="63" t="str">
        <f>VLOOKUP($Q475,Resultados!$A$1:$B$49,2,FALSE)</f>
        <v>Prisión Preventiva</v>
      </c>
      <c r="S475" s="70">
        <v>0.35069444444444442</v>
      </c>
      <c r="T475" s="72" t="str">
        <f>IF(G475=$J$1,"SI","NO")</f>
        <v>NO</v>
      </c>
      <c r="U475" s="72"/>
      <c r="V475" s="7" t="str">
        <f ca="1">IF(color_Celda(E475)=12106214,"ROSA",IF(color_Celda(E475)=65535,"AMARILLO",IF(color_Celda(E475)=5296274,"VERDE",IF(color_Celda(E475)=16777215,"BLANCO","NO SE"))))</f>
        <v>ROSA</v>
      </c>
      <c r="W475" s="70">
        <v>0.3576388888888889</v>
      </c>
      <c r="X475" s="63"/>
      <c r="Y475" s="63"/>
      <c r="Z475" s="118" t="s">
        <v>1039</v>
      </c>
      <c r="AA475" s="118" t="s">
        <v>1167</v>
      </c>
      <c r="AB475" s="118" t="s">
        <v>1169</v>
      </c>
      <c r="AC475" s="324"/>
    </row>
    <row r="476" spans="1:29" ht="60" customHeight="1">
      <c r="A476" s="63">
        <v>483</v>
      </c>
      <c r="B476" s="65">
        <v>45147</v>
      </c>
      <c r="C476" s="70">
        <v>0.33333333333333331</v>
      </c>
      <c r="D476" s="63" t="s">
        <v>2208</v>
      </c>
      <c r="E476" s="64" t="s">
        <v>2205</v>
      </c>
      <c r="F476" s="63">
        <v>5</v>
      </c>
      <c r="G476" s="63" t="s">
        <v>568</v>
      </c>
      <c r="H476" s="208">
        <v>45153</v>
      </c>
      <c r="I476" s="65" t="s">
        <v>73</v>
      </c>
      <c r="J476" s="65" t="s">
        <v>35</v>
      </c>
      <c r="K476" s="63">
        <f>IFERROR(VLOOKUP(J476,Jueces!$A$1:$B$11,2,FALSE),"")</f>
        <v>3</v>
      </c>
      <c r="L476" s="63" t="s">
        <v>805</v>
      </c>
      <c r="M476" s="63" t="s">
        <v>1866</v>
      </c>
      <c r="N476" s="63" t="s">
        <v>2311</v>
      </c>
      <c r="O476" s="63" t="str">
        <f ca="1">IF(H476&lt;&gt;"",IF(H476&lt;=TODAY(),"SI","NO"),"LIMBO")</f>
        <v>SI</v>
      </c>
      <c r="P476" s="63" t="str">
        <f>IF($P$1=H476,"DIASOL", "DIANOSOL")</f>
        <v>DIANOSOL</v>
      </c>
      <c r="Q476" s="63" t="s">
        <v>151</v>
      </c>
      <c r="R476" s="63" t="str">
        <f>VLOOKUP($Q476,Resultados!$A$1:$B$49,2,FALSE)</f>
        <v>Prisión Preventiva</v>
      </c>
      <c r="S476" s="70">
        <v>0.3611111111111111</v>
      </c>
      <c r="T476" s="72" t="str">
        <f>IF(G476=$J$1,"SI","NO")</f>
        <v>NO</v>
      </c>
      <c r="U476" s="72"/>
      <c r="V476" s="7" t="str">
        <f ca="1">IF(color_Celda(E476)=12106214,"ROSA",IF(color_Celda(E476)=65535,"AMARILLO",IF(color_Celda(E476)=5296274,"VERDE",IF(color_Celda(E476)=16777215,"BLANCO","NO SE"))))</f>
        <v>ROSA</v>
      </c>
      <c r="W476" s="70">
        <v>0.42777777777777781</v>
      </c>
      <c r="X476" s="63" t="s">
        <v>2299</v>
      </c>
      <c r="Y476" s="63"/>
      <c r="Z476" s="118" t="s">
        <v>748</v>
      </c>
      <c r="AA476" s="118" t="s">
        <v>743</v>
      </c>
      <c r="AB476" s="118" t="s">
        <v>1171</v>
      </c>
      <c r="AC476" s="324"/>
    </row>
    <row r="477" spans="1:29" ht="60" customHeight="1">
      <c r="A477" s="63">
        <v>481</v>
      </c>
      <c r="B477" s="65">
        <v>45146</v>
      </c>
      <c r="C477" s="70">
        <v>0.51458333333333328</v>
      </c>
      <c r="D477" s="63" t="s">
        <v>2195</v>
      </c>
      <c r="E477" s="64" t="s">
        <v>2196</v>
      </c>
      <c r="F477" s="63">
        <v>6</v>
      </c>
      <c r="G477" s="63" t="s">
        <v>32</v>
      </c>
      <c r="H477" s="208">
        <v>45153</v>
      </c>
      <c r="I477" s="65" t="s">
        <v>547</v>
      </c>
      <c r="J477" s="65" t="s">
        <v>1216</v>
      </c>
      <c r="K477" s="63">
        <f>IFERROR(VLOOKUP(J477,Jueces!$A$1:$B$11,2,FALSE),"")</f>
        <v>1</v>
      </c>
      <c r="L477" s="63" t="s">
        <v>807</v>
      </c>
      <c r="M477" s="63" t="s">
        <v>2107</v>
      </c>
      <c r="N477" s="63" t="s">
        <v>2300</v>
      </c>
      <c r="O477" s="63" t="str">
        <f ca="1">IF(H477&lt;&gt;"",IF(H477&lt;=TODAY(),"SI","NO"),"LIMBO")</f>
        <v>SI</v>
      </c>
      <c r="P477" s="63" t="str">
        <f>IF($P$1=H477,"DIASOL", "DIANOSOL")</f>
        <v>DIANOSOL</v>
      </c>
      <c r="Q477" s="63" t="s">
        <v>902</v>
      </c>
      <c r="R477" s="63" t="str">
        <f>VLOOKUP($Q477,Resultados!$A$1:$B$49,2,FALSE)</f>
        <v>Juicio Abreviado</v>
      </c>
      <c r="S477" s="70">
        <v>0.47152777777777777</v>
      </c>
      <c r="T477" s="72" t="str">
        <f>IF(G477=$J$1,"SI","NO")</f>
        <v>NO</v>
      </c>
      <c r="U477" s="72"/>
      <c r="V477" s="7" t="str">
        <f ca="1">IF(color_Celda(E477)=12106214,"ROSA",IF(color_Celda(E477)=65535,"AMARILLO",IF(color_Celda(E477)=5296274,"VERDE",IF(color_Celda(E477)=16777215,"BLANCO","NO SE"))))</f>
        <v>ROSA</v>
      </c>
      <c r="W477" s="70">
        <v>0.47430555555555554</v>
      </c>
      <c r="X477" s="63"/>
      <c r="Y477" s="63"/>
      <c r="Z477" s="118" t="s">
        <v>770</v>
      </c>
      <c r="AA477" s="118" t="s">
        <v>1165</v>
      </c>
      <c r="AB477" s="118" t="s">
        <v>1172</v>
      </c>
      <c r="AC477" s="324"/>
    </row>
    <row r="478" spans="1:29" ht="60" customHeight="1">
      <c r="A478" s="63">
        <v>460</v>
      </c>
      <c r="B478" s="65">
        <v>45145</v>
      </c>
      <c r="C478" s="70">
        <v>0.375</v>
      </c>
      <c r="D478" s="63" t="s">
        <v>2141</v>
      </c>
      <c r="E478" s="64" t="s">
        <v>2199</v>
      </c>
      <c r="F478" s="63">
        <v>6</v>
      </c>
      <c r="G478" s="63" t="s">
        <v>29</v>
      </c>
      <c r="H478" s="208">
        <v>45154</v>
      </c>
      <c r="I478" s="65" t="s">
        <v>73</v>
      </c>
      <c r="J478" s="65" t="s">
        <v>1216</v>
      </c>
      <c r="K478" s="63">
        <f>IFERROR(VLOOKUP(J478,Jueces!$A$1:$B$11,2,FALSE),"")</f>
        <v>1</v>
      </c>
      <c r="L478" s="63" t="s">
        <v>810</v>
      </c>
      <c r="M478" s="63" t="s">
        <v>2107</v>
      </c>
      <c r="N478" s="63" t="s">
        <v>2321</v>
      </c>
      <c r="O478" s="63" t="str">
        <f ca="1">IF(H478&lt;&gt;"",IF(H478&lt;=TODAY(),"SI","NO"),"LIMBO")</f>
        <v>SI</v>
      </c>
      <c r="P478" s="63" t="str">
        <f>IF($P$1=H478,"DIASOL", "DIANOSOL")</f>
        <v>DIANOSOL</v>
      </c>
      <c r="Q478" s="63" t="s">
        <v>902</v>
      </c>
      <c r="R478" s="63" t="str">
        <f>VLOOKUP($Q478,Resultados!$A$1:$B$49,2,FALSE)</f>
        <v>Juicio Abreviado</v>
      </c>
      <c r="S478" s="63" t="s">
        <v>1062</v>
      </c>
      <c r="T478" s="72" t="str">
        <f>IF(G478=$J$1,"SI","NO")</f>
        <v>NO</v>
      </c>
      <c r="U478" s="72"/>
      <c r="V478" s="7" t="str">
        <f ca="1">IF(color_Celda(E478)=12106214,"ROSA",IF(color_Celda(E478)=65535,"AMARILLO",IF(color_Celda(E478)=5296274,"VERDE",IF(color_Celda(E478)=16777215,"BLANCO","NO SE"))))</f>
        <v>ROSA</v>
      </c>
      <c r="W478" s="63" t="s">
        <v>1450</v>
      </c>
      <c r="X478" s="63" t="s">
        <v>2322</v>
      </c>
      <c r="Y478" s="63"/>
      <c r="Z478" s="118" t="s">
        <v>1038</v>
      </c>
      <c r="AA478" s="118" t="s">
        <v>1167</v>
      </c>
      <c r="AB478" s="118" t="s">
        <v>1170</v>
      </c>
      <c r="AC478" s="324"/>
    </row>
    <row r="479" spans="1:29" ht="60" customHeight="1">
      <c r="A479" s="63">
        <v>484</v>
      </c>
      <c r="B479" s="65">
        <v>45147</v>
      </c>
      <c r="C479" s="70">
        <v>0.33333333333333331</v>
      </c>
      <c r="D479" s="63" t="s">
        <v>2209</v>
      </c>
      <c r="E479" s="64" t="s">
        <v>2206</v>
      </c>
      <c r="F479" s="63">
        <v>5</v>
      </c>
      <c r="G479" s="63" t="s">
        <v>1434</v>
      </c>
      <c r="H479" s="208">
        <v>45154</v>
      </c>
      <c r="I479" s="65" t="s">
        <v>73</v>
      </c>
      <c r="J479" s="65" t="s">
        <v>78</v>
      </c>
      <c r="K479" s="63">
        <f>IFERROR(VLOOKUP(J479,Jueces!$A$1:$B$11,2,FALSE),"")</f>
        <v>8</v>
      </c>
      <c r="L479" s="63" t="s">
        <v>811</v>
      </c>
      <c r="M479" s="63" t="s">
        <v>1956</v>
      </c>
      <c r="N479" s="63" t="s">
        <v>2315</v>
      </c>
      <c r="O479" s="63" t="str">
        <f ca="1">IF(H479&lt;&gt;"",IF(H479&lt;=TODAY(),"SI","NO"),"LIMBO")</f>
        <v>SI</v>
      </c>
      <c r="P479" s="63" t="str">
        <f>IF($P$1=H479,"DIASOL", "DIANOSOL")</f>
        <v>DIANOSOL</v>
      </c>
      <c r="Q479" s="63" t="s">
        <v>902</v>
      </c>
      <c r="R479" s="63" t="str">
        <f>VLOOKUP($Q479,Resultados!$A$1:$B$49,2,FALSE)</f>
        <v>Juicio Abreviado</v>
      </c>
      <c r="S479" s="70">
        <v>0.3756944444444445</v>
      </c>
      <c r="T479" s="72" t="str">
        <f>IF(G479=$J$1,"SI","NO")</f>
        <v>NO</v>
      </c>
      <c r="U479" s="72"/>
      <c r="V479" s="7" t="str">
        <f ca="1">IF(color_Celda(E479)=12106214,"ROSA",IF(color_Celda(E479)=65535,"AMARILLO",IF(color_Celda(E479)=5296274,"VERDE",IF(color_Celda(E479)=16777215,"BLANCO","NO SE"))))</f>
        <v>ROSA</v>
      </c>
      <c r="W479" s="70">
        <v>0.38541666666666669</v>
      </c>
      <c r="X479" s="7" t="s">
        <v>2316</v>
      </c>
      <c r="Y479" s="63"/>
      <c r="Z479" s="118" t="s">
        <v>1039</v>
      </c>
      <c r="AA479" s="118" t="s">
        <v>743</v>
      </c>
      <c r="AB479" s="118" t="s">
        <v>1169</v>
      </c>
      <c r="AC479" s="324"/>
    </row>
    <row r="480" spans="1:29" ht="60" customHeight="1">
      <c r="A480" s="63">
        <v>489</v>
      </c>
      <c r="B480" s="65">
        <v>45147</v>
      </c>
      <c r="C480" s="70">
        <v>0.47013888888888888</v>
      </c>
      <c r="D480" s="63" t="s">
        <v>2218</v>
      </c>
      <c r="E480" s="64" t="s">
        <v>2342</v>
      </c>
      <c r="F480" s="63">
        <v>6</v>
      </c>
      <c r="G480" s="63" t="s">
        <v>283</v>
      </c>
      <c r="H480" s="208">
        <v>45154</v>
      </c>
      <c r="I480" s="65" t="s">
        <v>73</v>
      </c>
      <c r="J480" s="65" t="s">
        <v>31</v>
      </c>
      <c r="K480" s="63">
        <f>IFERROR(VLOOKUP(J480,Jueces!$A$1:$B$11,2,FALSE),"")</f>
        <v>2</v>
      </c>
      <c r="L480" s="63" t="s">
        <v>1406</v>
      </c>
      <c r="M480" s="63" t="s">
        <v>2201</v>
      </c>
      <c r="N480" s="63" t="s">
        <v>2317</v>
      </c>
      <c r="O480" s="63" t="str">
        <f ca="1">IF(H480&lt;&gt;"",IF(H480&lt;=TODAY(),"SI","NO"),"LIMBO")</f>
        <v>SI</v>
      </c>
      <c r="P480" s="63" t="str">
        <f>IF($P$1=H480,"DIASOL", "DIANOSOL")</f>
        <v>DIANOSOL</v>
      </c>
      <c r="Q480" s="63" t="s">
        <v>902</v>
      </c>
      <c r="R480" s="63" t="str">
        <f>VLOOKUP($Q480,Resultados!$A$1:$B$49,2,FALSE)</f>
        <v>Juicio Abreviado</v>
      </c>
      <c r="S480" s="70">
        <v>0.37152777777777773</v>
      </c>
      <c r="T480" s="72" t="str">
        <f>IF(G480=$J$1,"SI","NO")</f>
        <v>NO</v>
      </c>
      <c r="U480" s="72"/>
      <c r="V480" s="7" t="str">
        <f ca="1">IF(color_Celda(E480)=12106214,"ROSA",IF(color_Celda(E480)=65535,"AMARILLO",IF(color_Celda(E480)=5296274,"VERDE",IF(color_Celda(E480)=16777215,"BLANCO","NO SE"))))</f>
        <v>ROSA</v>
      </c>
      <c r="W480" s="70">
        <v>0.38125000000000003</v>
      </c>
      <c r="X480" s="169" t="s">
        <v>2318</v>
      </c>
      <c r="Y480" s="63"/>
      <c r="Z480" s="118" t="s">
        <v>748</v>
      </c>
      <c r="AA480" s="118" t="s">
        <v>743</v>
      </c>
      <c r="AB480" s="118" t="s">
        <v>1171</v>
      </c>
      <c r="AC480" s="324"/>
    </row>
    <row r="481" spans="1:29" ht="60" customHeight="1">
      <c r="A481" s="63">
        <v>475</v>
      </c>
      <c r="B481" s="65">
        <v>45146</v>
      </c>
      <c r="C481" s="70">
        <v>0.3347222222222222</v>
      </c>
      <c r="D481" s="63" t="s">
        <v>2216</v>
      </c>
      <c r="E481" s="64" t="s">
        <v>2198</v>
      </c>
      <c r="F481" s="63">
        <v>6</v>
      </c>
      <c r="G481" s="63" t="s">
        <v>32</v>
      </c>
      <c r="H481" s="208">
        <v>45154</v>
      </c>
      <c r="I481" s="65" t="s">
        <v>1083</v>
      </c>
      <c r="J481" s="65" t="s">
        <v>1218</v>
      </c>
      <c r="K481" s="63" t="s">
        <v>1341</v>
      </c>
      <c r="L481" s="63" t="s">
        <v>810</v>
      </c>
      <c r="M481" s="63" t="s">
        <v>2107</v>
      </c>
      <c r="N481" s="63" t="s">
        <v>2319</v>
      </c>
      <c r="O481" s="63" t="str">
        <f ca="1">IF(H481&lt;&gt;"",IF(H481&lt;=TODAY(),"SI","NO"),"LIMBO")</f>
        <v>SI</v>
      </c>
      <c r="P481" s="63" t="str">
        <f>IF($P$1=H481,"DIASOL", "DIANOSOL")</f>
        <v>DIANOSOL</v>
      </c>
      <c r="Q481" s="63" t="s">
        <v>902</v>
      </c>
      <c r="R481" s="63" t="str">
        <f>VLOOKUP($Q481,Resultados!$A$1:$B$49,2,FALSE)</f>
        <v>Juicio Abreviado</v>
      </c>
      <c r="S481" s="70">
        <v>0.4055555555555555</v>
      </c>
      <c r="T481" s="72" t="str">
        <f>IF(G481=$J$1,"SI","NO")</f>
        <v>NO</v>
      </c>
      <c r="U481" s="72"/>
      <c r="V481" s="7" t="str">
        <f ca="1">IF(color_Celda(E481)=12106214,"ROSA",IF(color_Celda(E481)=65535,"AMARILLO",IF(color_Celda(E481)=5296274,"VERDE",IF(color_Celda(E481)=16777215,"BLANCO","NO SE"))))</f>
        <v>ROSA</v>
      </c>
      <c r="W481" s="70">
        <v>0.4069444444444445</v>
      </c>
      <c r="X481" s="63" t="s">
        <v>2320</v>
      </c>
      <c r="Y481" s="63"/>
      <c r="Z481" s="118" t="s">
        <v>743</v>
      </c>
      <c r="AA481" s="118" t="s">
        <v>1165</v>
      </c>
      <c r="AB481" s="118" t="s">
        <v>1172</v>
      </c>
      <c r="AC481" s="324"/>
    </row>
    <row r="482" spans="1:29" ht="60" customHeight="1">
      <c r="A482" s="63">
        <v>477</v>
      </c>
      <c r="B482" s="65">
        <v>45146</v>
      </c>
      <c r="C482" s="70">
        <v>0.4145833333333333</v>
      </c>
      <c r="D482" s="63" t="s">
        <v>2183</v>
      </c>
      <c r="E482" s="64" t="s">
        <v>2184</v>
      </c>
      <c r="F482" s="63">
        <v>2</v>
      </c>
      <c r="G482" s="63" t="s">
        <v>568</v>
      </c>
      <c r="H482" s="208">
        <v>45154</v>
      </c>
      <c r="I482" s="65" t="s">
        <v>1083</v>
      </c>
      <c r="J482" s="65" t="s">
        <v>33</v>
      </c>
      <c r="K482" s="63">
        <f>IFERROR(VLOOKUP(J482,Jueces!$A$1:$B$11,2,FALSE),"")</f>
        <v>4</v>
      </c>
      <c r="L482" s="63" t="s">
        <v>802</v>
      </c>
      <c r="M482" s="63" t="s">
        <v>2247</v>
      </c>
      <c r="N482" s="63" t="s">
        <v>2326</v>
      </c>
      <c r="O482" s="63" t="str">
        <f ca="1">IF(H482&lt;&gt;"",IF(H482&lt;=TODAY(),"SI","NO"),"LIMBO")</f>
        <v>SI</v>
      </c>
      <c r="P482" s="63" t="str">
        <f>IF($P$1=H482,"DIASOL", "DIANOSOL")</f>
        <v>DIANOSOL</v>
      </c>
      <c r="Q482" s="63" t="s">
        <v>151</v>
      </c>
      <c r="R482" s="63" t="str">
        <f>VLOOKUP($Q482,Resultados!$A$1:$B$49,2,FALSE)</f>
        <v>Prisión Preventiva</v>
      </c>
      <c r="S482" s="70">
        <v>0.37708333333333338</v>
      </c>
      <c r="T482" s="72" t="str">
        <f>IF(G482=$J$1,"SI","NO")</f>
        <v>NO</v>
      </c>
      <c r="U482" s="72"/>
      <c r="V482" s="7" t="str">
        <f ca="1">IF(color_Celda(E482)=12106214,"ROSA",IF(color_Celda(E482)=65535,"AMARILLO",IF(color_Celda(E482)=5296274,"VERDE",IF(color_Celda(E482)=16777215,"BLANCO","NO SE"))))</f>
        <v>ROSA</v>
      </c>
      <c r="W482" s="70">
        <v>0.39097222222222222</v>
      </c>
      <c r="X482" s="63"/>
      <c r="Y482" s="63"/>
      <c r="Z482" s="118" t="s">
        <v>770</v>
      </c>
      <c r="AA482" s="118" t="s">
        <v>1167</v>
      </c>
      <c r="AB482" s="118" t="s">
        <v>1170</v>
      </c>
      <c r="AC482" s="324"/>
    </row>
    <row r="483" spans="1:29" ht="60" customHeight="1">
      <c r="A483" s="63">
        <v>490</v>
      </c>
      <c r="B483" s="65">
        <v>45148</v>
      </c>
      <c r="C483" s="70">
        <v>0.38125000000000003</v>
      </c>
      <c r="D483" s="63" t="s">
        <v>2245</v>
      </c>
      <c r="E483" s="64" t="s">
        <v>2343</v>
      </c>
      <c r="F483" s="63">
        <v>6</v>
      </c>
      <c r="G483" s="63" t="s">
        <v>1433</v>
      </c>
      <c r="H483" s="208">
        <v>45154</v>
      </c>
      <c r="I483" s="65" t="s">
        <v>1083</v>
      </c>
      <c r="J483" s="65" t="s">
        <v>1220</v>
      </c>
      <c r="K483" s="63" t="s">
        <v>1916</v>
      </c>
      <c r="L483" s="63" t="s">
        <v>811</v>
      </c>
      <c r="M483" s="63" t="s">
        <v>2201</v>
      </c>
      <c r="N483" s="63" t="s">
        <v>577</v>
      </c>
      <c r="O483" s="63" t="str">
        <f ca="1">IF(H483&lt;&gt;"",IF(H483&lt;=TODAY(),"SI","NO"),"LIMBO")</f>
        <v>SI</v>
      </c>
      <c r="P483" s="63" t="str">
        <f>IF($P$1=H483,"DIASOL", "DIANOSOL")</f>
        <v>DIANOSOL</v>
      </c>
      <c r="Q483" s="63" t="s">
        <v>151</v>
      </c>
      <c r="R483" s="63" t="str">
        <f>VLOOKUP($Q483,Resultados!$A$1:$B$49,2,FALSE)</f>
        <v>Prisión Preventiva</v>
      </c>
      <c r="S483" s="70">
        <v>0.39305555555555555</v>
      </c>
      <c r="T483" s="72" t="str">
        <f>IF(G483=$J$1,"SI","NO")</f>
        <v>NO</v>
      </c>
      <c r="U483" s="72"/>
      <c r="V483" s="7" t="str">
        <f ca="1">IF(color_Celda(E483)=12106214,"ROSA",IF(color_Celda(E483)=65535,"AMARILLO",IF(color_Celda(E483)=5296274,"VERDE",IF(color_Celda(E483)=16777215,"BLANCO","NO SE"))))</f>
        <v>ROSA</v>
      </c>
      <c r="W483" s="70">
        <v>0.42777777777777781</v>
      </c>
      <c r="X483" s="63" t="s">
        <v>2325</v>
      </c>
      <c r="Y483" s="63"/>
      <c r="Z483" s="118" t="s">
        <v>1038</v>
      </c>
      <c r="AA483" s="118" t="s">
        <v>743</v>
      </c>
      <c r="AB483" s="118" t="s">
        <v>1169</v>
      </c>
      <c r="AC483" s="324"/>
    </row>
    <row r="484" spans="1:29" ht="60" customHeight="1">
      <c r="A484" s="63">
        <v>454</v>
      </c>
      <c r="B484" s="65">
        <v>45152</v>
      </c>
      <c r="C484" s="70">
        <v>0.41041666666666665</v>
      </c>
      <c r="D484" s="63" t="s">
        <v>2093</v>
      </c>
      <c r="E484" s="64" t="s">
        <v>2120</v>
      </c>
      <c r="F484" s="63">
        <v>1</v>
      </c>
      <c r="G484" s="63" t="s">
        <v>1433</v>
      </c>
      <c r="H484" s="208">
        <v>45154</v>
      </c>
      <c r="I484" s="65" t="s">
        <v>547</v>
      </c>
      <c r="J484" s="65" t="s">
        <v>1216</v>
      </c>
      <c r="K484" s="63">
        <f>IFERROR(VLOOKUP(J484,Jueces!$A$1:$B$11,2,FALSE),"")</f>
        <v>1</v>
      </c>
      <c r="L484" s="63" t="s">
        <v>192</v>
      </c>
      <c r="M484" s="63" t="s">
        <v>1281</v>
      </c>
      <c r="N484" s="63" t="s">
        <v>2330</v>
      </c>
      <c r="O484" s="63" t="str">
        <f ca="1">IF(H484&lt;&gt;"",IF(H484&lt;=TODAY(),"SI","NO"),"LIMBO")</f>
        <v>SI</v>
      </c>
      <c r="P484" s="63" t="str">
        <f>IF($P$1=H484,"DIASOL", "DIANOSOL")</f>
        <v>DIANOSOL</v>
      </c>
      <c r="Q484" s="63" t="s">
        <v>151</v>
      </c>
      <c r="R484" s="63" t="str">
        <f>VLOOKUP($Q484,Resultados!$A$1:$B$49,2,FALSE)</f>
        <v>Prisión Preventiva</v>
      </c>
      <c r="S484" s="70">
        <v>0.46111111111111108</v>
      </c>
      <c r="T484" s="72" t="str">
        <f>IF(G484=$J$1,"SI","NO")</f>
        <v>NO</v>
      </c>
      <c r="U484" s="72"/>
      <c r="V484" s="7" t="str">
        <f ca="1">IF(color_Celda(E484)=12106214,"ROSA",IF(color_Celda(E484)=65535,"AMARILLO",IF(color_Celda(E484)=5296274,"VERDE",IF(color_Celda(E484)=16777215,"BLANCO","NO SE"))))</f>
        <v>ROSA</v>
      </c>
      <c r="W484" s="70">
        <v>0.4777777777777778</v>
      </c>
      <c r="X484" s="63" t="s">
        <v>2241</v>
      </c>
      <c r="Y484" s="63"/>
      <c r="Z484" s="118" t="s">
        <v>1039</v>
      </c>
      <c r="AA484" s="118" t="s">
        <v>743</v>
      </c>
      <c r="AB484" s="118" t="s">
        <v>1171</v>
      </c>
      <c r="AC484" s="324"/>
    </row>
    <row r="485" spans="1:29" ht="60" customHeight="1">
      <c r="A485" s="63">
        <v>494</v>
      </c>
      <c r="B485" s="65">
        <v>45145</v>
      </c>
      <c r="C485" s="70">
        <v>0.41388888888888892</v>
      </c>
      <c r="D485" s="63" t="s">
        <v>2246</v>
      </c>
      <c r="E485" s="64" t="s">
        <v>2359</v>
      </c>
      <c r="F485" s="63">
        <v>1</v>
      </c>
      <c r="G485" s="63" t="s">
        <v>29</v>
      </c>
      <c r="H485" s="208">
        <v>45155</v>
      </c>
      <c r="I485" s="65" t="s">
        <v>73</v>
      </c>
      <c r="J485" s="65" t="s">
        <v>1219</v>
      </c>
      <c r="K485" s="63" t="s">
        <v>1341</v>
      </c>
      <c r="L485" s="63" t="s">
        <v>811</v>
      </c>
      <c r="M485" s="63" t="s">
        <v>767</v>
      </c>
      <c r="N485" s="63" t="s">
        <v>2356</v>
      </c>
      <c r="O485" s="63" t="str">
        <f ca="1">IF(H485&lt;&gt;"",IF(H485&lt;=TODAY(),"SI","NO"),"LIMBO")</f>
        <v>SI</v>
      </c>
      <c r="P485" s="63" t="str">
        <f>IF($P$1=H485,"DIASOL", "DIANOSOL")</f>
        <v>DIANOSOL</v>
      </c>
      <c r="Q485" s="63" t="s">
        <v>902</v>
      </c>
      <c r="R485" s="63" t="str">
        <f>VLOOKUP($Q485,Resultados!$A$1:$B$49,2,FALSE)</f>
        <v>Juicio Abreviado</v>
      </c>
      <c r="S485" s="70">
        <v>0.37152777777777773</v>
      </c>
      <c r="T485" s="72" t="str">
        <f>IF(G485=$J$1,"SI","NO")</f>
        <v>NO</v>
      </c>
      <c r="U485" s="72"/>
      <c r="V485" s="7" t="str">
        <f ca="1">IF(color_Celda(E485)=12106214,"ROSA",IF(color_Celda(E485)=65535,"AMARILLO",IF(color_Celda(E485)=5296274,"VERDE",IF(color_Celda(E485)=16777215,"BLANCO","NO SE"))))</f>
        <v>ROSA</v>
      </c>
      <c r="W485" s="70">
        <v>0.38541666666666669</v>
      </c>
      <c r="X485" s="63"/>
      <c r="Y485" s="63"/>
      <c r="Z485" s="118" t="s">
        <v>770</v>
      </c>
      <c r="AA485" s="118" t="s">
        <v>743</v>
      </c>
      <c r="AB485" s="118" t="s">
        <v>1170</v>
      </c>
      <c r="AC485" s="324"/>
    </row>
    <row r="486" spans="1:29" ht="60" customHeight="1">
      <c r="A486" s="63">
        <v>482</v>
      </c>
      <c r="B486" s="65">
        <v>45146</v>
      </c>
      <c r="C486" s="70">
        <v>0.5229166666666667</v>
      </c>
      <c r="D486" s="63" t="s">
        <v>2197</v>
      </c>
      <c r="E486" s="64" t="s">
        <v>2357</v>
      </c>
      <c r="F486" s="63">
        <v>6</v>
      </c>
      <c r="G486" s="63" t="s">
        <v>283</v>
      </c>
      <c r="H486" s="208">
        <v>45155</v>
      </c>
      <c r="I486" s="65" t="s">
        <v>73</v>
      </c>
      <c r="J486" s="65" t="s">
        <v>78</v>
      </c>
      <c r="K486" s="63">
        <v>8</v>
      </c>
      <c r="L486" s="63" t="s">
        <v>801</v>
      </c>
      <c r="M486" s="63" t="s">
        <v>2107</v>
      </c>
      <c r="N486" s="63" t="s">
        <v>2346</v>
      </c>
      <c r="O486" s="63" t="str">
        <f ca="1">IF(H486&lt;&gt;"",IF(H486&lt;=TODAY(),"SI","NO"),"LIMBO")</f>
        <v>SI</v>
      </c>
      <c r="P486" s="63" t="str">
        <f>IF($P$1=H486,"DIASOL", "DIANOSOL")</f>
        <v>DIANOSOL</v>
      </c>
      <c r="Q486" s="63" t="s">
        <v>902</v>
      </c>
      <c r="R486" s="63" t="str">
        <f>VLOOKUP($Q486,Resultados!$A$1:$B$49,2,FALSE)</f>
        <v>Juicio Abreviado</v>
      </c>
      <c r="S486" s="70">
        <v>0.35833333333333334</v>
      </c>
      <c r="T486" s="72" t="str">
        <f>IF(G486=$J$1,"SI","NO")</f>
        <v>NO</v>
      </c>
      <c r="U486" s="72"/>
      <c r="V486" s="7" t="str">
        <f ca="1">IF(color_Celda(E486)=12106214,"ROSA",IF(color_Celda(E486)=65535,"AMARILLO",IF(color_Celda(E486)=5296274,"VERDE",IF(color_Celda(E486)=16777215,"BLANCO","NO SE"))))</f>
        <v>ROSA</v>
      </c>
      <c r="W486" s="70">
        <v>0.36874999999999997</v>
      </c>
      <c r="X486" s="63"/>
      <c r="Y486" s="63"/>
      <c r="Z486" s="118" t="s">
        <v>748</v>
      </c>
      <c r="AA486" s="118" t="s">
        <v>1167</v>
      </c>
      <c r="AB486" s="118" t="s">
        <v>1169</v>
      </c>
      <c r="AC486" s="324"/>
    </row>
    <row r="487" spans="1:29" ht="60" customHeight="1">
      <c r="A487" s="63">
        <v>492</v>
      </c>
      <c r="B487" s="65">
        <v>45148</v>
      </c>
      <c r="C487" s="70">
        <v>0.40416666666666662</v>
      </c>
      <c r="D487" s="63" t="s">
        <v>2239</v>
      </c>
      <c r="E487" s="64" t="s">
        <v>2358</v>
      </c>
      <c r="F487" s="63">
        <v>5</v>
      </c>
      <c r="G487" s="63" t="s">
        <v>1433</v>
      </c>
      <c r="H487" s="208">
        <v>45155</v>
      </c>
      <c r="I487" s="65" t="s">
        <v>73</v>
      </c>
      <c r="J487" s="65" t="s">
        <v>33</v>
      </c>
      <c r="K487" s="63">
        <f>IFERROR(VLOOKUP(J487,Jueces!$A$1:$B$11,2,FALSE),"")</f>
        <v>4</v>
      </c>
      <c r="L487" s="63" t="s">
        <v>810</v>
      </c>
      <c r="M487" s="63" t="s">
        <v>1956</v>
      </c>
      <c r="N487" s="63" t="s">
        <v>2344</v>
      </c>
      <c r="O487" s="63" t="str">
        <f ca="1">IF(H487&lt;&gt;"",IF(H487&lt;=TODAY(),"SI","NO"),"LIMBO")</f>
        <v>SI</v>
      </c>
      <c r="P487" s="63" t="str">
        <f>IF($P$1=H487,"DIASOL", "DIANOSOL")</f>
        <v>DIANOSOL</v>
      </c>
      <c r="Q487" s="63" t="s">
        <v>902</v>
      </c>
      <c r="R487" s="63" t="str">
        <f>VLOOKUP($Q487,Resultados!$A$1:$B$49,2,FALSE)</f>
        <v>Juicio Abreviado</v>
      </c>
      <c r="S487" s="70">
        <v>0.35416666666666669</v>
      </c>
      <c r="T487" s="72" t="str">
        <f>IF(G487=$J$1,"SI","NO")</f>
        <v>NO</v>
      </c>
      <c r="U487" s="72"/>
      <c r="V487" s="7" t="str">
        <f ca="1">IF(color_Celda(E487)=12106214,"ROSA",IF(color_Celda(E487)=65535,"AMARILLO",IF(color_Celda(E487)=5296274,"VERDE",IF(color_Celda(E487)=16777215,"BLANCO","NO SE"))))</f>
        <v>ROSA</v>
      </c>
      <c r="W487" s="70">
        <v>0.36249999999999999</v>
      </c>
      <c r="X487" s="63" t="s">
        <v>2345</v>
      </c>
      <c r="Y487" s="63"/>
      <c r="Z487" s="118" t="s">
        <v>743</v>
      </c>
      <c r="AA487" s="118" t="s">
        <v>2348</v>
      </c>
      <c r="AB487" s="118" t="s">
        <v>1172</v>
      </c>
      <c r="AC487" s="324"/>
    </row>
    <row r="488" spans="1:29" ht="60" customHeight="1">
      <c r="A488" s="63">
        <v>486</v>
      </c>
      <c r="B488" s="65">
        <v>45147</v>
      </c>
      <c r="C488" s="70">
        <v>0.33333333333333331</v>
      </c>
      <c r="D488" s="63" t="s">
        <v>2210</v>
      </c>
      <c r="E488" s="64" t="s">
        <v>2360</v>
      </c>
      <c r="F488" s="63">
        <v>5</v>
      </c>
      <c r="G488" s="63" t="s">
        <v>43</v>
      </c>
      <c r="H488" s="208">
        <v>45155</v>
      </c>
      <c r="I488" s="65" t="s">
        <v>1083</v>
      </c>
      <c r="J488" s="65" t="s">
        <v>31</v>
      </c>
      <c r="K488" s="63">
        <f>IFERROR(VLOOKUP(J488,Jueces!$A$1:$B$11,2,FALSE),"")</f>
        <v>2</v>
      </c>
      <c r="L488" s="63" t="s">
        <v>810</v>
      </c>
      <c r="M488" s="63" t="s">
        <v>700</v>
      </c>
      <c r="N488" s="63" t="s">
        <v>2355</v>
      </c>
      <c r="O488" s="63" t="str">
        <f ca="1">IF(H488&lt;&gt;"",IF(H488&lt;=TODAY(),"SI","NO"),"LIMBO")</f>
        <v>SI</v>
      </c>
      <c r="P488" s="63" t="str">
        <f>IF($P$1=H488,"DIASOL", "DIANOSOL")</f>
        <v>DIANOSOL</v>
      </c>
      <c r="Q488" s="63" t="s">
        <v>151</v>
      </c>
      <c r="R488" s="63" t="str">
        <f>VLOOKUP($Q488,Resultados!$A$1:$B$49,2,FALSE)</f>
        <v>Prisión Preventiva</v>
      </c>
      <c r="S488" s="70">
        <v>0.39374999999999999</v>
      </c>
      <c r="T488" s="72" t="str">
        <f>IF(G488=$J$1,"SI","NO")</f>
        <v>NO</v>
      </c>
      <c r="U488" s="72"/>
      <c r="V488" s="7" t="str">
        <f ca="1">IF(color_Celda(E488)=12106214,"ROSA",IF(color_Celda(E488)=65535,"AMARILLO",IF(color_Celda(E488)=5296274,"VERDE",IF(color_Celda(E488)=16777215,"BLANCO","NO SE"))))</f>
        <v>ROSA</v>
      </c>
      <c r="W488" s="70">
        <v>0.42222222222222222</v>
      </c>
      <c r="X488" s="63"/>
      <c r="Y488" s="63"/>
      <c r="Z488" s="118" t="s">
        <v>1038</v>
      </c>
      <c r="AA488" s="118" t="s">
        <v>1165</v>
      </c>
      <c r="AB488" s="118" t="s">
        <v>1169</v>
      </c>
      <c r="AC488" s="324"/>
    </row>
    <row r="489" spans="1:29" ht="60" customHeight="1">
      <c r="A489" s="7">
        <v>491</v>
      </c>
      <c r="B489" s="19">
        <v>45148</v>
      </c>
      <c r="C489" s="7" t="s">
        <v>1570</v>
      </c>
      <c r="D489" s="7" t="s">
        <v>2244</v>
      </c>
      <c r="E489" s="40" t="s">
        <v>2361</v>
      </c>
      <c r="F489" s="7">
        <v>5</v>
      </c>
      <c r="G489" s="7" t="s">
        <v>1435</v>
      </c>
      <c r="H489" s="297">
        <v>45155</v>
      </c>
      <c r="I489" s="19" t="s">
        <v>1083</v>
      </c>
      <c r="J489" s="19" t="s">
        <v>1216</v>
      </c>
      <c r="K489" s="7">
        <f>IFERROR(VLOOKUP(J489,Jueces!$A$1:$B$11,2,FALSE),"")</f>
        <v>1</v>
      </c>
      <c r="L489" s="7" t="s">
        <v>809</v>
      </c>
      <c r="M489" s="7" t="s">
        <v>2353</v>
      </c>
      <c r="N489" s="7" t="s">
        <v>2352</v>
      </c>
      <c r="O489" s="7" t="str">
        <f ca="1">IF(H489&lt;&gt;"",IF(H489&lt;=TODAY(),"SI","NO"),"LIMBO")</f>
        <v>SI</v>
      </c>
      <c r="P489" s="7" t="str">
        <f>IF($P$1=H489,"DIASOL", "DIANOSOL")</f>
        <v>DIANOSOL</v>
      </c>
      <c r="Q489" s="7" t="s">
        <v>902</v>
      </c>
      <c r="R489" s="7" t="str">
        <f>VLOOKUP($Q489,Resultados!$A$1:$B$49,2,FALSE)</f>
        <v>Juicio Abreviado</v>
      </c>
      <c r="S489" s="15">
        <v>0.40625</v>
      </c>
      <c r="T489" s="68" t="str">
        <f>IF(G489=$J$1,"SI","NO")</f>
        <v>SI</v>
      </c>
      <c r="U489" s="68"/>
      <c r="V489" s="7" t="str">
        <f ca="1">IF(color_Celda(E489)=12106214,"ROSA",IF(color_Celda(E489)=65535,"AMARILLO",IF(color_Celda(E489)=5296274,"VERDE",IF(color_Celda(E489)=16777215,"BLANCO","NO SE"))))</f>
        <v>ROSA</v>
      </c>
      <c r="W489" s="15">
        <v>0.41041666666666665</v>
      </c>
      <c r="X489" s="7" t="s">
        <v>2354</v>
      </c>
      <c r="Y489" s="7"/>
      <c r="Z489" s="118" t="s">
        <v>1039</v>
      </c>
      <c r="AA489" s="118" t="s">
        <v>1167</v>
      </c>
      <c r="AB489" s="118" t="s">
        <v>1171</v>
      </c>
      <c r="AC489" s="324"/>
    </row>
    <row r="490" spans="1:29" ht="60" customHeight="1">
      <c r="A490" s="63">
        <v>478</v>
      </c>
      <c r="B490" s="65">
        <v>45146</v>
      </c>
      <c r="C490" s="70">
        <v>0.41805555555555557</v>
      </c>
      <c r="D490" s="63" t="s">
        <v>2185</v>
      </c>
      <c r="E490" s="64" t="s">
        <v>2374</v>
      </c>
      <c r="F490" s="63">
        <v>8</v>
      </c>
      <c r="G490" s="63" t="s">
        <v>1434</v>
      </c>
      <c r="H490" s="208">
        <v>45156</v>
      </c>
      <c r="I490" s="65" t="s">
        <v>73</v>
      </c>
      <c r="J490" s="65" t="s">
        <v>35</v>
      </c>
      <c r="K490" s="63">
        <f>IFERROR(VLOOKUP(J490,Jueces!$A$1:$B$11,2,FALSE),"")</f>
        <v>3</v>
      </c>
      <c r="L490" s="63" t="s">
        <v>1067</v>
      </c>
      <c r="M490" s="63" t="s">
        <v>2212</v>
      </c>
      <c r="N490" s="63" t="s">
        <v>2258</v>
      </c>
      <c r="O490" s="63" t="str">
        <f ca="1">IF(H490&lt;&gt;"",IF(H490&lt;=TODAY(),"SI","NO"),"LIMBO")</f>
        <v>SI</v>
      </c>
      <c r="P490" s="63" t="str">
        <f>IF($P$1=H490,"DIASOL", "DIANOSOL")</f>
        <v>DIANOSOL</v>
      </c>
      <c r="Q490" s="63" t="s">
        <v>151</v>
      </c>
      <c r="R490" s="63" t="str">
        <f>VLOOKUP($Q490,Resultados!$A$1:$B$49,2,FALSE)</f>
        <v>Prisión Preventiva</v>
      </c>
      <c r="S490" s="63" t="s">
        <v>1130</v>
      </c>
      <c r="T490" s="72" t="str">
        <f>IF(G490=$J$1,"SI","NO")</f>
        <v>NO</v>
      </c>
      <c r="U490" s="72"/>
      <c r="V490" s="7" t="str">
        <f ca="1">IF(color_Celda(E490)=12106214,"ROSA",IF(color_Celda(E490)=65535,"AMARILLO",IF(color_Celda(E490)=5296274,"VERDE",IF(color_Celda(E490)=16777215,"BLANCO","NO SE"))))</f>
        <v>ROSA</v>
      </c>
      <c r="W490" s="63" t="s">
        <v>1489</v>
      </c>
      <c r="X490" s="63" t="s">
        <v>2137</v>
      </c>
      <c r="Y490" s="63"/>
      <c r="Z490" s="118" t="s">
        <v>748</v>
      </c>
      <c r="AA490" s="118" t="s">
        <v>1165</v>
      </c>
      <c r="AB490" s="118" t="s">
        <v>1172</v>
      </c>
      <c r="AC490" s="324"/>
    </row>
    <row r="491" spans="1:29" ht="60" customHeight="1">
      <c r="A491" s="63">
        <v>485</v>
      </c>
      <c r="B491" s="65">
        <v>45147</v>
      </c>
      <c r="C491" s="70">
        <v>0.33333333333333331</v>
      </c>
      <c r="D491" s="63" t="s">
        <v>2227</v>
      </c>
      <c r="E491" s="64" t="s">
        <v>2207</v>
      </c>
      <c r="F491" s="63">
        <v>5</v>
      </c>
      <c r="G491" s="63" t="s">
        <v>568</v>
      </c>
      <c r="H491" s="208">
        <v>45156</v>
      </c>
      <c r="I491" s="65" t="s">
        <v>73</v>
      </c>
      <c r="J491" s="65" t="s">
        <v>78</v>
      </c>
      <c r="K491" s="63">
        <f>IFERROR(VLOOKUP(J491,Jueces!$A$1:$B$11,2,FALSE),"")</f>
        <v>8</v>
      </c>
      <c r="L491" s="63" t="s">
        <v>508</v>
      </c>
      <c r="M491" s="63" t="s">
        <v>2353</v>
      </c>
      <c r="N491" s="63" t="s">
        <v>235</v>
      </c>
      <c r="O491" s="63" t="str">
        <f ca="1">IF(H491&lt;&gt;"",IF(H491&lt;=TODAY(),"SI","NO"),"LIMBO")</f>
        <v>SI</v>
      </c>
      <c r="P491" s="63" t="str">
        <f>IF($P$1=H491,"DIASOL", "DIANOSOL")</f>
        <v>DIANOSOL</v>
      </c>
      <c r="Q491" s="63" t="s">
        <v>151</v>
      </c>
      <c r="R491" s="63" t="str">
        <f>VLOOKUP($Q491,Resultados!$A$1:$B$49,2,FALSE)</f>
        <v>Prisión Preventiva</v>
      </c>
      <c r="S491" s="63" t="s">
        <v>679</v>
      </c>
      <c r="T491" s="72" t="str">
        <f>IF(G491=$J$1,"SI","NO")</f>
        <v>NO</v>
      </c>
      <c r="U491" s="72"/>
      <c r="V491" s="7" t="str">
        <f ca="1">IF(color_Celda(E491)=12106214,"ROSA",IF(color_Celda(E491)=65535,"AMARILLO",IF(color_Celda(E491)=5296274,"VERDE",IF(color_Celda(E491)=16777215,"BLANCO","NO SE"))))</f>
        <v>ROSA</v>
      </c>
      <c r="W491" s="63" t="s">
        <v>1232</v>
      </c>
      <c r="X491" s="63" t="s">
        <v>2363</v>
      </c>
      <c r="Y491" s="63"/>
      <c r="Z491" s="118" t="s">
        <v>743</v>
      </c>
      <c r="AA491" s="118" t="s">
        <v>1167</v>
      </c>
      <c r="AB491" s="118" t="s">
        <v>1170</v>
      </c>
      <c r="AC491" s="324"/>
    </row>
    <row r="492" spans="1:29" ht="60" customHeight="1">
      <c r="A492" s="63">
        <v>487</v>
      </c>
      <c r="B492" s="65">
        <v>45147</v>
      </c>
      <c r="C492" s="70">
        <v>0.39930555555555558</v>
      </c>
      <c r="D492" s="63" t="s">
        <v>2213</v>
      </c>
      <c r="E492" s="64" t="s">
        <v>2214</v>
      </c>
      <c r="F492" s="63">
        <v>5</v>
      </c>
      <c r="G492" s="63" t="s">
        <v>1433</v>
      </c>
      <c r="H492" s="208">
        <v>45156</v>
      </c>
      <c r="I492" s="65" t="s">
        <v>73</v>
      </c>
      <c r="J492" s="65" t="s">
        <v>31</v>
      </c>
      <c r="K492" s="63">
        <f>IFERROR(VLOOKUP(J492,Jueces!$A$1:$B$11,2,FALSE),"")</f>
        <v>2</v>
      </c>
      <c r="L492" s="63" t="s">
        <v>2077</v>
      </c>
      <c r="M492" s="63" t="s">
        <v>1563</v>
      </c>
      <c r="N492" s="63" t="s">
        <v>2310</v>
      </c>
      <c r="O492" s="63" t="str">
        <f ca="1">IF(H492&lt;&gt;"",IF(H492&lt;=TODAY(),"SI","NO"),"LIMBO")</f>
        <v>SI</v>
      </c>
      <c r="P492" s="63" t="str">
        <f>IF($P$1=H492,"DIASOL", "DIANOSOL")</f>
        <v>DIANOSOL</v>
      </c>
      <c r="Q492" s="63" t="s">
        <v>151</v>
      </c>
      <c r="R492" s="63" t="str">
        <f>VLOOKUP($Q492,Resultados!$A$1:$B$49,2,FALSE)</f>
        <v>Prisión Preventiva</v>
      </c>
      <c r="S492" s="63" t="s">
        <v>1287</v>
      </c>
      <c r="T492" s="72" t="str">
        <f>IF(G492=$J$1,"SI","NO")</f>
        <v>NO</v>
      </c>
      <c r="U492" s="72"/>
      <c r="V492" s="7" t="str">
        <f ca="1">IF(color_Celda(E492)=12106214,"ROSA",IF(color_Celda(E492)=65535,"AMARILLO",IF(color_Celda(E492)=5296274,"VERDE",IF(color_Celda(E492)=16777215,"BLANCO","NO SE"))))</f>
        <v>ROSA</v>
      </c>
      <c r="W492" s="63" t="s">
        <v>1601</v>
      </c>
      <c r="X492" s="63" t="s">
        <v>2367</v>
      </c>
      <c r="Y492" s="63"/>
      <c r="Z492" s="118" t="s">
        <v>770</v>
      </c>
      <c r="AA492" s="118" t="s">
        <v>1167</v>
      </c>
      <c r="AB492" s="118" t="s">
        <v>1169</v>
      </c>
      <c r="AC492" s="324"/>
    </row>
    <row r="493" spans="1:29" ht="60" customHeight="1">
      <c r="A493" s="63">
        <v>495</v>
      </c>
      <c r="B493" s="65">
        <v>45148</v>
      </c>
      <c r="C493" s="70">
        <v>0.48402777777777778</v>
      </c>
      <c r="D493" s="63" t="s">
        <v>2249</v>
      </c>
      <c r="E493" s="64" t="s">
        <v>2251</v>
      </c>
      <c r="F493" s="63">
        <v>5</v>
      </c>
      <c r="G493" s="63" t="s">
        <v>43</v>
      </c>
      <c r="H493" s="208">
        <v>45156</v>
      </c>
      <c r="I493" s="65" t="s">
        <v>73</v>
      </c>
      <c r="J493" s="65" t="s">
        <v>33</v>
      </c>
      <c r="K493" s="63">
        <f>IFERROR(VLOOKUP(J493,Jueces!$A$1:$B$11,2,FALSE),"")</f>
        <v>4</v>
      </c>
      <c r="L493" s="63" t="s">
        <v>810</v>
      </c>
      <c r="M493" s="63" t="s">
        <v>2250</v>
      </c>
      <c r="N493" s="63" t="s">
        <v>2365</v>
      </c>
      <c r="O493" s="63" t="str">
        <f ca="1">IF(H493&lt;&gt;"",IF(H493&lt;=TODAY(),"SI","NO"),"LIMBO")</f>
        <v>SI</v>
      </c>
      <c r="P493" s="63" t="str">
        <f>IF($P$1=H493,"DIASOL", "DIANOSOL")</f>
        <v>DIANOSOL</v>
      </c>
      <c r="Q493" s="63" t="s">
        <v>897</v>
      </c>
      <c r="R493" s="63" t="str">
        <f>VLOOKUP($Q493,Resultados!$A$1:$B$49,2,FALSE)</f>
        <v>Libertad</v>
      </c>
      <c r="S493" s="63" t="s">
        <v>1291</v>
      </c>
      <c r="T493" s="72" t="str">
        <f>IF(G493=$J$1,"SI","NO")</f>
        <v>NO</v>
      </c>
      <c r="U493" s="72"/>
      <c r="V493" s="7" t="str">
        <f ca="1">IF(color_Celda(E493)=12106214,"ROSA",IF(color_Celda(E493)=65535,"AMARILLO",IF(color_Celda(E493)=5296274,"VERDE",IF(color_Celda(E493)=16777215,"BLANCO","NO SE"))))</f>
        <v>ROSA</v>
      </c>
      <c r="W493" s="63" t="s">
        <v>1239</v>
      </c>
      <c r="X493" s="63" t="s">
        <v>2364</v>
      </c>
      <c r="Y493" s="63"/>
      <c r="Z493" s="118" t="s">
        <v>1038</v>
      </c>
      <c r="AA493" s="118" t="s">
        <v>743</v>
      </c>
      <c r="AB493" s="118" t="s">
        <v>1172</v>
      </c>
      <c r="AC493" s="324"/>
    </row>
    <row r="494" spans="1:29" ht="60" customHeight="1">
      <c r="A494" s="63">
        <v>497</v>
      </c>
      <c r="B494" s="65">
        <v>45152</v>
      </c>
      <c r="C494" s="70">
        <v>0.33333333333333331</v>
      </c>
      <c r="D494" s="63" t="s">
        <v>2262</v>
      </c>
      <c r="E494" s="64" t="s">
        <v>2279</v>
      </c>
      <c r="F494" s="63">
        <v>6</v>
      </c>
      <c r="G494" s="63" t="s">
        <v>29</v>
      </c>
      <c r="H494" s="208">
        <v>45156</v>
      </c>
      <c r="I494" s="65" t="s">
        <v>73</v>
      </c>
      <c r="J494" s="65" t="s">
        <v>1219</v>
      </c>
      <c r="K494" s="63" t="s">
        <v>1341</v>
      </c>
      <c r="L494" s="63" t="s">
        <v>805</v>
      </c>
      <c r="M494" s="63" t="s">
        <v>2368</v>
      </c>
      <c r="N494" s="63" t="s">
        <v>2373</v>
      </c>
      <c r="O494" s="63" t="str">
        <f ca="1">IF(H494&lt;&gt;"",IF(H494&lt;=TODAY(),"SI","NO"),"LIMBO")</f>
        <v>SI</v>
      </c>
      <c r="P494" s="63" t="str">
        <f>IF($P$1=H494,"DIASOL", "DIANOSOL")</f>
        <v>DIANOSOL</v>
      </c>
      <c r="Q494" s="63" t="s">
        <v>151</v>
      </c>
      <c r="R494" s="63" t="str">
        <f>VLOOKUP($Q494,Resultados!$A$1:$B$49,2,FALSE)</f>
        <v>Prisión Preventiva</v>
      </c>
      <c r="S494" s="70">
        <v>0.35138888888888892</v>
      </c>
      <c r="T494" s="72" t="str">
        <f>IF(G494=$J$1,"SI","NO")</f>
        <v>NO</v>
      </c>
      <c r="U494" s="72"/>
      <c r="V494" s="7" t="str">
        <f ca="1">IF(color_Celda(E494)=12106214,"ROSA",IF(color_Celda(E494)=65535,"AMARILLO",IF(color_Celda(E494)=5296274,"VERDE",IF(color_Celda(E494)=16777215,"BLANCO","NO SE"))))</f>
        <v>ROSA</v>
      </c>
      <c r="W494" s="63" t="s">
        <v>1120</v>
      </c>
      <c r="X494" s="63"/>
      <c r="Y494" s="63"/>
      <c r="Z494" s="118" t="s">
        <v>1039</v>
      </c>
      <c r="AA494" s="118" t="s">
        <v>743</v>
      </c>
      <c r="AB494" s="118" t="s">
        <v>1170</v>
      </c>
      <c r="AC494" s="324"/>
    </row>
    <row r="495" spans="1:29" ht="60" customHeight="1">
      <c r="A495" s="63">
        <v>488</v>
      </c>
      <c r="B495" s="65">
        <v>45147</v>
      </c>
      <c r="C495" s="70">
        <v>0.4375</v>
      </c>
      <c r="D495" s="63" t="s">
        <v>2215</v>
      </c>
      <c r="E495" s="64" t="s">
        <v>2217</v>
      </c>
      <c r="F495" s="63">
        <v>5</v>
      </c>
      <c r="G495" s="63" t="s">
        <v>1435</v>
      </c>
      <c r="H495" s="208">
        <v>45156</v>
      </c>
      <c r="I495" s="65" t="s">
        <v>1083</v>
      </c>
      <c r="J495" s="65" t="s">
        <v>1218</v>
      </c>
      <c r="K495" s="63">
        <v>3</v>
      </c>
      <c r="L495" s="63" t="s">
        <v>792</v>
      </c>
      <c r="M495" s="63" t="s">
        <v>1866</v>
      </c>
      <c r="N495" s="63" t="s">
        <v>2257</v>
      </c>
      <c r="O495" s="63" t="str">
        <f ca="1">IF(H495&lt;&gt;"",IF(H495&lt;=TODAY(),"SI","NO"),"LIMBO")</f>
        <v>SI</v>
      </c>
      <c r="P495" s="63" t="str">
        <f>IF($P$1=H495,"DIASOL", "DIANOSOL")</f>
        <v>DIANOSOL</v>
      </c>
      <c r="Q495" s="63" t="s">
        <v>151</v>
      </c>
      <c r="R495" s="63" t="str">
        <f>VLOOKUP($Q495,Resultados!$A$1:$B$49,2,FALSE)</f>
        <v>Prisión Preventiva</v>
      </c>
      <c r="S495" s="63" t="s">
        <v>1189</v>
      </c>
      <c r="T495" s="72" t="str">
        <f>IF(G495=$J$1,"SI","NO")</f>
        <v>SI</v>
      </c>
      <c r="U495" s="72"/>
      <c r="V495" s="7" t="str">
        <f ca="1">IF(color_Celda(E495)=12106214,"ROSA",IF(color_Celda(E495)=65535,"AMARILLO",IF(color_Celda(E495)=5296274,"VERDE",IF(color_Celda(E495)=16777215,"BLANCO","NO SE"))))</f>
        <v>ROSA</v>
      </c>
      <c r="W495" s="63" t="s">
        <v>2366</v>
      </c>
      <c r="X495" s="365"/>
      <c r="Y495" s="63"/>
      <c r="Z495" s="118" t="s">
        <v>748</v>
      </c>
      <c r="AA495" s="118" t="s">
        <v>743</v>
      </c>
      <c r="AB495" s="118" t="s">
        <v>1169</v>
      </c>
      <c r="AC495" s="324"/>
    </row>
    <row r="496" spans="1:29" ht="60" customHeight="1">
      <c r="A496" s="63">
        <v>496</v>
      </c>
      <c r="B496" s="65">
        <v>45149</v>
      </c>
      <c r="C496" s="63" t="s">
        <v>2259</v>
      </c>
      <c r="D496" s="63" t="s">
        <v>2260</v>
      </c>
      <c r="E496" s="64" t="s">
        <v>2261</v>
      </c>
      <c r="F496" s="63">
        <v>6</v>
      </c>
      <c r="G496" s="63" t="s">
        <v>32</v>
      </c>
      <c r="H496" s="208">
        <v>45156</v>
      </c>
      <c r="I496" s="65" t="s">
        <v>1083</v>
      </c>
      <c r="J496" s="65" t="s">
        <v>1216</v>
      </c>
      <c r="K496" s="63">
        <f>IFERROR(VLOOKUP(J496,Jueces!$A$1:$B$11,2,FALSE),"")</f>
        <v>1</v>
      </c>
      <c r="L496" s="63" t="s">
        <v>810</v>
      </c>
      <c r="M496" s="63" t="s">
        <v>2368</v>
      </c>
      <c r="N496" s="63" t="s">
        <v>2369</v>
      </c>
      <c r="O496" s="63" t="str">
        <f ca="1">IF(H496&lt;&gt;"",IF(H496&lt;=TODAY(),"SI","NO"),"LIMBO")</f>
        <v>SI</v>
      </c>
      <c r="P496" s="63" t="str">
        <f>IF($P$1=H496,"DIASOL", "DIANOSOL")</f>
        <v>DIANOSOL</v>
      </c>
      <c r="Q496" s="63" t="s">
        <v>902</v>
      </c>
      <c r="R496" s="63" t="str">
        <f>VLOOKUP($Q496,Resultados!$A$1:$B$49,2,FALSE)</f>
        <v>Juicio Abreviado</v>
      </c>
      <c r="S496" s="70">
        <v>0.40347222222222223</v>
      </c>
      <c r="T496" s="72" t="str">
        <f>IF(G496=$J$1,"SI","NO")</f>
        <v>NO</v>
      </c>
      <c r="U496" s="72"/>
      <c r="V496" s="7" t="str">
        <f ca="1">IF(color_Celda(E496)=12106214,"ROSA",IF(color_Celda(E496)=65535,"AMARILLO",IF(color_Celda(E496)=5296274,"VERDE",IF(color_Celda(E496)=16777215,"BLANCO","NO SE"))))</f>
        <v>ROSA</v>
      </c>
      <c r="W496" s="70">
        <v>0.41666666666666669</v>
      </c>
      <c r="X496" s="577" t="s">
        <v>2370</v>
      </c>
      <c r="Y496" s="63"/>
      <c r="Z496" s="118" t="s">
        <v>743</v>
      </c>
      <c r="AA496" s="118" t="s">
        <v>1165</v>
      </c>
      <c r="AB496" s="118" t="s">
        <v>1172</v>
      </c>
      <c r="AC496" s="324"/>
    </row>
    <row r="497" spans="1:29" ht="60" customHeight="1">
      <c r="A497" s="63">
        <v>513</v>
      </c>
      <c r="B497" s="65">
        <v>45153</v>
      </c>
      <c r="C497" s="70">
        <v>0.48749999999999999</v>
      </c>
      <c r="D497" s="63" t="s">
        <v>2306</v>
      </c>
      <c r="E497" s="64" t="s">
        <v>2304</v>
      </c>
      <c r="F497" s="63">
        <v>5</v>
      </c>
      <c r="G497" s="63" t="s">
        <v>283</v>
      </c>
      <c r="H497" s="208">
        <v>45156</v>
      </c>
      <c r="I497" s="65" t="s">
        <v>1083</v>
      </c>
      <c r="J497" s="65" t="s">
        <v>1220</v>
      </c>
      <c r="K497" s="63" t="s">
        <v>1512</v>
      </c>
      <c r="L497" s="63" t="s">
        <v>2076</v>
      </c>
      <c r="M497" s="63" t="s">
        <v>2353</v>
      </c>
      <c r="N497" s="63" t="s">
        <v>2371</v>
      </c>
      <c r="O497" s="63" t="str">
        <f ca="1">IF(H497&lt;&gt;"",IF(H497&lt;=TODAY(),"SI","NO"),"LIMBO")</f>
        <v>SI</v>
      </c>
      <c r="P497" s="63" t="str">
        <f>IF($P$1=H497,"DIASOL", "DIANOSOL")</f>
        <v>DIANOSOL</v>
      </c>
      <c r="Q497" s="63" t="s">
        <v>897</v>
      </c>
      <c r="R497" s="63" t="str">
        <f>VLOOKUP($Q497,Resultados!$A$1:$B$49,2,FALSE)</f>
        <v>Libertad</v>
      </c>
      <c r="S497" s="70">
        <v>0.39861111111111108</v>
      </c>
      <c r="T497" s="72" t="str">
        <f>IF(G497=$J$1,"SI","NO")</f>
        <v>NO</v>
      </c>
      <c r="U497" s="72"/>
      <c r="V497" s="7" t="str">
        <f ca="1">IF(color_Celda(E497)=12106214,"ROSA",IF(color_Celda(E497)=65535,"AMARILLO",IF(color_Celda(E497)=5296274,"VERDE",IF(color_Celda(E497)=16777215,"BLANCO","NO SE"))))</f>
        <v>ROSA</v>
      </c>
      <c r="W497" s="70">
        <v>0.41180555555555554</v>
      </c>
      <c r="X497" s="577" t="s">
        <v>2372</v>
      </c>
      <c r="Y497" s="63"/>
      <c r="Z497" s="118" t="s">
        <v>770</v>
      </c>
      <c r="AA497" s="118" t="s">
        <v>1167</v>
      </c>
      <c r="AB497" s="118" t="s">
        <v>1170</v>
      </c>
      <c r="AC497" s="324"/>
    </row>
    <row r="498" spans="1:29" ht="60" customHeight="1">
      <c r="A498" s="63">
        <v>473</v>
      </c>
      <c r="B498" s="65">
        <v>45146</v>
      </c>
      <c r="C498" s="70">
        <v>0.33333333333333331</v>
      </c>
      <c r="D498" s="63" t="s">
        <v>2173</v>
      </c>
      <c r="E498" s="64" t="s">
        <v>2203</v>
      </c>
      <c r="F498" s="63">
        <v>6</v>
      </c>
      <c r="G498" s="63" t="s">
        <v>1434</v>
      </c>
      <c r="H498" s="208">
        <v>45160</v>
      </c>
      <c r="I498" s="65" t="s">
        <v>73</v>
      </c>
      <c r="J498" s="65" t="s">
        <v>31</v>
      </c>
      <c r="K498" s="63" t="s">
        <v>2324</v>
      </c>
      <c r="L498" s="63" t="s">
        <v>807</v>
      </c>
      <c r="M498" s="63" t="s">
        <v>2107</v>
      </c>
      <c r="N498" s="63" t="s">
        <v>2389</v>
      </c>
      <c r="O498" s="63" t="str">
        <f ca="1">IF(H498&lt;&gt;"",IF(H498&lt;=TODAY(),"SI","NO"),"LIMBO")</f>
        <v>SI</v>
      </c>
      <c r="P498" s="63" t="str">
        <f>IF($P$1=H498,"DIASOL", "DIANOSOL")</f>
        <v>DIANOSOL</v>
      </c>
      <c r="Q498" s="63" t="s">
        <v>151</v>
      </c>
      <c r="R498" s="63" t="str">
        <f>VLOOKUP($Q498,Resultados!$A$1:$B$49,2,FALSE)</f>
        <v>Prisión Preventiva</v>
      </c>
      <c r="S498" s="70">
        <v>0.36527777777777781</v>
      </c>
      <c r="T498" s="72" t="str">
        <f>IF(G498=$J$1,"SI","NO")</f>
        <v>NO</v>
      </c>
      <c r="U498" s="72"/>
      <c r="V498" s="7" t="str">
        <f ca="1">IF(color_Celda(E498)=12106214,"ROSA",IF(color_Celda(E498)=65535,"AMARILLO",IF(color_Celda(E498)=5296274,"VERDE",IF(color_Celda(E498)=16777215,"BLANCO","NO SE"))))</f>
        <v>ROSA</v>
      </c>
      <c r="W498" s="70">
        <v>0.38194444444444442</v>
      </c>
      <c r="X498" s="245" t="s">
        <v>2390</v>
      </c>
      <c r="Y498" s="63"/>
      <c r="Z498" s="118" t="s">
        <v>1038</v>
      </c>
      <c r="AA498" s="118" t="s">
        <v>743</v>
      </c>
      <c r="AB498" s="118" t="s">
        <v>1169</v>
      </c>
      <c r="AC498" s="324"/>
    </row>
    <row r="499" spans="1:29" ht="60" customHeight="1">
      <c r="A499" s="63">
        <v>500</v>
      </c>
      <c r="B499" s="65">
        <v>45149</v>
      </c>
      <c r="C499" s="70">
        <v>0.3347222222222222</v>
      </c>
      <c r="D499" s="63" t="s">
        <v>2267</v>
      </c>
      <c r="E499" s="64" t="s">
        <v>2269</v>
      </c>
      <c r="F499" s="63">
        <v>4</v>
      </c>
      <c r="G499" s="63" t="s">
        <v>283</v>
      </c>
      <c r="H499" s="208">
        <v>45160</v>
      </c>
      <c r="I499" s="65" t="s">
        <v>73</v>
      </c>
      <c r="J499" s="65" t="s">
        <v>35</v>
      </c>
      <c r="K499" s="63">
        <f>IFERROR(VLOOKUP(J499,Jueces!$A$1:$B$11,2,FALSE),"")</f>
        <v>3</v>
      </c>
      <c r="L499" s="63" t="s">
        <v>812</v>
      </c>
      <c r="M499" s="63" t="s">
        <v>2268</v>
      </c>
      <c r="N499" s="63" t="s">
        <v>2386</v>
      </c>
      <c r="O499" s="63" t="str">
        <f ca="1">IF(H499&lt;&gt;"",IF(H499&lt;=TODAY(),"SI","NO"),"LIMBO")</f>
        <v>SI</v>
      </c>
      <c r="P499" s="63" t="str">
        <f>IF($P$1=H499,"DIASOL", "DIANOSOL")</f>
        <v>DIANOSOL</v>
      </c>
      <c r="Q499" s="63" t="s">
        <v>151</v>
      </c>
      <c r="R499" s="63" t="str">
        <f>VLOOKUP($Q499,Resultados!$A$1:$B$49,2,FALSE)</f>
        <v>Prisión Preventiva</v>
      </c>
      <c r="S499" s="70">
        <v>0.41250000000000003</v>
      </c>
      <c r="T499" s="72" t="str">
        <f>IF(G499=$J$1,"SI","NO")</f>
        <v>NO</v>
      </c>
      <c r="U499" s="72"/>
      <c r="V499" s="7" t="str">
        <f ca="1">IF(color_Celda(E499)=12106214,"ROSA",IF(color_Celda(E499)=65535,"AMARILLO",IF(color_Celda(E499)=5296274,"VERDE",IF(color_Celda(E499)=16777215,"BLANCO","NO SE"))))</f>
        <v>ROSA</v>
      </c>
      <c r="W499" s="70">
        <v>0.46666666666666662</v>
      </c>
      <c r="X499" s="63" t="s">
        <v>2387</v>
      </c>
      <c r="Y499" s="63"/>
      <c r="Z499" s="118" t="s">
        <v>1039</v>
      </c>
      <c r="AA499" s="118" t="s">
        <v>1165</v>
      </c>
      <c r="AB499" s="118" t="s">
        <v>1171</v>
      </c>
      <c r="AC499" s="324"/>
    </row>
    <row r="500" spans="1:29" ht="60" customHeight="1">
      <c r="A500" s="63">
        <v>508</v>
      </c>
      <c r="B500" s="65">
        <v>45153</v>
      </c>
      <c r="C500" s="70">
        <v>0.33333333333333331</v>
      </c>
      <c r="D500" s="63" t="s">
        <v>2288</v>
      </c>
      <c r="E500" s="64" t="s">
        <v>2294</v>
      </c>
      <c r="F500" s="63">
        <v>4</v>
      </c>
      <c r="G500" s="63" t="s">
        <v>568</v>
      </c>
      <c r="H500" s="208">
        <v>45160</v>
      </c>
      <c r="I500" s="65" t="s">
        <v>73</v>
      </c>
      <c r="J500" s="65" t="s">
        <v>33</v>
      </c>
      <c r="K500" s="63">
        <f>IFERROR(VLOOKUP(J500,Jueces!$A$1:$B$11,2,FALSE),"")</f>
        <v>4</v>
      </c>
      <c r="L500" s="63" t="s">
        <v>799</v>
      </c>
      <c r="M500" s="63" t="s">
        <v>2201</v>
      </c>
      <c r="N500" s="63" t="s">
        <v>2392</v>
      </c>
      <c r="O500" s="63" t="str">
        <f ca="1">IF(H500&lt;&gt;"",IF(H500&lt;=TODAY(),"SI","NO"),"LIMBO")</f>
        <v>SI</v>
      </c>
      <c r="P500" s="63" t="str">
        <f>IF($P$1=H500,"DIASOL", "DIANOSOL")</f>
        <v>DIANOSOL</v>
      </c>
      <c r="Q500" s="63" t="s">
        <v>902</v>
      </c>
      <c r="R500" s="63" t="str">
        <f>VLOOKUP($Q500,Resultados!$A$1:$B$49,2,FALSE)</f>
        <v>Juicio Abreviado</v>
      </c>
      <c r="S500" s="70">
        <v>0.37083333333333335</v>
      </c>
      <c r="T500" s="72" t="str">
        <f>IF(G500=$J$1,"SI","NO")</f>
        <v>NO</v>
      </c>
      <c r="U500" s="72"/>
      <c r="V500" s="7" t="str">
        <f ca="1">IF(color_Celda(E500)=12106214,"ROSA",IF(color_Celda(E500)=65535,"AMARILLO",IF(color_Celda(E500)=5296274,"VERDE",IF(color_Celda(E500)=16777215,"BLANCO","NO SE"))))</f>
        <v>ROSA</v>
      </c>
      <c r="W500" s="70">
        <v>0.39166666666666666</v>
      </c>
      <c r="X500" s="365"/>
      <c r="Y500" s="63"/>
      <c r="Z500" s="118" t="s">
        <v>743</v>
      </c>
      <c r="AA500" s="118" t="s">
        <v>1167</v>
      </c>
      <c r="AB500" s="118" t="s">
        <v>1173</v>
      </c>
      <c r="AC500" s="324"/>
    </row>
    <row r="501" spans="1:29" ht="60" customHeight="1">
      <c r="A501" s="63">
        <v>498</v>
      </c>
      <c r="B501" s="65">
        <v>45152</v>
      </c>
      <c r="C501" s="70">
        <v>0.33333333333333331</v>
      </c>
      <c r="D501" s="63" t="s">
        <v>2263</v>
      </c>
      <c r="E501" s="64" t="s">
        <v>2309</v>
      </c>
      <c r="F501" s="63">
        <v>6</v>
      </c>
      <c r="G501" s="63" t="s">
        <v>1433</v>
      </c>
      <c r="H501" s="208">
        <v>45160</v>
      </c>
      <c r="I501" s="65" t="s">
        <v>749</v>
      </c>
      <c r="J501" s="65" t="s">
        <v>1218</v>
      </c>
      <c r="K501" s="63" t="s">
        <v>2375</v>
      </c>
      <c r="L501" s="63" t="s">
        <v>791</v>
      </c>
      <c r="M501" s="63" t="s">
        <v>2286</v>
      </c>
      <c r="N501" s="63" t="s">
        <v>2243</v>
      </c>
      <c r="O501" s="63" t="str">
        <f ca="1">IF(H501&lt;&gt;"",IF(H501&lt;=TODAY(),"SI","NO"),"LIMBO")</f>
        <v>SI</v>
      </c>
      <c r="P501" s="63" t="str">
        <f>IF($P$1=H501,"DIASOL", "DIANOSOL")</f>
        <v>DIANOSOL</v>
      </c>
      <c r="Q501" s="63" t="s">
        <v>897</v>
      </c>
      <c r="R501" s="63" t="str">
        <f>VLOOKUP($Q501,Resultados!$A$1:$B$49,2,FALSE)</f>
        <v>Libertad</v>
      </c>
      <c r="S501" s="63" t="s">
        <v>1242</v>
      </c>
      <c r="T501" s="72" t="str">
        <f>IF(G501=$J$1,"SI","NO")</f>
        <v>NO</v>
      </c>
      <c r="U501" s="72"/>
      <c r="V501" s="7" t="str">
        <f ca="1">IF(color_Celda(E501)=12106214,"ROSA",IF(color_Celda(E501)=65535,"AMARILLO",IF(color_Celda(E501)=5296274,"VERDE",IF(color_Celda(E501)=16777215,"BLANCO","NO SE"))))</f>
        <v>ROSA</v>
      </c>
      <c r="W501" s="63" t="s">
        <v>1287</v>
      </c>
      <c r="X501" s="397" t="s">
        <v>2393</v>
      </c>
      <c r="Y501" s="63"/>
      <c r="Z501" s="118" t="s">
        <v>770</v>
      </c>
      <c r="AA501" s="118" t="s">
        <v>1165</v>
      </c>
      <c r="AB501" s="118" t="s">
        <v>1170</v>
      </c>
      <c r="AC501" s="324"/>
    </row>
    <row r="502" spans="1:29" ht="60" customHeight="1">
      <c r="A502" s="63">
        <v>506</v>
      </c>
      <c r="B502" s="65">
        <v>45152</v>
      </c>
      <c r="C502" s="70">
        <v>0.4604166666666667</v>
      </c>
      <c r="D502" s="63" t="s">
        <v>2284</v>
      </c>
      <c r="E502" s="64" t="s">
        <v>2289</v>
      </c>
      <c r="F502" s="63">
        <v>5</v>
      </c>
      <c r="G502" s="63" t="s">
        <v>29</v>
      </c>
      <c r="H502" s="208">
        <v>45160</v>
      </c>
      <c r="I502" s="65" t="s">
        <v>1083</v>
      </c>
      <c r="J502" s="65" t="s">
        <v>1216</v>
      </c>
      <c r="K502" s="63">
        <f>IFERROR(VLOOKUP(J502,Jueces!$A$1:$B$11,2,FALSE),"")</f>
        <v>1</v>
      </c>
      <c r="L502" s="63" t="s">
        <v>809</v>
      </c>
      <c r="M502" s="63" t="s">
        <v>2107</v>
      </c>
      <c r="N502" s="63" t="s">
        <v>2379</v>
      </c>
      <c r="O502" s="63" t="str">
        <f ca="1">IF(H502&lt;&gt;"",IF(H502&lt;=TODAY(),"SI","NO"),"LIMBO")</f>
        <v>SI</v>
      </c>
      <c r="P502" s="63" t="str">
        <f>IF($P$1=H502,"DIASOL", "DIANOSOL")</f>
        <v>DIANOSOL</v>
      </c>
      <c r="Q502" s="63" t="s">
        <v>902</v>
      </c>
      <c r="R502" s="63" t="str">
        <f>VLOOKUP($Q502,Resultados!$A$1:$B$49,2,FALSE)</f>
        <v>Juicio Abreviado</v>
      </c>
      <c r="S502" s="70">
        <v>0.40277777777777773</v>
      </c>
      <c r="T502" s="72" t="str">
        <f>IF(G502=$J$1,"SI","NO")</f>
        <v>NO</v>
      </c>
      <c r="U502" s="72"/>
      <c r="V502" s="7" t="str">
        <f ca="1">IF(color_Celda(E502)=12106214,"ROSA",IF(color_Celda(E502)=65535,"AMARILLO",IF(color_Celda(E502)=5296274,"VERDE",IF(color_Celda(E502)=16777215,"BLANCO","NO SE"))))</f>
        <v>ROSA</v>
      </c>
      <c r="W502" s="70">
        <v>0.41041666666666665</v>
      </c>
      <c r="X502" s="245" t="s">
        <v>2391</v>
      </c>
      <c r="Y502" s="63"/>
      <c r="Z502" s="118" t="s">
        <v>1038</v>
      </c>
      <c r="AA502" s="118" t="s">
        <v>743</v>
      </c>
      <c r="AB502" s="118" t="s">
        <v>1169</v>
      </c>
      <c r="AC502" s="324"/>
    </row>
    <row r="503" spans="1:29" ht="60" customHeight="1">
      <c r="A503" s="63">
        <v>499</v>
      </c>
      <c r="B503" s="65">
        <v>45152</v>
      </c>
      <c r="C503" s="70">
        <v>0.33333333333333331</v>
      </c>
      <c r="D503" s="63" t="s">
        <v>2264</v>
      </c>
      <c r="E503" s="64" t="s">
        <v>2394</v>
      </c>
      <c r="F503" s="63">
        <v>4</v>
      </c>
      <c r="G503" s="63" t="s">
        <v>283</v>
      </c>
      <c r="H503" s="208">
        <v>45161</v>
      </c>
      <c r="I503" s="65" t="s">
        <v>73</v>
      </c>
      <c r="J503" s="65" t="s">
        <v>1219</v>
      </c>
      <c r="K503" s="63" t="s">
        <v>1321</v>
      </c>
      <c r="L503" s="63" t="s">
        <v>806</v>
      </c>
      <c r="M503" s="63" t="s">
        <v>2266</v>
      </c>
      <c r="N503" s="63" t="s">
        <v>2407</v>
      </c>
      <c r="O503" s="63" t="str">
        <f ca="1">IF(H503&lt;&gt;"",IF(H503&lt;=TODAY(),"SI","NO"),"LIMBO")</f>
        <v>SI</v>
      </c>
      <c r="P503" s="63" t="str">
        <f>IF($P$1=H503,"DIASOL", "DIANOSOL")</f>
        <v>DIANOSOL</v>
      </c>
      <c r="Q503" s="63" t="s">
        <v>903</v>
      </c>
      <c r="R503" s="63" t="str">
        <f>VLOOKUP($Q503,Resultados!$A$1:$B$49,2,FALSE)</f>
        <v>Juicio Abreviado</v>
      </c>
      <c r="S503" s="70">
        <v>0.37708333333333338</v>
      </c>
      <c r="T503" s="72" t="str">
        <f>IF(G503=$J$1,"SI","NO")</f>
        <v>NO</v>
      </c>
      <c r="U503" s="72"/>
      <c r="V503" s="7" t="str">
        <f ca="1">IF(color_Celda(E503)=12106214,"ROSA",IF(color_Celda(E503)=65535,"AMARILLO",IF(color_Celda(E503)=5296274,"VERDE",IF(color_Celda(E503)=16777215,"BLANCO","NO SE"))))</f>
        <v>ROSA</v>
      </c>
      <c r="W503" s="70">
        <v>0.39999999999999997</v>
      </c>
      <c r="X503" s="639" t="s">
        <v>2408</v>
      </c>
      <c r="Y503" s="63"/>
      <c r="Z503" s="118" t="s">
        <v>1039</v>
      </c>
      <c r="AA503" s="118" t="s">
        <v>1165</v>
      </c>
      <c r="AB503" s="118" t="s">
        <v>1171</v>
      </c>
      <c r="AC503" s="324"/>
    </row>
    <row r="504" spans="1:29" ht="60" customHeight="1">
      <c r="A504" s="63">
        <v>504</v>
      </c>
      <c r="B504" s="65">
        <v>45152</v>
      </c>
      <c r="C504" s="70">
        <v>0.43958333333333338</v>
      </c>
      <c r="D504" s="63" t="s">
        <v>2282</v>
      </c>
      <c r="E504" s="64" t="s">
        <v>2395</v>
      </c>
      <c r="F504" s="63">
        <v>7</v>
      </c>
      <c r="G504" s="63" t="s">
        <v>1435</v>
      </c>
      <c r="H504" s="208">
        <v>45161</v>
      </c>
      <c r="I504" s="65" t="s">
        <v>73</v>
      </c>
      <c r="J504" s="65" t="s">
        <v>1218</v>
      </c>
      <c r="K504" s="63" t="s">
        <v>1341</v>
      </c>
      <c r="L504" s="64" t="s">
        <v>192</v>
      </c>
      <c r="M504" s="63" t="s">
        <v>2107</v>
      </c>
      <c r="N504" s="536" t="s">
        <v>2409</v>
      </c>
      <c r="O504" s="63" t="str">
        <f ca="1">IF(H504&lt;&gt;"",IF(H504&lt;=TODAY(),"SI","NO"),"LIMBO")</f>
        <v>SI</v>
      </c>
      <c r="P504" s="64" t="str">
        <f>IF($P$1=H504,"DIASOL", "DIANOSOL")</f>
        <v>DIANOSOL</v>
      </c>
      <c r="Q504" s="63" t="s">
        <v>907</v>
      </c>
      <c r="R504" s="63" t="str">
        <f>VLOOKUP($Q504,Resultados!$A$1:$B$49,2,FALSE)</f>
        <v>Suspensión de juicio a prueba</v>
      </c>
      <c r="S504" s="70">
        <v>0.35694444444444445</v>
      </c>
      <c r="T504" s="220" t="str">
        <f>IF(G504=$J$1,"SI","NO")</f>
        <v>SI</v>
      </c>
      <c r="U504" s="64"/>
      <c r="V504" s="7" t="str">
        <f ca="1">IF(color_Celda(E504)=12106214,"ROSA",IF(color_Celda(E504)=65535,"AMARILLO",IF(color_Celda(E504)=5296274,"VERDE",IF(color_Celda(E504)=16777215,"BLANCO","NO SE"))))</f>
        <v>ROSA</v>
      </c>
      <c r="W504" s="70">
        <v>0.36944444444444446</v>
      </c>
      <c r="X504" s="390" t="s">
        <v>2410</v>
      </c>
      <c r="Y504" s="64"/>
      <c r="Z504" s="302" t="s">
        <v>748</v>
      </c>
      <c r="AA504" s="118" t="s">
        <v>1167</v>
      </c>
      <c r="AB504" s="118" t="s">
        <v>1173</v>
      </c>
      <c r="AC504" s="324"/>
    </row>
    <row r="505" spans="1:29" ht="60" customHeight="1">
      <c r="A505" s="63">
        <v>512</v>
      </c>
      <c r="B505" s="65">
        <v>45153</v>
      </c>
      <c r="C505" s="70">
        <v>0.47291666666666665</v>
      </c>
      <c r="D505" s="63" t="s">
        <v>2303</v>
      </c>
      <c r="E505" s="64" t="s">
        <v>2397</v>
      </c>
      <c r="F505" s="63">
        <v>6</v>
      </c>
      <c r="G505" s="63" t="s">
        <v>43</v>
      </c>
      <c r="H505" s="208">
        <v>45161</v>
      </c>
      <c r="I505" s="65" t="s">
        <v>73</v>
      </c>
      <c r="J505" s="65" t="s">
        <v>1220</v>
      </c>
      <c r="K505" s="63" t="s">
        <v>2375</v>
      </c>
      <c r="L505" s="63" t="s">
        <v>827</v>
      </c>
      <c r="M505" s="7" t="s">
        <v>2201</v>
      </c>
      <c r="N505" s="63" t="s">
        <v>2419</v>
      </c>
      <c r="O505" s="63" t="str">
        <f ca="1">IF(H505&lt;&gt;"",IF(H505&lt;=TODAY(),"SI","NO"),"LIMBO")</f>
        <v>SI</v>
      </c>
      <c r="P505" s="63" t="str">
        <f>IF($P$1=H505,"DIASOL", "DIANOSOL")</f>
        <v>DIANOSOL</v>
      </c>
      <c r="Q505" s="63" t="s">
        <v>902</v>
      </c>
      <c r="R505" s="63" t="str">
        <f>VLOOKUP($Q505,Resultados!$A$1:$B$49,2,FALSE)</f>
        <v>Juicio Abreviado</v>
      </c>
      <c r="S505" s="63"/>
      <c r="T505" s="72" t="str">
        <f>IF(G505=$J$1,"SI","NO")</f>
        <v>NO</v>
      </c>
      <c r="U505" s="72"/>
      <c r="V505" s="7" t="str">
        <f ca="1">IF(color_Celda(E505)=12106214,"ROSA",IF(color_Celda(E505)=65535,"AMARILLO",IF(color_Celda(E505)=5296274,"VERDE",IF(color_Celda(E505)=16777215,"BLANCO","NO SE"))))</f>
        <v>ROSA</v>
      </c>
      <c r="W505" s="63"/>
      <c r="X505" s="365"/>
      <c r="Y505" s="63"/>
      <c r="Z505" s="118" t="s">
        <v>770</v>
      </c>
      <c r="AA505" s="118" t="s">
        <v>743</v>
      </c>
      <c r="AB505" s="118" t="s">
        <v>1170</v>
      </c>
      <c r="AC505" s="324"/>
    </row>
    <row r="506" spans="1:29" ht="60" customHeight="1">
      <c r="A506" s="63">
        <v>509</v>
      </c>
      <c r="B506" s="65">
        <v>45154</v>
      </c>
      <c r="C506" s="70">
        <v>0.33333333333333331</v>
      </c>
      <c r="D506" s="63" t="s">
        <v>2296</v>
      </c>
      <c r="E506" s="64" t="s">
        <v>2396</v>
      </c>
      <c r="F506" s="63">
        <v>5</v>
      </c>
      <c r="G506" s="63" t="s">
        <v>568</v>
      </c>
      <c r="H506" s="208">
        <v>45161</v>
      </c>
      <c r="I506" s="65" t="s">
        <v>73</v>
      </c>
      <c r="J506" s="65" t="s">
        <v>1216</v>
      </c>
      <c r="K506" s="63" t="s">
        <v>1512</v>
      </c>
      <c r="L506" s="63" t="s">
        <v>2412</v>
      </c>
      <c r="M506" s="7" t="s">
        <v>2411</v>
      </c>
      <c r="N506" s="63" t="s">
        <v>1600</v>
      </c>
      <c r="O506" s="63" t="str">
        <f ca="1">IF(H506&lt;&gt;"",IF(H506&lt;=TODAY(),"SI","NO"),"LIMBO")</f>
        <v>SI</v>
      </c>
      <c r="P506" s="63" t="str">
        <f>IF($P$1=H506,"DIASOL", "DIANOSOL")</f>
        <v>DIANOSOL</v>
      </c>
      <c r="Q506" s="63" t="s">
        <v>903</v>
      </c>
      <c r="R506" s="63" t="str">
        <f>VLOOKUP($Q506,Resultados!$A$1:$B$49,2,FALSE)</f>
        <v>Juicio Abreviado</v>
      </c>
      <c r="S506" s="70">
        <v>0.3659722222222222</v>
      </c>
      <c r="T506" s="72" t="str">
        <f>IF(G506=$J$1,"SI","NO")</f>
        <v>NO</v>
      </c>
      <c r="U506" s="72"/>
      <c r="V506" s="7" t="str">
        <f ca="1">IF(color_Celda(E506)=12106214,"ROSA",IF(color_Celda(E506)=65535,"AMARILLO",IF(color_Celda(E506)=5296274,"VERDE",IF(color_Celda(E506)=16777215,"BLANCO","NO SE"))))</f>
        <v>ROSA</v>
      </c>
      <c r="W506" s="70">
        <v>0.40763888888888888</v>
      </c>
      <c r="X506" s="223" t="s">
        <v>2413</v>
      </c>
      <c r="Y506" s="63"/>
      <c r="Z506" s="118" t="s">
        <v>743</v>
      </c>
      <c r="AA506" s="118" t="s">
        <v>1165</v>
      </c>
      <c r="AB506" s="118" t="s">
        <v>1169</v>
      </c>
      <c r="AC506" s="324"/>
    </row>
    <row r="507" spans="1:29" ht="60" customHeight="1">
      <c r="A507" s="63">
        <v>493</v>
      </c>
      <c r="B507" s="65">
        <v>45148</v>
      </c>
      <c r="C507" s="70">
        <v>0.40069444444444446</v>
      </c>
      <c r="D507" s="63" t="s">
        <v>2240</v>
      </c>
      <c r="E507" s="64" t="s">
        <v>2398</v>
      </c>
      <c r="F507" s="63">
        <v>5</v>
      </c>
      <c r="G507" s="63" t="s">
        <v>1434</v>
      </c>
      <c r="H507" s="208">
        <v>45161</v>
      </c>
      <c r="I507" s="65" t="s">
        <v>1083</v>
      </c>
      <c r="J507" s="65" t="s">
        <v>31</v>
      </c>
      <c r="K507" s="63" t="s">
        <v>1341</v>
      </c>
      <c r="L507" s="63" t="s">
        <v>811</v>
      </c>
      <c r="M507" s="7" t="s">
        <v>2107</v>
      </c>
      <c r="N507" s="7" t="s">
        <v>2416</v>
      </c>
      <c r="O507" s="63" t="str">
        <f ca="1">IF(H507&lt;&gt;"",IF(H507&lt;=TODAY(),"SI","NO"),"LIMBO")</f>
        <v>SI</v>
      </c>
      <c r="P507" s="63" t="str">
        <f>IF($P$1=H507,"DIASOL", "DIANOSOL")</f>
        <v>DIANOSOL</v>
      </c>
      <c r="Q507" s="63" t="s">
        <v>902</v>
      </c>
      <c r="R507" s="63" t="str">
        <f>VLOOKUP($Q507,Resultados!$A$1:$B$49,2,FALSE)</f>
        <v>Juicio Abreviado</v>
      </c>
      <c r="S507" s="70">
        <v>0.4201388888888889</v>
      </c>
      <c r="T507" s="72" t="str">
        <f>IF(G507=$J$1,"SI","NO")</f>
        <v>NO</v>
      </c>
      <c r="U507" s="72"/>
      <c r="V507" s="7" t="str">
        <f ca="1">IF(color_Celda(E507)=12106214,"ROSA",IF(color_Celda(E507)=65535,"AMARILLO",IF(color_Celda(E507)=5296274,"VERDE",IF(color_Celda(E507)=16777215,"BLANCO","NO SE"))))</f>
        <v>ROSA</v>
      </c>
      <c r="W507" s="70">
        <v>0.4375</v>
      </c>
      <c r="X507" s="366" t="s">
        <v>2417</v>
      </c>
      <c r="Y507" s="63"/>
      <c r="Z507" s="118" t="s">
        <v>1038</v>
      </c>
      <c r="AA507" s="118" t="s">
        <v>743</v>
      </c>
      <c r="AB507" s="118" t="s">
        <v>1169</v>
      </c>
      <c r="AC507" s="324"/>
    </row>
    <row r="508" spans="1:29" ht="60" customHeight="1">
      <c r="A508" s="63">
        <v>522</v>
      </c>
      <c r="B508" s="65">
        <v>45154</v>
      </c>
      <c r="C508" s="70">
        <v>0.43402777777777773</v>
      </c>
      <c r="D508" s="63" t="s">
        <v>2341</v>
      </c>
      <c r="E508" s="64" t="s">
        <v>2399</v>
      </c>
      <c r="F508" s="63">
        <v>5</v>
      </c>
      <c r="G508" s="63" t="s">
        <v>32</v>
      </c>
      <c r="H508" s="208">
        <v>45161</v>
      </c>
      <c r="I508" s="65" t="s">
        <v>1083</v>
      </c>
      <c r="J508" s="65" t="s">
        <v>33</v>
      </c>
      <c r="K508" s="63">
        <f>IFERROR(VLOOKUP(J508,Jueces!$A$1:$B$11,2,FALSE),"")</f>
        <v>4</v>
      </c>
      <c r="L508" s="63" t="s">
        <v>800</v>
      </c>
      <c r="M508" s="7" t="s">
        <v>1956</v>
      </c>
      <c r="N508" s="536" t="s">
        <v>2414</v>
      </c>
      <c r="O508" s="63" t="str">
        <f ca="1">IF(H508&lt;&gt;"",IF(H508&lt;=TODAY(),"SI","NO"),"LIMBO")</f>
        <v>SI</v>
      </c>
      <c r="P508" s="63" t="str">
        <f>IF($P$1=H508,"DIASOL", "DIANOSOL")</f>
        <v>DIANOSOL</v>
      </c>
      <c r="Q508" s="63" t="s">
        <v>897</v>
      </c>
      <c r="R508" s="63" t="str">
        <f>VLOOKUP($Q508,Resultados!$A$1:$B$49,2,FALSE)</f>
        <v>Libertad</v>
      </c>
      <c r="S508" s="70">
        <v>0.37986111111111115</v>
      </c>
      <c r="T508" s="72" t="str">
        <f>IF(G508=$J$1,"SI","NO")</f>
        <v>NO</v>
      </c>
      <c r="U508" s="72"/>
      <c r="V508" s="7" t="str">
        <f ca="1">IF(color_Celda(E508)=12106214,"ROSA",IF(color_Celda(E508)=65535,"AMARILLO",IF(color_Celda(E508)=5296274,"VERDE",IF(color_Celda(E508)=16777215,"BLANCO","NO SE"))))</f>
        <v>ROSA</v>
      </c>
      <c r="W508" s="70">
        <v>0.39999999999999997</v>
      </c>
      <c r="X508" s="639" t="s">
        <v>2415</v>
      </c>
      <c r="Y508" s="63"/>
      <c r="Z508" s="118" t="s">
        <v>1039</v>
      </c>
      <c r="AA508" s="118" t="s">
        <v>1167</v>
      </c>
      <c r="AB508" s="118" t="s">
        <v>1171</v>
      </c>
      <c r="AC508" s="324"/>
    </row>
    <row r="509" spans="1:29" ht="60" customHeight="1">
      <c r="A509" s="63">
        <v>507</v>
      </c>
      <c r="B509" s="65">
        <v>45152</v>
      </c>
      <c r="C509" s="70">
        <v>0.51111111111111118</v>
      </c>
      <c r="D509" s="63" t="s">
        <v>2287</v>
      </c>
      <c r="E509" s="64" t="s">
        <v>2400</v>
      </c>
      <c r="F509" s="63">
        <v>6</v>
      </c>
      <c r="G509" s="63" t="s">
        <v>29</v>
      </c>
      <c r="H509" s="208">
        <v>45161</v>
      </c>
      <c r="I509" s="65" t="s">
        <v>77</v>
      </c>
      <c r="J509" s="65" t="s">
        <v>31</v>
      </c>
      <c r="K509" s="63" t="s">
        <v>1483</v>
      </c>
      <c r="L509" s="63" t="s">
        <v>809</v>
      </c>
      <c r="M509" s="7" t="s">
        <v>2107</v>
      </c>
      <c r="N509" s="63" t="s">
        <v>235</v>
      </c>
      <c r="O509" s="63" t="str">
        <f ca="1">IF(H509&lt;&gt;"",IF(H509&lt;=TODAY(),"SI","NO"),"LIMBO")</f>
        <v>SI</v>
      </c>
      <c r="P509" s="63" t="str">
        <f>IF($P$1=H509,"DIASOL", "DIANOSOL")</f>
        <v>DIANOSOL</v>
      </c>
      <c r="Q509" s="63" t="s">
        <v>151</v>
      </c>
      <c r="R509" s="63" t="str">
        <f>VLOOKUP($Q509,Resultados!$A$1:$B$49,2,FALSE)</f>
        <v>Prisión Preventiva</v>
      </c>
      <c r="S509" s="70">
        <v>0.50069444444444444</v>
      </c>
      <c r="T509" s="72" t="str">
        <f>IF(G509=$J$1,"SI","NO")</f>
        <v>NO</v>
      </c>
      <c r="U509" s="72"/>
      <c r="V509" s="7" t="str">
        <f ca="1">IF(color_Celda(E509)=12106214,"ROSA",IF(color_Celda(E509)=65535,"AMARILLO",IF(color_Celda(E509)=5296274,"VERDE",IF(color_Celda(E509)=16777215,"BLANCO","NO SE"))))</f>
        <v>ROSA</v>
      </c>
      <c r="W509" s="70">
        <v>0.5131944444444444</v>
      </c>
      <c r="X509" s="223" t="s">
        <v>2427</v>
      </c>
      <c r="Y509" s="63"/>
      <c r="Z509" s="118" t="s">
        <v>748</v>
      </c>
      <c r="AA509" s="118" t="s">
        <v>1167</v>
      </c>
      <c r="AB509" s="118" t="s">
        <v>1173</v>
      </c>
      <c r="AC509" s="324"/>
    </row>
    <row r="510" spans="1:29" ht="60" customHeight="1">
      <c r="A510" s="63">
        <v>501</v>
      </c>
      <c r="B510" s="65">
        <v>45152</v>
      </c>
      <c r="C510" s="70">
        <v>0.39097222222222222</v>
      </c>
      <c r="D510" s="63" t="s">
        <v>2265</v>
      </c>
      <c r="E510" s="64" t="s">
        <v>2434</v>
      </c>
      <c r="F510" s="63">
        <v>7</v>
      </c>
      <c r="G510" s="63" t="s">
        <v>1435</v>
      </c>
      <c r="H510" s="208">
        <v>45162</v>
      </c>
      <c r="I510" s="65" t="s">
        <v>73</v>
      </c>
      <c r="J510" s="65" t="s">
        <v>1218</v>
      </c>
      <c r="K510" s="63" t="s">
        <v>1341</v>
      </c>
      <c r="L510" s="63" t="s">
        <v>2077</v>
      </c>
      <c r="M510" s="63" t="s">
        <v>2305</v>
      </c>
      <c r="N510" s="63" t="s">
        <v>2469</v>
      </c>
      <c r="O510" s="63" t="str">
        <f ca="1">IF(H510&lt;&gt;"",IF(H510&lt;=TODAY(),"SI","NO"),"LIMBO")</f>
        <v>SI</v>
      </c>
      <c r="P510" s="63" t="str">
        <f>IF($P$1=H510,"DIASOL", "DIANOSOL")</f>
        <v>DIANOSOL</v>
      </c>
      <c r="Q510" s="63" t="s">
        <v>151</v>
      </c>
      <c r="R510" s="63" t="str">
        <f>VLOOKUP($Q510,Resultados!$A$1:$B$49,2,FALSE)</f>
        <v>Prisión Preventiva</v>
      </c>
      <c r="S510" s="70">
        <v>0.35902777777777778</v>
      </c>
      <c r="T510" s="72" t="str">
        <f>IF(G510=$J$1,"SI","NO")</f>
        <v>SI</v>
      </c>
      <c r="U510" s="72"/>
      <c r="V510" s="7" t="str">
        <f ca="1">IF(color_Celda(E510)=12106214,"ROSA",IF(color_Celda(E510)=65535,"AMARILLO",IF(color_Celda(E510)=5296274,"VERDE",IF(color_Celda(E510)=16777215,"BLANCO","NO SE"))))</f>
        <v>ROSA</v>
      </c>
      <c r="W510" s="70">
        <v>0.37986111111111115</v>
      </c>
      <c r="X510" s="63" t="s">
        <v>2437</v>
      </c>
      <c r="Y510" s="63"/>
      <c r="Z510" s="118" t="s">
        <v>743</v>
      </c>
      <c r="AA510" s="118" t="s">
        <v>1165</v>
      </c>
      <c r="AB510" s="118" t="s">
        <v>1172</v>
      </c>
      <c r="AC510" s="324"/>
    </row>
    <row r="511" spans="1:29" ht="60" customHeight="1">
      <c r="A511" s="63">
        <v>503</v>
      </c>
      <c r="B511" s="65">
        <v>45152</v>
      </c>
      <c r="C511" s="70">
        <v>0.49583333333333335</v>
      </c>
      <c r="D511" s="63" t="s">
        <v>2281</v>
      </c>
      <c r="E511" s="64" t="s">
        <v>2428</v>
      </c>
      <c r="F511" s="63">
        <v>8</v>
      </c>
      <c r="G511" s="63" t="s">
        <v>43</v>
      </c>
      <c r="H511" s="208">
        <v>45162</v>
      </c>
      <c r="I511" s="65" t="s">
        <v>73</v>
      </c>
      <c r="J511" s="65" t="s">
        <v>33</v>
      </c>
      <c r="K511" s="63">
        <f>IFERROR(VLOOKUP(J511,Jueces!$A$1:$B$11,2,FALSE),"")</f>
        <v>4</v>
      </c>
      <c r="L511" s="63" t="s">
        <v>1067</v>
      </c>
      <c r="M511" s="63" t="s">
        <v>2295</v>
      </c>
      <c r="N511" s="63" t="s">
        <v>2438</v>
      </c>
      <c r="O511" s="63" t="str">
        <f ca="1">IF(H511&lt;&gt;"",IF(H511&lt;=TODAY(),"SI","NO"),"LIMBO")</f>
        <v>SI</v>
      </c>
      <c r="P511" s="63" t="str">
        <f>IF($P$1=H511,"DIASOL", "DIANOSOL")</f>
        <v>DIANOSOL</v>
      </c>
      <c r="Q511" s="63" t="s">
        <v>972</v>
      </c>
      <c r="R511" s="63" t="str">
        <f>VLOOKUP($Q511,Resultados!$A$1:$B$49,2,FALSE)</f>
        <v>Prision domiciliaria</v>
      </c>
      <c r="S511" s="70">
        <v>0.34722222222222227</v>
      </c>
      <c r="T511" s="72" t="str">
        <f>IF(G511=$J$1,"SI","NO")</f>
        <v>NO</v>
      </c>
      <c r="U511" s="72"/>
      <c r="V511" s="7" t="str">
        <f ca="1">IF(color_Celda(E511)=12106214,"ROSA",IF(color_Celda(E511)=65535,"AMARILLO",IF(color_Celda(E511)=5296274,"VERDE",IF(color_Celda(E511)=16777215,"BLANCO","NO SE"))))</f>
        <v>ROSA</v>
      </c>
      <c r="W511" s="70">
        <v>0.37847222222222227</v>
      </c>
      <c r="X511" s="63"/>
      <c r="Y511" s="63"/>
      <c r="Z511" s="118" t="s">
        <v>770</v>
      </c>
      <c r="AA511" s="118" t="s">
        <v>743</v>
      </c>
      <c r="AB511" s="118" t="s">
        <v>1170</v>
      </c>
      <c r="AC511" s="324"/>
    </row>
    <row r="512" spans="1:29" ht="60" customHeight="1">
      <c r="A512" s="63">
        <v>510</v>
      </c>
      <c r="B512" s="65">
        <v>45153</v>
      </c>
      <c r="C512" s="70">
        <v>0.48402777777777778</v>
      </c>
      <c r="D512" s="63" t="s">
        <v>2297</v>
      </c>
      <c r="E512" s="64" t="s">
        <v>2450</v>
      </c>
      <c r="F512" s="63">
        <v>5</v>
      </c>
      <c r="G512" s="63" t="s">
        <v>29</v>
      </c>
      <c r="H512" s="208">
        <v>45162</v>
      </c>
      <c r="I512" s="65" t="s">
        <v>73</v>
      </c>
      <c r="J512" s="65" t="s">
        <v>78</v>
      </c>
      <c r="K512" s="63">
        <f>IFERROR(VLOOKUP(J512,Jueces!$A$1:$B$11,2,FALSE),"")</f>
        <v>8</v>
      </c>
      <c r="L512" s="63" t="s">
        <v>795</v>
      </c>
      <c r="M512" s="63" t="s">
        <v>2298</v>
      </c>
      <c r="N512" s="63" t="s">
        <v>2433</v>
      </c>
      <c r="O512" s="63" t="str">
        <f ca="1">IF(H512&lt;&gt;"",IF(H512&lt;=TODAY(),"SI","NO"),"LIMBO")</f>
        <v>SI</v>
      </c>
      <c r="P512" s="63" t="str">
        <f>IF($P$1=H512,"DIASOL", "DIANOSOL")</f>
        <v>DIANOSOL</v>
      </c>
      <c r="Q512" s="63" t="s">
        <v>909</v>
      </c>
      <c r="R512" s="63" t="str">
        <f>VLOOKUP($Q512,Resultados!$A$1:$B$49,2,FALSE)</f>
        <v>Suspendida</v>
      </c>
      <c r="S512" s="63"/>
      <c r="T512" s="72" t="str">
        <f>IF(G512=$J$1,"SI","NO")</f>
        <v>NO</v>
      </c>
      <c r="U512" s="72"/>
      <c r="V512" s="7" t="str">
        <f ca="1">IF(color_Celda(E512)=12106214,"ROSA",IF(color_Celda(E512)=65535,"AMARILLO",IF(color_Celda(E512)=5296274,"VERDE",IF(color_Celda(E512)=16777215,"BLANCO","NO SE"))))</f>
        <v>ROSA</v>
      </c>
      <c r="W512" s="63"/>
      <c r="X512" s="63"/>
      <c r="Y512" s="63"/>
      <c r="Z512" s="118" t="s">
        <v>2430</v>
      </c>
      <c r="AA512" s="118" t="s">
        <v>743</v>
      </c>
      <c r="AB512" s="118" t="s">
        <v>1169</v>
      </c>
      <c r="AC512" s="324"/>
    </row>
    <row r="513" spans="1:29" ht="60" customHeight="1">
      <c r="A513" s="63">
        <v>511</v>
      </c>
      <c r="B513" s="65">
        <v>45153</v>
      </c>
      <c r="C513" s="70">
        <v>0.47013888888888888</v>
      </c>
      <c r="D513" s="63" t="s">
        <v>2302</v>
      </c>
      <c r="E513" s="64" t="s">
        <v>2323</v>
      </c>
      <c r="F513" s="63">
        <v>6</v>
      </c>
      <c r="G513" s="63" t="s">
        <v>1434</v>
      </c>
      <c r="H513" s="208">
        <v>45162</v>
      </c>
      <c r="I513" s="65" t="s">
        <v>73</v>
      </c>
      <c r="J513" s="65" t="s">
        <v>1219</v>
      </c>
      <c r="K513" s="63" t="s">
        <v>1916</v>
      </c>
      <c r="L513" s="63" t="s">
        <v>805</v>
      </c>
      <c r="M513" s="63" t="s">
        <v>725</v>
      </c>
      <c r="N513" s="63" t="s">
        <v>2435</v>
      </c>
      <c r="O513" s="63" t="str">
        <f ca="1">IF(H513&lt;&gt;"",IF(H513&lt;=TODAY(),"SI","NO"),"LIMBO")</f>
        <v>SI</v>
      </c>
      <c r="P513" s="63" t="str">
        <f>IF($P$1=H513,"DIASOL", "DIANOSOL")</f>
        <v>DIANOSOL</v>
      </c>
      <c r="Q513" s="63" t="s">
        <v>902</v>
      </c>
      <c r="R513" s="63" t="str">
        <f>VLOOKUP($Q513,Resultados!$A$1:$B$49,2,FALSE)</f>
        <v>Juicio Abreviado</v>
      </c>
      <c r="S513" s="70">
        <v>0.38263888888888892</v>
      </c>
      <c r="T513" s="72" t="str">
        <f>IF(G513=$J$1,"SI","NO")</f>
        <v>NO</v>
      </c>
      <c r="U513" s="72"/>
      <c r="V513" s="7" t="str">
        <f ca="1">IF(color_Celda(E513)=12106214,"ROSA",IF(color_Celda(E513)=65535,"AMARILLO",IF(color_Celda(E513)=5296274,"VERDE",IF(color_Celda(E513)=16777215,"BLANCO","NO SE"))))</f>
        <v>ROSA</v>
      </c>
      <c r="W513" s="70">
        <v>0.39374999999999999</v>
      </c>
      <c r="X513" s="63"/>
      <c r="Y513" s="63"/>
      <c r="Z513" s="118" t="s">
        <v>748</v>
      </c>
      <c r="AA513" s="118" t="s">
        <v>1167</v>
      </c>
      <c r="AB513" s="118" t="s">
        <v>1172</v>
      </c>
      <c r="AC513" s="324"/>
    </row>
    <row r="514" spans="1:29" ht="60" customHeight="1">
      <c r="A514" s="63">
        <v>514</v>
      </c>
      <c r="B514" s="65">
        <v>45153</v>
      </c>
      <c r="C514" s="70">
        <v>0.49722222222222223</v>
      </c>
      <c r="D514" s="63" t="s">
        <v>2307</v>
      </c>
      <c r="E514" s="64" t="s">
        <v>2334</v>
      </c>
      <c r="F514" s="63">
        <v>5</v>
      </c>
      <c r="G514" s="63" t="s">
        <v>1433</v>
      </c>
      <c r="H514" s="208">
        <v>45162</v>
      </c>
      <c r="I514" s="65" t="s">
        <v>73</v>
      </c>
      <c r="J514" s="65" t="s">
        <v>1219</v>
      </c>
      <c r="K514" s="63" t="s">
        <v>1916</v>
      </c>
      <c r="L514" s="63" t="s">
        <v>810</v>
      </c>
      <c r="M514" s="63" t="s">
        <v>1956</v>
      </c>
      <c r="N514" s="63" t="s">
        <v>2443</v>
      </c>
      <c r="O514" s="63" t="str">
        <f ca="1">IF(H514&lt;&gt;"",IF(H514&lt;=TODAY(),"SI","NO"),"LIMBO")</f>
        <v>SI</v>
      </c>
      <c r="P514" s="63" t="str">
        <f>IF($P$1=H514,"DIASOL", "DIANOSOL")</f>
        <v>DIANOSOL</v>
      </c>
      <c r="Q514" s="63" t="s">
        <v>903</v>
      </c>
      <c r="R514" s="63" t="str">
        <f>VLOOKUP($Q514,Resultados!$A$1:$B$49,2,FALSE)</f>
        <v>Juicio Abreviado</v>
      </c>
      <c r="S514" s="70">
        <v>0.45</v>
      </c>
      <c r="T514" s="72" t="str">
        <f>IF(G514=$J$1,"SI","NO")</f>
        <v>NO</v>
      </c>
      <c r="U514" s="72"/>
      <c r="V514" s="7" t="str">
        <f ca="1">IF(color_Celda(E514)=12106214,"ROSA",IF(color_Celda(E514)=65535,"AMARILLO",IF(color_Celda(E514)=5296274,"VERDE",IF(color_Celda(E514)=16777215,"BLANCO","NO SE"))))</f>
        <v>ROSA</v>
      </c>
      <c r="W514" s="70">
        <v>0.46527777777777773</v>
      </c>
      <c r="X514" s="64" t="s">
        <v>2673</v>
      </c>
      <c r="Y514" s="63"/>
      <c r="Z514" s="118" t="s">
        <v>1038</v>
      </c>
      <c r="AA514" s="118" t="s">
        <v>1167</v>
      </c>
      <c r="AB514" s="118" t="s">
        <v>1171</v>
      </c>
      <c r="AC514" s="324"/>
    </row>
    <row r="515" spans="1:29" ht="60" customHeight="1">
      <c r="A515" s="63">
        <v>518</v>
      </c>
      <c r="B515" s="65">
        <v>45154</v>
      </c>
      <c r="C515" s="70">
        <v>0.48819444444444443</v>
      </c>
      <c r="D515" s="63" t="s">
        <v>2331</v>
      </c>
      <c r="E515" s="64" t="s">
        <v>2332</v>
      </c>
      <c r="F515" s="63">
        <v>6</v>
      </c>
      <c r="G515" s="63" t="s">
        <v>568</v>
      </c>
      <c r="H515" s="208">
        <v>45162</v>
      </c>
      <c r="I515" s="65" t="s">
        <v>73</v>
      </c>
      <c r="J515" s="65" t="s">
        <v>1216</v>
      </c>
      <c r="K515" s="63" t="s">
        <v>1512</v>
      </c>
      <c r="L515" s="63" t="s">
        <v>827</v>
      </c>
      <c r="M515" s="63" t="s">
        <v>2107</v>
      </c>
      <c r="N515" s="63" t="s">
        <v>2452</v>
      </c>
      <c r="O515" s="63" t="str">
        <f ca="1">IF(H515&lt;&gt;"",IF(H515&lt;=TODAY(),"SI","NO"),"LIMBO")</f>
        <v>SI</v>
      </c>
      <c r="P515" s="63" t="str">
        <f>IF($P$1=H515,"DIASOL", "DIANOSOL")</f>
        <v>DIANOSOL</v>
      </c>
      <c r="Q515" s="63" t="s">
        <v>902</v>
      </c>
      <c r="R515" s="63" t="str">
        <f>VLOOKUP($Q515,Resultados!$A$1:$B$49,2,FALSE)</f>
        <v>Juicio Abreviado</v>
      </c>
      <c r="S515" s="63"/>
      <c r="T515" s="72" t="str">
        <f>IF(G515=$J$1,"SI","NO")</f>
        <v>NO</v>
      </c>
      <c r="U515" s="72"/>
      <c r="V515" s="7" t="str">
        <f ca="1">IF(color_Celda(E515)=12106214,"ROSA",IF(color_Celda(E515)=65535,"AMARILLO",IF(color_Celda(E515)=5296274,"VERDE",IF(color_Celda(E515)=16777215,"BLANCO","NO SE"))))</f>
        <v>ROSA</v>
      </c>
      <c r="W515" s="63"/>
      <c r="X515" s="63"/>
      <c r="Y515" s="63"/>
      <c r="Z515" s="118" t="s">
        <v>1039</v>
      </c>
      <c r="AA515" s="118" t="s">
        <v>1165</v>
      </c>
      <c r="AB515" s="118" t="s">
        <v>1173</v>
      </c>
      <c r="AC515" s="324"/>
    </row>
    <row r="516" spans="1:29" ht="60" customHeight="1">
      <c r="A516" s="63">
        <v>517</v>
      </c>
      <c r="B516" s="65">
        <v>45154</v>
      </c>
      <c r="C516" s="70">
        <v>0.4694444444444445</v>
      </c>
      <c r="D516" s="63" t="s">
        <v>2329</v>
      </c>
      <c r="E516" s="64" t="s">
        <v>2340</v>
      </c>
      <c r="F516" s="63">
        <v>5</v>
      </c>
      <c r="G516" s="63" t="s">
        <v>283</v>
      </c>
      <c r="H516" s="208">
        <v>45162</v>
      </c>
      <c r="I516" s="65" t="s">
        <v>1083</v>
      </c>
      <c r="J516" s="65" t="s">
        <v>1220</v>
      </c>
      <c r="K516" s="63" t="s">
        <v>1512</v>
      </c>
      <c r="L516" s="63" t="s">
        <v>2076</v>
      </c>
      <c r="M516" s="63" t="s">
        <v>2107</v>
      </c>
      <c r="N516" s="63" t="s">
        <v>2435</v>
      </c>
      <c r="O516" s="63" t="str">
        <f ca="1">IF(H516&lt;&gt;"",IF(H516&lt;=TODAY(),"SI","NO"),"LIMBO")</f>
        <v>SI</v>
      </c>
      <c r="P516" s="63" t="str">
        <f>IF($P$1=H516,"DIASOL", "DIANOSOL")</f>
        <v>DIANOSOL</v>
      </c>
      <c r="Q516" s="63" t="s">
        <v>902</v>
      </c>
      <c r="R516" s="63" t="str">
        <f>VLOOKUP($Q516,Resultados!$A$1:$B$49,2,FALSE)</f>
        <v>Juicio Abreviado</v>
      </c>
      <c r="S516" s="70">
        <v>0.3923611111111111</v>
      </c>
      <c r="T516" s="72" t="str">
        <f>IF(G516=$J$1,"SI","NO")</f>
        <v>NO</v>
      </c>
      <c r="U516" s="72"/>
      <c r="V516" s="7" t="str">
        <f ca="1">IF(color_Celda(E516)=12106214,"ROSA",IF(color_Celda(E516)=65535,"AMARILLO",IF(color_Celda(E516)=5296274,"VERDE",IF(color_Celda(E516)=16777215,"BLANCO","NO SE"))))</f>
        <v>ROSA</v>
      </c>
      <c r="W516" s="70">
        <v>0.41597222222222219</v>
      </c>
      <c r="X516" s="63" t="s">
        <v>2436</v>
      </c>
      <c r="Y516" s="63"/>
      <c r="Z516" s="118" t="s">
        <v>743</v>
      </c>
      <c r="AA516" s="118" t="s">
        <v>743</v>
      </c>
      <c r="AB516" s="118" t="s">
        <v>1170</v>
      </c>
      <c r="AC516" s="324"/>
    </row>
    <row r="517" spans="1:29" ht="60" customHeight="1">
      <c r="A517" s="63">
        <v>505</v>
      </c>
      <c r="B517" s="65">
        <v>45152</v>
      </c>
      <c r="C517" s="70">
        <v>0.44791666666666669</v>
      </c>
      <c r="D517" s="63" t="s">
        <v>2283</v>
      </c>
      <c r="E517" s="64" t="s">
        <v>2378</v>
      </c>
      <c r="F517" s="63">
        <v>6</v>
      </c>
      <c r="G517" s="63" t="s">
        <v>1435</v>
      </c>
      <c r="H517" s="208">
        <v>45163</v>
      </c>
      <c r="I517" s="65" t="s">
        <v>73</v>
      </c>
      <c r="J517" s="65" t="s">
        <v>1219</v>
      </c>
      <c r="K517" s="63" t="s">
        <v>1916</v>
      </c>
      <c r="L517" s="63" t="s">
        <v>1067</v>
      </c>
      <c r="M517" s="63" t="s">
        <v>1408</v>
      </c>
      <c r="N517" s="63" t="s">
        <v>2461</v>
      </c>
      <c r="O517" s="63" t="str">
        <f ca="1">IF(H517&lt;&gt;"",IF(H517&lt;=TODAY(),"SI","NO"),"LIMBO")</f>
        <v>SI</v>
      </c>
      <c r="P517" s="63" t="str">
        <f>IF($P$1=H517,"DIASOL", "DIANOSOL")</f>
        <v>DIANOSOL</v>
      </c>
      <c r="Q517" s="63" t="s">
        <v>897</v>
      </c>
      <c r="R517" s="63" t="str">
        <f>VLOOKUP($Q517,Resultados!$A$1:$B$49,2,FALSE)</f>
        <v>Libertad</v>
      </c>
      <c r="S517" s="70">
        <v>0.3756944444444445</v>
      </c>
      <c r="T517" s="72" t="str">
        <f>IF(G517=$J$1,"SI","NO")</f>
        <v>SI</v>
      </c>
      <c r="U517" s="72"/>
      <c r="V517" s="7" t="str">
        <f ca="1">IF(color_Celda(E517)=12106214,"ROSA",IF(color_Celda(E517)=65535,"AMARILLO",IF(color_Celda(E517)=5296274,"VERDE",IF(color_Celda(E517)=16777215,"BLANCO","NO SE"))))</f>
        <v>ROSA</v>
      </c>
      <c r="W517" s="70">
        <v>0.4145833333333333</v>
      </c>
      <c r="X517" s="63" t="s">
        <v>2462</v>
      </c>
      <c r="Y517" s="63"/>
      <c r="Z517" s="118" t="s">
        <v>770</v>
      </c>
      <c r="AA517" s="118" t="s">
        <v>743</v>
      </c>
      <c r="AB517" s="118" t="s">
        <v>1169</v>
      </c>
      <c r="AC517" s="324"/>
    </row>
    <row r="518" spans="1:29" ht="60" customHeight="1">
      <c r="A518" s="63">
        <v>520</v>
      </c>
      <c r="B518" s="65">
        <v>45154</v>
      </c>
      <c r="C518" s="70">
        <v>0.53125</v>
      </c>
      <c r="D518" s="63" t="s">
        <v>2337</v>
      </c>
      <c r="E518" s="64" t="s">
        <v>2453</v>
      </c>
      <c r="F518" s="63">
        <v>6</v>
      </c>
      <c r="G518" s="63" t="s">
        <v>568</v>
      </c>
      <c r="H518" s="208">
        <v>45163</v>
      </c>
      <c r="I518" s="65" t="s">
        <v>73</v>
      </c>
      <c r="J518" s="65" t="s">
        <v>1216</v>
      </c>
      <c r="K518" s="63" t="s">
        <v>1512</v>
      </c>
      <c r="L518" s="63" t="s">
        <v>810</v>
      </c>
      <c r="M518" s="63" t="s">
        <v>725</v>
      </c>
      <c r="N518" s="63" t="s">
        <v>2463</v>
      </c>
      <c r="O518" s="63" t="str">
        <f ca="1">IF(H518&lt;&gt;"",IF(H518&lt;=TODAY(),"SI","NO"),"LIMBO")</f>
        <v>SI</v>
      </c>
      <c r="P518" s="63" t="str">
        <f>IF($P$1=H518,"DIASOL", "DIANOSOL")</f>
        <v>DIANOSOL</v>
      </c>
      <c r="Q518" s="63" t="s">
        <v>902</v>
      </c>
      <c r="R518" s="63" t="str">
        <f>VLOOKUP($Q518,Resultados!$A$1:$B$49,2,FALSE)</f>
        <v>Juicio Abreviado</v>
      </c>
      <c r="S518" s="70">
        <v>0.40277777777777773</v>
      </c>
      <c r="T518" s="72" t="str">
        <f>IF(G518=$J$1,"SI","NO")</f>
        <v>NO</v>
      </c>
      <c r="U518" s="72"/>
      <c r="V518" s="7" t="str">
        <f ca="1">IF(color_Celda(E518)=12106214,"ROSA",IF(color_Celda(E518)=65535,"AMARILLO",IF(color_Celda(E518)=5296274,"VERDE",IF(color_Celda(E518)=16777215,"BLANCO","NO SE"))))</f>
        <v>ROSA</v>
      </c>
      <c r="W518" s="70">
        <v>0.41875000000000001</v>
      </c>
      <c r="X518" s="63" t="s">
        <v>2464</v>
      </c>
      <c r="Y518" s="63"/>
      <c r="Z518" s="118" t="s">
        <v>1038</v>
      </c>
      <c r="AA518" s="118" t="s">
        <v>1165</v>
      </c>
      <c r="AB518" s="118" t="s">
        <v>1171</v>
      </c>
      <c r="AC518" s="324"/>
    </row>
    <row r="519" spans="1:29" ht="60" customHeight="1">
      <c r="A519" s="63">
        <v>524</v>
      </c>
      <c r="B519" s="65">
        <v>45155</v>
      </c>
      <c r="C519" s="70">
        <v>0.4680555555555555</v>
      </c>
      <c r="D519" s="63" t="s">
        <v>2349</v>
      </c>
      <c r="E519" s="64" t="s">
        <v>2454</v>
      </c>
      <c r="F519" s="63">
        <v>6</v>
      </c>
      <c r="G519" s="63" t="s">
        <v>43</v>
      </c>
      <c r="H519" s="208">
        <v>45163</v>
      </c>
      <c r="I519" s="65" t="s">
        <v>73</v>
      </c>
      <c r="J519" s="65" t="s">
        <v>1218</v>
      </c>
      <c r="K519" s="63" t="s">
        <v>1341</v>
      </c>
      <c r="L519" s="63" t="s">
        <v>797</v>
      </c>
      <c r="M519" s="63" t="s">
        <v>2107</v>
      </c>
      <c r="N519" s="63" t="s">
        <v>2459</v>
      </c>
      <c r="O519" s="63" t="str">
        <f ca="1">IF(H519&lt;&gt;"",IF(H519&lt;=TODAY(),"SI","NO"),"LIMBO")</f>
        <v>SI</v>
      </c>
      <c r="P519" s="63" t="str">
        <f>IF($P$1=H519,"DIASOL", "DIANOSOL")</f>
        <v>DIANOSOL</v>
      </c>
      <c r="Q519" s="63" t="s">
        <v>903</v>
      </c>
      <c r="R519" s="63" t="str">
        <f>VLOOKUP($Q519,Resultados!$A$1:$B$49,2,FALSE)</f>
        <v>Juicio Abreviado</v>
      </c>
      <c r="S519" s="70">
        <v>0.34166666666666662</v>
      </c>
      <c r="T519" s="72" t="str">
        <f>IF(G519=$J$1,"SI","NO")</f>
        <v>NO</v>
      </c>
      <c r="U519" s="72"/>
      <c r="V519" s="7" t="str">
        <f ca="1">IF(color_Celda(E519)=12106214,"ROSA",IF(color_Celda(E519)=65535,"AMARILLO",IF(color_Celda(E519)=5296274,"VERDE",IF(color_Celda(E519)=16777215,"BLANCO","NO SE"))))</f>
        <v>ROSA</v>
      </c>
      <c r="W519" s="70">
        <v>0.34722222222222227</v>
      </c>
      <c r="X519" s="63"/>
      <c r="Y519" s="63"/>
      <c r="Z519" s="118" t="s">
        <v>1039</v>
      </c>
      <c r="AA519" s="118" t="s">
        <v>1165</v>
      </c>
      <c r="AB519" s="118" t="s">
        <v>1172</v>
      </c>
      <c r="AC519" s="324"/>
    </row>
    <row r="520" spans="1:29" ht="60" customHeight="1">
      <c r="A520" s="63">
        <v>527</v>
      </c>
      <c r="B520" s="65">
        <v>45156</v>
      </c>
      <c r="C520" s="70">
        <v>0.48055555555555557</v>
      </c>
      <c r="D520" s="63" t="s">
        <v>2377</v>
      </c>
      <c r="E520" s="64" t="s">
        <v>2455</v>
      </c>
      <c r="F520" s="63">
        <v>6</v>
      </c>
      <c r="G520" s="63" t="s">
        <v>32</v>
      </c>
      <c r="H520" s="208">
        <v>45163</v>
      </c>
      <c r="I520" s="65" t="s">
        <v>73</v>
      </c>
      <c r="J520" s="65" t="s">
        <v>78</v>
      </c>
      <c r="K520" s="63" t="s">
        <v>1483</v>
      </c>
      <c r="L520" s="63" t="s">
        <v>809</v>
      </c>
      <c r="M520" s="63" t="s">
        <v>2201</v>
      </c>
      <c r="N520" s="63" t="s">
        <v>621</v>
      </c>
      <c r="O520" s="63" t="str">
        <f ca="1">IF(H520&lt;&gt;"",IF(H520&lt;=TODAY(),"SI","NO"),"LIMBO")</f>
        <v>SI</v>
      </c>
      <c r="P520" s="63" t="str">
        <f>IF($P$1=H520,"DIASOL", "DIANOSOL")</f>
        <v>DIANOSOL</v>
      </c>
      <c r="Q520" s="63" t="s">
        <v>151</v>
      </c>
      <c r="R520" s="63" t="str">
        <f>VLOOKUP($Q520,Resultados!$A$1:$B$49,2,FALSE)</f>
        <v>Prisión Preventiva</v>
      </c>
      <c r="S520" s="70">
        <v>0.35625000000000001</v>
      </c>
      <c r="T520" s="72" t="str">
        <f>IF(G520=$J$1,"SI","NO")</f>
        <v>NO</v>
      </c>
      <c r="U520" s="72"/>
      <c r="V520" s="7" t="str">
        <f ca="1">IF(color_Celda(E520)=12106214,"ROSA",IF(color_Celda(E520)=65535,"AMARILLO",IF(color_Celda(E520)=5296274,"VERDE",IF(color_Celda(E520)=16777215,"BLANCO","NO SE"))))</f>
        <v>ROSA</v>
      </c>
      <c r="W520" s="70">
        <v>0.37361111111111112</v>
      </c>
      <c r="X520" s="63"/>
      <c r="Y520" s="63"/>
      <c r="Z520" s="118" t="s">
        <v>748</v>
      </c>
      <c r="AA520" s="118" t="s">
        <v>743</v>
      </c>
      <c r="AB520" s="118" t="s">
        <v>1170</v>
      </c>
      <c r="AC520" s="324"/>
    </row>
    <row r="521" spans="1:29" ht="60" customHeight="1">
      <c r="A521" s="63">
        <v>523</v>
      </c>
      <c r="B521" s="65">
        <v>45155</v>
      </c>
      <c r="C521" s="70">
        <v>0.34236111111111112</v>
      </c>
      <c r="D521" s="63" t="s">
        <v>2347</v>
      </c>
      <c r="E521" s="64" t="s">
        <v>2456</v>
      </c>
      <c r="F521" s="63">
        <v>4</v>
      </c>
      <c r="G521" s="63" t="s">
        <v>29</v>
      </c>
      <c r="H521" s="208">
        <v>45163</v>
      </c>
      <c r="I521" s="65" t="s">
        <v>1083</v>
      </c>
      <c r="J521" s="65" t="s">
        <v>1220</v>
      </c>
      <c r="K521" s="63" t="s">
        <v>1321</v>
      </c>
      <c r="L521" s="63" t="s">
        <v>795</v>
      </c>
      <c r="M521" s="63" t="s">
        <v>2351</v>
      </c>
      <c r="N521" s="63" t="s">
        <v>621</v>
      </c>
      <c r="O521" s="63" t="str">
        <f ca="1">IF(H521&lt;&gt;"",IF(H521&lt;=TODAY(),"SI","NO"),"LIMBO")</f>
        <v>SI</v>
      </c>
      <c r="P521" s="63" t="str">
        <f>IF($P$1=H521,"DIASOL", "DIANOSOL")</f>
        <v>DIANOSOL</v>
      </c>
      <c r="Q521" s="63" t="s">
        <v>151</v>
      </c>
      <c r="R521" s="63" t="str">
        <f>VLOOKUP($Q521,Resultados!$A$1:$B$49,2,FALSE)</f>
        <v>Prisión Preventiva</v>
      </c>
      <c r="S521" s="70">
        <v>0.38194444444444442</v>
      </c>
      <c r="T521" s="72" t="str">
        <f>IF(G521=$J$1,"SI","NO")</f>
        <v>NO</v>
      </c>
      <c r="U521" s="72"/>
      <c r="V521" s="7" t="str">
        <f ca="1">IF(color_Celda(E521)=12106214,"ROSA",IF(color_Celda(E521)=65535,"AMARILLO",IF(color_Celda(E521)=5296274,"VERDE",IF(color_Celda(E521)=16777215,"BLANCO","NO SE"))))</f>
        <v>ROSA</v>
      </c>
      <c r="W521" s="70">
        <v>0.3923611111111111</v>
      </c>
      <c r="X521" s="63"/>
      <c r="Y521" s="63"/>
      <c r="Z521" s="118" t="s">
        <v>743</v>
      </c>
      <c r="AA521" s="118" t="s">
        <v>1167</v>
      </c>
      <c r="AB521" s="118" t="s">
        <v>1173</v>
      </c>
      <c r="AC521" s="324"/>
    </row>
    <row r="522" spans="1:29" ht="60" customHeight="1">
      <c r="A522" s="63">
        <v>525</v>
      </c>
      <c r="B522" s="65">
        <v>45155</v>
      </c>
      <c r="C522" s="70">
        <v>0.47500000000000003</v>
      </c>
      <c r="D522" s="63" t="s">
        <v>2350</v>
      </c>
      <c r="E522" s="64" t="s">
        <v>2457</v>
      </c>
      <c r="F522" s="63">
        <v>5</v>
      </c>
      <c r="G522" s="63" t="s">
        <v>1434</v>
      </c>
      <c r="H522" s="208">
        <v>45163</v>
      </c>
      <c r="I522" s="65" t="s">
        <v>1083</v>
      </c>
      <c r="J522" s="65" t="s">
        <v>33</v>
      </c>
      <c r="K522" s="63" t="s">
        <v>1512</v>
      </c>
      <c r="L522" s="63" t="s">
        <v>797</v>
      </c>
      <c r="M522" s="63" t="s">
        <v>1956</v>
      </c>
      <c r="N522" s="63" t="s">
        <v>2460</v>
      </c>
      <c r="O522" s="63" t="str">
        <f ca="1">IF(H522&lt;&gt;"",IF(H522&lt;=TODAY(),"SI","NO"),"LIMBO")</f>
        <v>SI</v>
      </c>
      <c r="P522" s="63" t="str">
        <f>IF($P$1=H522,"DIASOL", "DIANOSOL")</f>
        <v>DIANOSOL</v>
      </c>
      <c r="Q522" s="63" t="s">
        <v>151</v>
      </c>
      <c r="R522" s="63" t="str">
        <f>VLOOKUP($Q522,Resultados!$A$1:$B$49,2,FALSE)</f>
        <v>Prisión Preventiva</v>
      </c>
      <c r="S522" s="70">
        <v>0.38125000000000003</v>
      </c>
      <c r="T522" s="72" t="str">
        <f>IF(G522=$J$1,"SI","NO")</f>
        <v>NO</v>
      </c>
      <c r="U522" s="72"/>
      <c r="V522" s="7" t="str">
        <f ca="1">IF(color_Celda(E522)=12106214,"ROSA",IF(color_Celda(E522)=65535,"AMARILLO",IF(color_Celda(E522)=5296274,"VERDE",IF(color_Celda(E522)=16777215,"BLANCO","NO SE"))))</f>
        <v>ROSA</v>
      </c>
      <c r="W522" s="70">
        <v>0.39861111111111108</v>
      </c>
      <c r="X522" s="63"/>
      <c r="Y522" s="63"/>
      <c r="Z522" s="118" t="s">
        <v>770</v>
      </c>
      <c r="AA522" s="118" t="s">
        <v>1167</v>
      </c>
      <c r="AB522" s="118" t="s">
        <v>1169</v>
      </c>
      <c r="AC522" s="324"/>
    </row>
    <row r="523" spans="1:29" ht="60" customHeight="1">
      <c r="A523" s="63">
        <v>515</v>
      </c>
      <c r="B523" s="65">
        <v>45153</v>
      </c>
      <c r="C523" s="70">
        <v>0.51458333333333328</v>
      </c>
      <c r="D523" s="63" t="s">
        <v>2308</v>
      </c>
      <c r="E523" s="64" t="s">
        <v>2485</v>
      </c>
      <c r="F523" s="63">
        <v>6</v>
      </c>
      <c r="G523" s="63" t="s">
        <v>43</v>
      </c>
      <c r="H523" s="208">
        <v>45167</v>
      </c>
      <c r="I523" s="65" t="s">
        <v>73</v>
      </c>
      <c r="J523" s="65" t="s">
        <v>31</v>
      </c>
      <c r="K523" s="63">
        <f>IFERROR(VLOOKUP(J523,Jueces!$A$1:$B$11,2,FALSE),"")</f>
        <v>2</v>
      </c>
      <c r="L523" s="63" t="s">
        <v>810</v>
      </c>
      <c r="M523" s="63" t="s">
        <v>2201</v>
      </c>
      <c r="N523" s="63" t="s">
        <v>577</v>
      </c>
      <c r="O523" s="63" t="str">
        <f ca="1">IF(H523&lt;&gt;"",IF(H523&lt;=TODAY(),"SI","NO"),"LIMBO")</f>
        <v>SI</v>
      </c>
      <c r="P523" s="63" t="str">
        <f>IF($P$1=H523,"DIASOL", "DIANOSOL")</f>
        <v>DIANOSOL</v>
      </c>
      <c r="Q523" s="63" t="s">
        <v>151</v>
      </c>
      <c r="R523" s="63" t="str">
        <f>VLOOKUP($Q523,Resultados!$A$1:$B$49,2,FALSE)</f>
        <v>Prisión Preventiva</v>
      </c>
      <c r="S523" s="70">
        <v>0.3611111111111111</v>
      </c>
      <c r="T523" s="72" t="str">
        <f>IF(G523=$J$1,"SI","NO")</f>
        <v>NO</v>
      </c>
      <c r="U523" s="72"/>
      <c r="V523" s="7" t="str">
        <f ca="1">IF(color_Celda(E523)=12106214,"ROSA",IF(color_Celda(E523)=65535,"AMARILLO",IF(color_Celda(E523)=5296274,"VERDE",IF(color_Celda(E523)=16777215,"BLANCO","NO SE"))))</f>
        <v>ROSA</v>
      </c>
      <c r="W523" s="70">
        <v>0.38750000000000001</v>
      </c>
      <c r="X523" s="63"/>
      <c r="Y523" s="63"/>
      <c r="Z523" s="118" t="s">
        <v>1039</v>
      </c>
      <c r="AA523" s="118" t="s">
        <v>1165</v>
      </c>
      <c r="AB523" s="118" t="s">
        <v>1173</v>
      </c>
      <c r="AC523" s="324"/>
    </row>
    <row r="524" spans="1:29" ht="60" customHeight="1">
      <c r="A524" s="63">
        <v>516</v>
      </c>
      <c r="B524" s="65">
        <v>45154</v>
      </c>
      <c r="C524" s="63" t="s">
        <v>2327</v>
      </c>
      <c r="D524" s="63" t="s">
        <v>2328</v>
      </c>
      <c r="E524" s="64" t="s">
        <v>2484</v>
      </c>
      <c r="F524" s="63">
        <v>5</v>
      </c>
      <c r="G524" s="63" t="s">
        <v>29</v>
      </c>
      <c r="H524" s="208">
        <v>45167</v>
      </c>
      <c r="I524" s="65" t="s">
        <v>73</v>
      </c>
      <c r="J524" s="65" t="s">
        <v>1219</v>
      </c>
      <c r="K524" s="63" t="s">
        <v>1341</v>
      </c>
      <c r="L524" s="63" t="s">
        <v>569</v>
      </c>
      <c r="M524" s="63" t="s">
        <v>6483</v>
      </c>
      <c r="N524" s="63" t="s">
        <v>2531</v>
      </c>
      <c r="O524" s="63" t="str">
        <f ca="1">IF(H524&lt;&gt;"",IF(H524&lt;=TODAY(),"SI","NO"),"LIMBO")</f>
        <v>SI</v>
      </c>
      <c r="P524" s="63" t="str">
        <f>IF($P$1=H524,"DIASOL", "DIANOSOL")</f>
        <v>DIANOSOL</v>
      </c>
      <c r="Q524" s="63" t="s">
        <v>151</v>
      </c>
      <c r="R524" s="63" t="str">
        <f>VLOOKUP($Q524,Resultados!$A$1:$B$49,2,FALSE)</f>
        <v>Prisión Preventiva</v>
      </c>
      <c r="S524" s="70">
        <v>0.40833333333333338</v>
      </c>
      <c r="T524" s="72" t="str">
        <f>IF(G524=$J$1,"SI","NO")</f>
        <v>NO</v>
      </c>
      <c r="U524" s="72"/>
      <c r="V524" s="7" t="str">
        <f ca="1">IF(color_Celda(E524)=12106214,"ROSA",IF(color_Celda(E524)=65535,"AMARILLO",IF(color_Celda(E524)=5296274,"VERDE",IF(color_Celda(E524)=16777215,"BLANCO","NO SE"))))</f>
        <v>ROSA</v>
      </c>
      <c r="W524" s="70">
        <v>0.47291666666666665</v>
      </c>
      <c r="X524" s="658" t="s">
        <v>2530</v>
      </c>
      <c r="Y524" s="63"/>
      <c r="Z524" s="118" t="s">
        <v>748</v>
      </c>
      <c r="AA524" s="118"/>
      <c r="AB524" s="118" t="s">
        <v>1172</v>
      </c>
      <c r="AC524" s="698"/>
    </row>
    <row r="525" spans="1:29" ht="60" customHeight="1">
      <c r="A525" s="63">
        <v>519</v>
      </c>
      <c r="B525" s="65">
        <v>45154</v>
      </c>
      <c r="C525" s="70">
        <v>0.50069444444444444</v>
      </c>
      <c r="D525" s="63" t="s">
        <v>2333</v>
      </c>
      <c r="E525" s="64" t="s">
        <v>2483</v>
      </c>
      <c r="F525" s="63">
        <v>5</v>
      </c>
      <c r="G525" s="63" t="s">
        <v>1433</v>
      </c>
      <c r="H525" s="208">
        <v>45167</v>
      </c>
      <c r="I525" s="65" t="s">
        <v>73</v>
      </c>
      <c r="J525" s="65" t="s">
        <v>1218</v>
      </c>
      <c r="K525" s="63" t="s">
        <v>1916</v>
      </c>
      <c r="L525" s="63" t="s">
        <v>791</v>
      </c>
      <c r="M525" s="63" t="s">
        <v>2107</v>
      </c>
      <c r="N525" s="63" t="s">
        <v>621</v>
      </c>
      <c r="O525" s="63" t="str">
        <f ca="1">IF(H525&lt;&gt;"",IF(H525&lt;=TODAY(),"SI","NO"),"LIMBO")</f>
        <v>SI</v>
      </c>
      <c r="P525" s="63" t="str">
        <f>IF($P$1=H525,"DIASOL", "DIANOSOL")</f>
        <v>DIANOSOL</v>
      </c>
      <c r="Q525" s="63" t="s">
        <v>151</v>
      </c>
      <c r="R525" s="63" t="str">
        <f>VLOOKUP($Q525,Resultados!$A$1:$B$49,2,FALSE)</f>
        <v>Prisión Preventiva</v>
      </c>
      <c r="S525" s="70">
        <v>0.36180555555555555</v>
      </c>
      <c r="T525" s="72" t="str">
        <f>IF(G525=$J$1,"SI","NO")</f>
        <v>NO</v>
      </c>
      <c r="U525" s="72"/>
      <c r="V525" s="7" t="str">
        <f ca="1">IF(color_Celda(E525)=12106214,"ROSA",IF(color_Celda(E525)=65535,"AMARILLO",IF(color_Celda(E525)=5296274,"VERDE",IF(color_Celda(E525)=16777215,"BLANCO","NO SE"))))</f>
        <v>ROSA</v>
      </c>
      <c r="W525" s="70">
        <v>0.3666666666666667</v>
      </c>
      <c r="X525" s="63" t="s">
        <v>2496</v>
      </c>
      <c r="Y525" s="63"/>
      <c r="Z525" s="118" t="s">
        <v>743</v>
      </c>
      <c r="AA525" s="118" t="s">
        <v>1165</v>
      </c>
      <c r="AB525" s="118" t="s">
        <v>1170</v>
      </c>
      <c r="AC525" s="324"/>
    </row>
    <row r="526" spans="1:29" ht="60" customHeight="1">
      <c r="A526" s="63">
        <v>531</v>
      </c>
      <c r="B526" s="65">
        <v>45160</v>
      </c>
      <c r="C526" s="70">
        <v>0.47430555555555554</v>
      </c>
      <c r="D526" s="63" t="s">
        <v>2384</v>
      </c>
      <c r="E526" s="64" t="s">
        <v>2486</v>
      </c>
      <c r="F526" s="63">
        <v>6</v>
      </c>
      <c r="G526" s="63" t="s">
        <v>568</v>
      </c>
      <c r="H526" s="208">
        <v>45167</v>
      </c>
      <c r="I526" s="65" t="s">
        <v>73</v>
      </c>
      <c r="J526" s="65" t="s">
        <v>78</v>
      </c>
      <c r="K526" s="63">
        <f>IFERROR(VLOOKUP(J526,Jueces!$A$1:$B$11,2,FALSE),"")</f>
        <v>8</v>
      </c>
      <c r="L526" s="63" t="s">
        <v>809</v>
      </c>
      <c r="M526" s="63" t="s">
        <v>725</v>
      </c>
      <c r="N526" s="63" t="s">
        <v>2497</v>
      </c>
      <c r="O526" s="63" t="str">
        <f ca="1">IF(H526&lt;&gt;"",IF(H526&lt;=TODAY(),"SI","NO"),"LIMBO")</f>
        <v>SI</v>
      </c>
      <c r="P526" s="63" t="str">
        <f>IF($P$1=H526,"DIASOL", "DIANOSOL")</f>
        <v>DIANOSOL</v>
      </c>
      <c r="Q526" s="63" t="s">
        <v>902</v>
      </c>
      <c r="R526" s="63" t="str">
        <f>VLOOKUP($Q526,Resultados!$A$1:$B$49,2,FALSE)</f>
        <v>Juicio Abreviado</v>
      </c>
      <c r="S526" s="70">
        <v>0.36041666666666666</v>
      </c>
      <c r="T526" s="72" t="str">
        <f>IF(G526=$J$1,"SI","NO")</f>
        <v>NO</v>
      </c>
      <c r="U526" s="72"/>
      <c r="V526" s="7" t="str">
        <f ca="1">IF(color_Celda(E526)=12106214,"ROSA",IF(color_Celda(E526)=65535,"AMARILLO",IF(color_Celda(E526)=5296274,"VERDE",IF(color_Celda(E526)=16777215,"BLANCO","NO SE"))))</f>
        <v>ROSA</v>
      </c>
      <c r="W526" s="70">
        <v>0.3666666666666667</v>
      </c>
      <c r="X526" s="63"/>
      <c r="Y526" s="63"/>
      <c r="Z526" s="118" t="s">
        <v>770</v>
      </c>
      <c r="AA526" s="118" t="s">
        <v>743</v>
      </c>
      <c r="AB526" s="118" t="s">
        <v>1169</v>
      </c>
      <c r="AC526" s="324"/>
    </row>
    <row r="527" spans="1:29" ht="60" customHeight="1">
      <c r="A527" s="63">
        <v>502</v>
      </c>
      <c r="B527" s="65">
        <v>45163</v>
      </c>
      <c r="C527" s="70">
        <v>0.45347222222222222</v>
      </c>
      <c r="D527" s="63" t="s">
        <v>2280</v>
      </c>
      <c r="E527" s="64" t="s">
        <v>2482</v>
      </c>
      <c r="F527" s="63">
        <v>7</v>
      </c>
      <c r="G527" s="63" t="s">
        <v>32</v>
      </c>
      <c r="H527" s="208">
        <v>45167</v>
      </c>
      <c r="I527" s="65" t="s">
        <v>73</v>
      </c>
      <c r="J527" s="65" t="s">
        <v>1220</v>
      </c>
      <c r="K527" s="63" t="s">
        <v>1321</v>
      </c>
      <c r="L527" s="63" t="s">
        <v>795</v>
      </c>
      <c r="M527" s="63" t="s">
        <v>3381</v>
      </c>
      <c r="N527" s="63" t="s">
        <v>2561</v>
      </c>
      <c r="O527" s="63" t="str">
        <f ca="1">IF(H527&lt;&gt;"",IF(H527&lt;=TODAY(),"SI","NO"),"LIMBO")</f>
        <v>SI</v>
      </c>
      <c r="P527" s="63" t="str">
        <f>IF($P$1=H527,"DIASOL", "DIANOSOL")</f>
        <v>DIANOSOL</v>
      </c>
      <c r="Q527" s="63" t="s">
        <v>151</v>
      </c>
      <c r="R527" s="63" t="str">
        <f>VLOOKUP($Q527,Resultados!$A$1:$B$49,2,FALSE)</f>
        <v>Prisión Preventiva</v>
      </c>
      <c r="S527" s="63"/>
      <c r="T527" s="72" t="str">
        <f>IF(G527=$J$1,"SI","NO")</f>
        <v>NO</v>
      </c>
      <c r="U527" s="72"/>
      <c r="V527" s="7" t="str">
        <f ca="1">IF(color_Celda(E527)=12106214,"ROSA",IF(color_Celda(E527)=65535,"AMARILLO",IF(color_Celda(E527)=5296274,"VERDE",IF(color_Celda(E527)=16777215,"BLANCO","NO SE"))))</f>
        <v>ROSA</v>
      </c>
      <c r="W527" s="63"/>
      <c r="X527" s="63"/>
      <c r="Y527" s="63"/>
      <c r="Z527" s="118" t="s">
        <v>1038</v>
      </c>
      <c r="AA527" s="118" t="s">
        <v>743</v>
      </c>
      <c r="AB527" s="118" t="s">
        <v>1171</v>
      </c>
      <c r="AC527" s="324"/>
    </row>
    <row r="528" spans="1:29" ht="60" customHeight="1">
      <c r="A528" s="63">
        <v>530</v>
      </c>
      <c r="B528" s="65">
        <v>45160</v>
      </c>
      <c r="C528" s="70">
        <v>0.47083333333333338</v>
      </c>
      <c r="D528" s="63" t="s">
        <v>2382</v>
      </c>
      <c r="E528" s="64" t="s">
        <v>2488</v>
      </c>
      <c r="F528" s="63">
        <v>6</v>
      </c>
      <c r="G528" s="63" t="s">
        <v>283</v>
      </c>
      <c r="H528" s="208">
        <v>45167</v>
      </c>
      <c r="I528" s="65" t="s">
        <v>1083</v>
      </c>
      <c r="J528" s="65" t="s">
        <v>1219</v>
      </c>
      <c r="K528" s="63" t="s">
        <v>2404</v>
      </c>
      <c r="L528" s="63" t="s">
        <v>797</v>
      </c>
      <c r="M528" s="63" t="s">
        <v>2107</v>
      </c>
      <c r="N528" s="63" t="s">
        <v>2495</v>
      </c>
      <c r="O528" s="63" t="str">
        <f ca="1">IF(H528&lt;&gt;"",IF(H528&lt;=TODAY(),"SI","NO"),"LIMBO")</f>
        <v>SI</v>
      </c>
      <c r="P528" s="63" t="str">
        <f>IF($P$1=H528,"DIASOL", "DIANOSOL")</f>
        <v>DIANOSOL</v>
      </c>
      <c r="Q528" s="63" t="s">
        <v>903</v>
      </c>
      <c r="R528" s="63" t="str">
        <f>VLOOKUP($Q528,Resultados!$A$1:$B$49,2,FALSE)</f>
        <v>Juicio Abreviado</v>
      </c>
      <c r="S528" s="70">
        <v>0.49652777777777773</v>
      </c>
      <c r="T528" s="72" t="str">
        <f>IF(G528=$J$1,"SI","NO")</f>
        <v>NO</v>
      </c>
      <c r="U528" s="72"/>
      <c r="V528" s="7" t="str">
        <f ca="1">IF(color_Celda(E528)=12106214,"ROSA",IF(color_Celda(E528)=65535,"AMARILLO",IF(color_Celda(E528)=5296274,"VERDE",IF(color_Celda(E528)=16777215,"BLANCO","NO SE"))))</f>
        <v>ROSA</v>
      </c>
      <c r="W528" s="70">
        <v>0.51388888888888895</v>
      </c>
      <c r="X528" s="150"/>
      <c r="Y528" s="63"/>
      <c r="Z528" s="118" t="s">
        <v>1038</v>
      </c>
      <c r="AA528" s="118" t="s">
        <v>1167</v>
      </c>
      <c r="AB528" s="118" t="s">
        <v>1171</v>
      </c>
      <c r="AC528" s="324"/>
    </row>
    <row r="529" spans="1:29" ht="60" customHeight="1">
      <c r="A529" s="63">
        <v>521</v>
      </c>
      <c r="B529" s="65">
        <v>45154</v>
      </c>
      <c r="C529" s="70">
        <v>0.53194444444444444</v>
      </c>
      <c r="D529" s="63" t="s">
        <v>2338</v>
      </c>
      <c r="E529" s="64" t="s">
        <v>2339</v>
      </c>
      <c r="F529" s="63">
        <v>6</v>
      </c>
      <c r="G529" s="63" t="s">
        <v>32</v>
      </c>
      <c r="H529" s="208">
        <v>45168</v>
      </c>
      <c r="I529" s="65" t="s">
        <v>73</v>
      </c>
      <c r="J529" s="65" t="s">
        <v>78</v>
      </c>
      <c r="K529" s="63">
        <v>1</v>
      </c>
      <c r="L529" s="63" t="s">
        <v>811</v>
      </c>
      <c r="M529" s="63" t="s">
        <v>725</v>
      </c>
      <c r="N529" s="7" t="s">
        <v>235</v>
      </c>
      <c r="O529" s="63" t="str">
        <f ca="1">IF(H529&lt;&gt;"",IF(H529&lt;=TODAY(),"SI","NO"),"LIMBO")</f>
        <v>SI</v>
      </c>
      <c r="P529" s="63" t="str">
        <f>IF($P$1=H529,"DIASOL", "DIANOSOL")</f>
        <v>DIANOSOL</v>
      </c>
      <c r="Q529" s="63" t="s">
        <v>151</v>
      </c>
      <c r="R529" s="63" t="str">
        <f>VLOOKUP($Q529,Resultados!$A$1:$B$49,2,FALSE)</f>
        <v>Prisión Preventiva</v>
      </c>
      <c r="S529" s="70">
        <v>0.35694444444444445</v>
      </c>
      <c r="T529" s="72" t="str">
        <f>IF(G529=$J$1,"SI","NO")</f>
        <v>NO</v>
      </c>
      <c r="U529" s="72"/>
      <c r="V529" s="7" t="str">
        <f ca="1">IF(color_Celda(E529)=12106214,"ROSA",IF(color_Celda(E529)=65535,"AMARILLO",IF(color_Celda(E529)=5296274,"VERDE",IF(color_Celda(E529)=16777215,"BLANCO","NO SE"))))</f>
        <v>ROSA</v>
      </c>
      <c r="W529" s="70">
        <v>0.375</v>
      </c>
      <c r="X529" s="223" t="s">
        <v>2520</v>
      </c>
      <c r="Y529" s="63"/>
      <c r="Z529" s="118" t="s">
        <v>748</v>
      </c>
      <c r="AA529" s="118" t="s">
        <v>743</v>
      </c>
      <c r="AB529" s="118" t="s">
        <v>1170</v>
      </c>
      <c r="AC529" s="324"/>
    </row>
    <row r="530" spans="1:29" ht="60" customHeight="1">
      <c r="A530" s="63">
        <v>526</v>
      </c>
      <c r="B530" s="65">
        <v>45156</v>
      </c>
      <c r="C530" s="70">
        <v>0.47569444444444442</v>
      </c>
      <c r="D530" s="63" t="s">
        <v>2376</v>
      </c>
      <c r="E530" s="64" t="s">
        <v>2451</v>
      </c>
      <c r="F530" s="63">
        <v>6</v>
      </c>
      <c r="G530" s="63" t="s">
        <v>1434</v>
      </c>
      <c r="H530" s="208">
        <v>45168</v>
      </c>
      <c r="I530" s="65" t="s">
        <v>73</v>
      </c>
      <c r="J530" s="65" t="s">
        <v>33</v>
      </c>
      <c r="K530" s="63">
        <f>IFERROR(VLOOKUP(J530,Jueces!$A$1:$B$11,2,FALSE),"")</f>
        <v>4</v>
      </c>
      <c r="L530" s="63" t="s">
        <v>791</v>
      </c>
      <c r="M530" s="63" t="s">
        <v>2201</v>
      </c>
      <c r="N530" s="245" t="s">
        <v>2521</v>
      </c>
      <c r="O530" s="63" t="str">
        <f ca="1">IF(H530&lt;&gt;"",IF(H530&lt;=TODAY(),"SI","NO"),"LIMBO")</f>
        <v>SI</v>
      </c>
      <c r="P530" s="63" t="str">
        <f>IF($P$1=H530,"DIASOL", "DIANOSOL")</f>
        <v>DIANOSOL</v>
      </c>
      <c r="Q530" s="63" t="s">
        <v>903</v>
      </c>
      <c r="R530" s="63" t="str">
        <f>VLOOKUP($Q530,Resultados!$A$1:$B$49,2,FALSE)</f>
        <v>Juicio Abreviado</v>
      </c>
      <c r="S530" s="70">
        <v>0.3527777777777778</v>
      </c>
      <c r="T530" s="72" t="str">
        <f>IF(G530=$J$1,"SI","NO")</f>
        <v>NO</v>
      </c>
      <c r="U530" s="72"/>
      <c r="V530" s="7" t="str">
        <f ca="1">IF(color_Celda(E530)=12106214,"ROSA",IF(color_Celda(E530)=65535,"AMARILLO",IF(color_Celda(E530)=5296274,"VERDE",IF(color_Celda(E530)=16777215,"BLANCO","NO SE"))))</f>
        <v>ROSA</v>
      </c>
      <c r="W530" s="70">
        <v>0.36805555555555558</v>
      </c>
      <c r="X530" s="365"/>
      <c r="Y530" s="63"/>
      <c r="Z530" s="118" t="s">
        <v>743</v>
      </c>
      <c r="AA530" s="118" t="s">
        <v>1167</v>
      </c>
      <c r="AB530" s="118" t="s">
        <v>1169</v>
      </c>
      <c r="AC530" s="324"/>
    </row>
    <row r="531" spans="1:29" ht="60" customHeight="1">
      <c r="A531" s="63">
        <v>471</v>
      </c>
      <c r="B531" s="65">
        <v>45145</v>
      </c>
      <c r="C531" s="70">
        <v>0.53749999999999998</v>
      </c>
      <c r="D531" s="63" t="s">
        <v>2171</v>
      </c>
      <c r="E531" s="64" t="s">
        <v>2172</v>
      </c>
      <c r="F531" s="63">
        <v>5</v>
      </c>
      <c r="G531" s="63" t="s">
        <v>1435</v>
      </c>
      <c r="H531" s="208">
        <v>45168</v>
      </c>
      <c r="I531" s="65" t="s">
        <v>1083</v>
      </c>
      <c r="J531" s="65" t="s">
        <v>1220</v>
      </c>
      <c r="K531" s="63" t="s">
        <v>1916</v>
      </c>
      <c r="L531" s="63" t="s">
        <v>795</v>
      </c>
      <c r="M531" s="63" t="s">
        <v>2189</v>
      </c>
      <c r="N531" s="63" t="s">
        <v>2519</v>
      </c>
      <c r="O531" s="63" t="str">
        <f ca="1">IF(H531&lt;&gt;"",IF(H531&lt;=TODAY(),"SI","NO"),"LIMBO")</f>
        <v>SI</v>
      </c>
      <c r="P531" s="63" t="str">
        <f>IF($P$1=H531,"DIASOL", "DIANOSOL")</f>
        <v>DIANOSOL</v>
      </c>
      <c r="Q531" s="63" t="s">
        <v>907</v>
      </c>
      <c r="R531" s="63" t="str">
        <f>VLOOKUP($Q531,Resultados!$A$1:$B$49,2,FALSE)</f>
        <v>Suspensión de juicio a prueba</v>
      </c>
      <c r="S531" s="70">
        <v>0.375</v>
      </c>
      <c r="T531" s="72"/>
      <c r="U531" s="72"/>
      <c r="V531" s="7" t="str">
        <f ca="1">IF(color_Celda(E531)=12106214,"ROSA",IF(color_Celda(E531)=65535,"AMARILLO",IF(color_Celda(E531)=5296274,"VERDE",IF(color_Celda(E531)=16777215,"BLANCO","NO SE"))))</f>
        <v>ROSA</v>
      </c>
      <c r="W531" s="63" t="s">
        <v>1225</v>
      </c>
      <c r="X531" s="223" t="s">
        <v>2518</v>
      </c>
      <c r="Y531" s="63"/>
      <c r="Z531" s="118" t="s">
        <v>770</v>
      </c>
      <c r="AA531" s="118" t="s">
        <v>1165</v>
      </c>
      <c r="AB531" s="118" t="s">
        <v>1171</v>
      </c>
      <c r="AC531" s="324"/>
    </row>
    <row r="532" spans="1:29" ht="60" customHeight="1">
      <c r="A532" s="63">
        <v>535</v>
      </c>
      <c r="B532" s="65">
        <v>45161</v>
      </c>
      <c r="C532" s="63" t="s">
        <v>73</v>
      </c>
      <c r="D532" s="63" t="s">
        <v>2405</v>
      </c>
      <c r="E532" s="64" t="s">
        <v>2468</v>
      </c>
      <c r="F532" s="63">
        <v>7</v>
      </c>
      <c r="G532" s="63" t="s">
        <v>43</v>
      </c>
      <c r="H532" s="208">
        <v>45168</v>
      </c>
      <c r="I532" s="65" t="s">
        <v>1083</v>
      </c>
      <c r="J532" s="65" t="s">
        <v>35</v>
      </c>
      <c r="K532" s="63" t="s">
        <v>1512</v>
      </c>
      <c r="L532" s="63" t="s">
        <v>811</v>
      </c>
      <c r="M532" s="63" t="s">
        <v>723</v>
      </c>
      <c r="N532" s="63" t="s">
        <v>1847</v>
      </c>
      <c r="O532" s="63" t="str">
        <f ca="1">IF(H532&lt;&gt;"",IF(H532&lt;=TODAY(),"SI","NO"),"LIMBO")</f>
        <v>SI</v>
      </c>
      <c r="P532" s="63" t="str">
        <f>IF($P$1=H532,"DIASOL", "DIANOSOL")</f>
        <v>DIANOSOL</v>
      </c>
      <c r="Q532" s="63" t="s">
        <v>897</v>
      </c>
      <c r="R532" s="63" t="str">
        <f>VLOOKUP($Q532,Resultados!$A$1:$B$49,2,FALSE)</f>
        <v>Libertad</v>
      </c>
      <c r="S532" s="70">
        <v>0.38194444444444442</v>
      </c>
      <c r="T532" s="72" t="str">
        <f>IF(G532=$J$1,"SI","NO")</f>
        <v>NO</v>
      </c>
      <c r="U532" s="72"/>
      <c r="V532" s="7" t="str">
        <f ca="1">IF(color_Celda(E532)=12106214,"ROSA",IF(color_Celda(E532)=65535,"AMARILLO",IF(color_Celda(E532)=5296274,"VERDE",IF(color_Celda(E532)=16777215,"BLANCO","NO SE"))))</f>
        <v>ROSA</v>
      </c>
      <c r="W532" s="70">
        <v>0.39652777777777781</v>
      </c>
      <c r="X532" s="63" t="s">
        <v>2503</v>
      </c>
      <c r="Y532" s="63"/>
      <c r="Z532" s="118" t="s">
        <v>1039</v>
      </c>
      <c r="AA532" s="118" t="s">
        <v>1167</v>
      </c>
      <c r="AB532" s="118" t="s">
        <v>1170</v>
      </c>
      <c r="AC532" s="324"/>
    </row>
    <row r="533" spans="1:29" ht="60" customHeight="1">
      <c r="A533" s="63">
        <v>536</v>
      </c>
      <c r="B533" s="65">
        <v>45161</v>
      </c>
      <c r="C533" s="70">
        <v>0.33333333333333331</v>
      </c>
      <c r="D533" s="63" t="s">
        <v>2406</v>
      </c>
      <c r="E533" s="64" t="s">
        <v>2441</v>
      </c>
      <c r="F533" s="63">
        <v>7</v>
      </c>
      <c r="G533" s="63" t="s">
        <v>1433</v>
      </c>
      <c r="H533" s="208">
        <v>45168</v>
      </c>
      <c r="I533" s="65" t="s">
        <v>1083</v>
      </c>
      <c r="J533" s="65" t="s">
        <v>1216</v>
      </c>
      <c r="K533" s="63">
        <f>IFERROR(VLOOKUP(J533,Jueces!$A$1:$B$11,2,FALSE),"")</f>
        <v>1</v>
      </c>
      <c r="L533" s="63" t="s">
        <v>801</v>
      </c>
      <c r="M533" s="63" t="s">
        <v>725</v>
      </c>
      <c r="N533" s="63" t="s">
        <v>2522</v>
      </c>
      <c r="O533" s="63" t="str">
        <f ca="1">IF(H533&lt;&gt;"",IF(H533&lt;=TODAY(),"SI","NO"),"LIMBO")</f>
        <v>SI</v>
      </c>
      <c r="P533" s="63" t="str">
        <f>IF($P$1=H533,"DIASOL", "DIANOSOL")</f>
        <v>DIANOSOL</v>
      </c>
      <c r="Q533" s="63" t="s">
        <v>897</v>
      </c>
      <c r="R533" s="63" t="str">
        <f>VLOOKUP($Q533,Resultados!$A$1:$B$49,2,FALSE)</f>
        <v>Libertad</v>
      </c>
      <c r="S533" s="70">
        <v>0.4916666666666667</v>
      </c>
      <c r="T533" s="72" t="str">
        <f>IF(G533=$J$1,"SI","NO")</f>
        <v>NO</v>
      </c>
      <c r="U533" s="72"/>
      <c r="V533" s="7" t="str">
        <f ca="1">IF(color_Celda(E533)=12106214,"ROSA",IF(color_Celda(E533)=65535,"AMARILLO",IF(color_Celda(E533)=5296274,"VERDE",IF(color_Celda(E533)=16777215,"BLANCO","NO SE"))))</f>
        <v>ROSA</v>
      </c>
      <c r="W533" s="70">
        <v>0.51041666666666663</v>
      </c>
      <c r="X533" s="63"/>
      <c r="Y533" s="63"/>
      <c r="Z533" s="118" t="s">
        <v>1038</v>
      </c>
      <c r="AA533" s="118" t="s">
        <v>743</v>
      </c>
      <c r="AB533" s="118" t="s">
        <v>1173</v>
      </c>
      <c r="AC533" s="324"/>
    </row>
    <row r="534" spans="1:29" ht="60" customHeight="1">
      <c r="A534" s="63">
        <v>529</v>
      </c>
      <c r="B534" s="65">
        <v>45156</v>
      </c>
      <c r="C534" s="70">
        <v>0.53263888888888888</v>
      </c>
      <c r="D534" s="63" t="s">
        <v>2381</v>
      </c>
      <c r="E534" s="64" t="s">
        <v>2523</v>
      </c>
      <c r="F534" s="63">
        <v>6</v>
      </c>
      <c r="G534" s="63" t="s">
        <v>283</v>
      </c>
      <c r="H534" s="208">
        <v>45169</v>
      </c>
      <c r="I534" s="65" t="s">
        <v>73</v>
      </c>
      <c r="J534" s="65" t="s">
        <v>31</v>
      </c>
      <c r="K534" s="63" t="s">
        <v>1341</v>
      </c>
      <c r="L534" s="63" t="s">
        <v>808</v>
      </c>
      <c r="M534" s="63" t="s">
        <v>725</v>
      </c>
      <c r="N534" s="63" t="s">
        <v>2550</v>
      </c>
      <c r="O534" s="63" t="str">
        <f ca="1">IF(H534&lt;&gt;"",IF(H534&lt;=TODAY(),"SI","NO"),"LIMBO")</f>
        <v>SI</v>
      </c>
      <c r="P534" s="63" t="str">
        <f>IF($P$1=H534,"DIASOL", "DIANOSOL")</f>
        <v>DIANOSOL</v>
      </c>
      <c r="Q534" s="63" t="s">
        <v>897</v>
      </c>
      <c r="R534" s="63" t="str">
        <f>VLOOKUP($Q534,Resultados!$A$1:$B$49,2,FALSE)</f>
        <v>Libertad</v>
      </c>
      <c r="S534" s="63" t="s">
        <v>1907</v>
      </c>
      <c r="T534" s="72" t="str">
        <f>IF(G534=$J$1,"SI","NO")</f>
        <v>NO</v>
      </c>
      <c r="U534" s="72"/>
      <c r="V534" s="7" t="str">
        <f ca="1">IF(color_Celda(E534)=12106214,"ROSA",IF(color_Celda(E534)=65535,"AMARILLO",IF(color_Celda(E534)=5296274,"VERDE",IF(color_Celda(E534)=16777215,"BLANCO","NO SE"))))</f>
        <v>ROSA</v>
      </c>
      <c r="W534" s="63" t="s">
        <v>2548</v>
      </c>
      <c r="X534" s="63"/>
      <c r="Y534" s="63"/>
      <c r="Z534" s="118" t="s">
        <v>748</v>
      </c>
      <c r="AA534" s="118" t="s">
        <v>743</v>
      </c>
      <c r="AB534" s="118" t="s">
        <v>1169</v>
      </c>
      <c r="AC534" s="324"/>
    </row>
    <row r="535" spans="1:29" ht="60" customHeight="1">
      <c r="A535" s="63">
        <v>542</v>
      </c>
      <c r="B535" s="65">
        <v>45161</v>
      </c>
      <c r="C535" s="70">
        <v>0.50902777777777775</v>
      </c>
      <c r="D535" s="63" t="s">
        <v>2429</v>
      </c>
      <c r="E535" s="64" t="s">
        <v>2524</v>
      </c>
      <c r="F535" s="63">
        <v>7</v>
      </c>
      <c r="G535" s="63" t="s">
        <v>1434</v>
      </c>
      <c r="H535" s="208">
        <v>45169</v>
      </c>
      <c r="I535" s="65" t="s">
        <v>73</v>
      </c>
      <c r="J535" s="65" t="s">
        <v>35</v>
      </c>
      <c r="K535" s="63" t="s">
        <v>1512</v>
      </c>
      <c r="L535" s="63" t="s">
        <v>2075</v>
      </c>
      <c r="M535" s="63" t="s">
        <v>783</v>
      </c>
      <c r="N535" s="63" t="s">
        <v>2537</v>
      </c>
      <c r="O535" s="63" t="str">
        <f ca="1">IF(H535&lt;&gt;"",IF(H535&lt;=TODAY(),"SI","NO"),"LIMBO")</f>
        <v>SI</v>
      </c>
      <c r="P535" s="63" t="str">
        <f>IF($P$1=H535,"DIASOL", "DIANOSOL")</f>
        <v>DIANOSOL</v>
      </c>
      <c r="Q535" s="63" t="s">
        <v>151</v>
      </c>
      <c r="R535" s="63" t="str">
        <f>VLOOKUP($Q535,Resultados!$A$1:$B$49,2,FALSE)</f>
        <v>Prisión Preventiva</v>
      </c>
      <c r="S535" s="63" t="s">
        <v>2536</v>
      </c>
      <c r="T535" s="72" t="str">
        <f>IF(G535=$J$1,"SI","NO")</f>
        <v>NO</v>
      </c>
      <c r="U535" s="72"/>
      <c r="V535" s="7" t="str">
        <f ca="1">IF(color_Celda(E535)=12106214,"ROSA",IF(color_Celda(E535)=65535,"AMARILLO",IF(color_Celda(E535)=5296274,"VERDE",IF(color_Celda(E535)=16777215,"BLANCO","NO SE"))))</f>
        <v>ROSA</v>
      </c>
      <c r="W535" s="70">
        <v>0.35694444444444445</v>
      </c>
      <c r="X535" s="365"/>
      <c r="Y535" s="63"/>
      <c r="Z535" s="118" t="s">
        <v>743</v>
      </c>
      <c r="AA535" s="118" t="s">
        <v>1165</v>
      </c>
      <c r="AB535" s="118" t="s">
        <v>1171</v>
      </c>
      <c r="AC535" s="324"/>
    </row>
    <row r="536" spans="1:29" ht="60" customHeight="1">
      <c r="A536" s="63">
        <v>545</v>
      </c>
      <c r="B536" s="65">
        <v>45162</v>
      </c>
      <c r="C536" s="70">
        <v>0.45208333333333334</v>
      </c>
      <c r="D536" s="63" t="s">
        <v>2444</v>
      </c>
      <c r="E536" s="64" t="s">
        <v>2525</v>
      </c>
      <c r="F536" s="63">
        <v>7</v>
      </c>
      <c r="G536" s="63" t="s">
        <v>43</v>
      </c>
      <c r="H536" s="208">
        <v>45169</v>
      </c>
      <c r="I536" s="65" t="s">
        <v>73</v>
      </c>
      <c r="J536" s="65" t="s">
        <v>78</v>
      </c>
      <c r="K536" s="63">
        <f>IFERROR(VLOOKUP(J536,Jueces!$A$1:$B$11,2,FALSE),"")</f>
        <v>8</v>
      </c>
      <c r="L536" s="63" t="s">
        <v>809</v>
      </c>
      <c r="M536" s="63" t="s">
        <v>723</v>
      </c>
      <c r="N536" s="150" t="s">
        <v>510</v>
      </c>
      <c r="O536" s="63" t="str">
        <f ca="1">IF(H536&lt;&gt;"",IF(H536&lt;=TODAY(),"SI","NO"),"LIMBO")</f>
        <v>SI</v>
      </c>
      <c r="P536" s="63" t="str">
        <f>IF($P$1=H536,"DIASOL", "DIANOSOL")</f>
        <v>DIANOSOL</v>
      </c>
      <c r="Q536" s="63" t="s">
        <v>897</v>
      </c>
      <c r="R536" s="63" t="str">
        <f>VLOOKUP($Q536,Resultados!$A$1:$B$49,2,FALSE)</f>
        <v>Libertad</v>
      </c>
      <c r="S536" s="70">
        <v>0.35416666666666669</v>
      </c>
      <c r="T536" s="72" t="str">
        <f>IF(G536=$J$1,"SI","NO")</f>
        <v>NO</v>
      </c>
      <c r="U536" s="72"/>
      <c r="V536" s="7" t="str">
        <f ca="1">IF(color_Celda(E536)=12106214,"ROSA",IF(color_Celda(E536)=65535,"AMARILLO",IF(color_Celda(E536)=5296274,"VERDE",IF(color_Celda(E536)=16777215,"BLANCO","NO SE"))))</f>
        <v>ROSA</v>
      </c>
      <c r="W536" s="70">
        <v>0.35902777777777778</v>
      </c>
      <c r="X536" s="223" t="s">
        <v>2538</v>
      </c>
      <c r="Y536" s="63"/>
      <c r="Z536" s="118" t="s">
        <v>770</v>
      </c>
      <c r="AA536" s="118" t="s">
        <v>743</v>
      </c>
      <c r="AB536" s="118" t="s">
        <v>1170</v>
      </c>
      <c r="AC536" s="324"/>
    </row>
    <row r="537" spans="1:29" ht="60" customHeight="1">
      <c r="A537" s="63">
        <v>537</v>
      </c>
      <c r="B537" s="65">
        <v>45161</v>
      </c>
      <c r="C537" s="70">
        <v>0.45277777777777778</v>
      </c>
      <c r="D537" s="63" t="s">
        <v>2418</v>
      </c>
      <c r="E537" s="64" t="s">
        <v>2526</v>
      </c>
      <c r="F537" s="63">
        <v>7</v>
      </c>
      <c r="G537" s="63" t="s">
        <v>1433</v>
      </c>
      <c r="H537" s="208">
        <v>45169</v>
      </c>
      <c r="I537" s="65" t="s">
        <v>1083</v>
      </c>
      <c r="J537" s="65" t="s">
        <v>1221</v>
      </c>
      <c r="K537" s="63">
        <f>IFERROR(VLOOKUP(J537,Jueces!$A$1:$B$11,2,FALSE),"")</f>
        <v>6</v>
      </c>
      <c r="L537" s="63" t="s">
        <v>810</v>
      </c>
      <c r="M537" s="63" t="s">
        <v>725</v>
      </c>
      <c r="N537" s="223" t="s">
        <v>2542</v>
      </c>
      <c r="O537" s="63" t="str">
        <f ca="1">IF(H537&lt;&gt;"",IF(H537&lt;=TODAY(),"SI","NO"),"LIMBO")</f>
        <v>SI</v>
      </c>
      <c r="P537" s="63" t="str">
        <f>IF($P$1=H537,"DIASOL", "DIANOSOL")</f>
        <v>DIANOSOL</v>
      </c>
      <c r="Q537" s="63" t="s">
        <v>151</v>
      </c>
      <c r="R537" s="63" t="str">
        <f>VLOOKUP($Q537,Resultados!$A$1:$B$49,2,FALSE)</f>
        <v>Prisión Preventiva</v>
      </c>
      <c r="S537" s="70">
        <v>0.3756944444444445</v>
      </c>
      <c r="T537" s="72" t="str">
        <f>IF(G537=$J$1,"SI","NO")</f>
        <v>NO</v>
      </c>
      <c r="U537" s="72"/>
      <c r="V537" s="7" t="str">
        <f ca="1">IF(color_Celda(E537)=12106214,"ROSA",IF(color_Celda(E537)=65535,"AMARILLO",IF(color_Celda(E537)=5296274,"VERDE",IF(color_Celda(E537)=16777215,"BLANCO","NO SE"))))</f>
        <v>ROSA</v>
      </c>
      <c r="W537" s="70">
        <v>0.40416666666666662</v>
      </c>
      <c r="X537" s="63"/>
      <c r="Y537" s="63"/>
      <c r="Z537" s="118" t="s">
        <v>1038</v>
      </c>
      <c r="AA537" s="118" t="s">
        <v>1167</v>
      </c>
      <c r="AB537" s="118" t="s">
        <v>1169</v>
      </c>
      <c r="AC537" s="698"/>
    </row>
    <row r="538" spans="1:29" ht="60" customHeight="1">
      <c r="A538" s="63">
        <v>544</v>
      </c>
      <c r="B538" s="65">
        <v>45161</v>
      </c>
      <c r="C538" s="70">
        <v>0.52500000000000002</v>
      </c>
      <c r="D538" s="63" t="s">
        <v>2432</v>
      </c>
      <c r="E538" s="64" t="s">
        <v>2527</v>
      </c>
      <c r="F538" s="63">
        <v>6</v>
      </c>
      <c r="G538" s="63" t="s">
        <v>32</v>
      </c>
      <c r="H538" s="208">
        <v>45169</v>
      </c>
      <c r="I538" s="65" t="s">
        <v>1083</v>
      </c>
      <c r="J538" s="65" t="s">
        <v>1220</v>
      </c>
      <c r="K538" s="63" t="s">
        <v>2324</v>
      </c>
      <c r="L538" s="63" t="s">
        <v>789</v>
      </c>
      <c r="M538" s="63" t="s">
        <v>725</v>
      </c>
      <c r="N538" s="63" t="s">
        <v>2544</v>
      </c>
      <c r="O538" s="63" t="str">
        <f ca="1">IF(H538&lt;&gt;"",IF(H538&lt;=TODAY(),"SI","NO"),"LIMBO")</f>
        <v>SI</v>
      </c>
      <c r="P538" s="63" t="str">
        <f>IF($P$1=H538,"DIASOL", "DIANOSOL")</f>
        <v>DIANOSOL</v>
      </c>
      <c r="Q538" s="63" t="s">
        <v>902</v>
      </c>
      <c r="R538" s="63" t="str">
        <f>VLOOKUP($Q538,Resultados!$A$1:$B$49,2,FALSE)</f>
        <v>Juicio Abreviado</v>
      </c>
      <c r="S538" s="70">
        <v>0.51944444444444449</v>
      </c>
      <c r="T538" s="72" t="str">
        <f>IF(G538=$J$1,"SI","NO")</f>
        <v>NO</v>
      </c>
      <c r="U538" s="72"/>
      <c r="V538" s="7" t="str">
        <f ca="1">IF(color_Celda(E538)=12106214,"ROSA",IF(color_Celda(E538)=65535,"AMARILLO",IF(color_Celda(E538)=5296274,"VERDE",IF(color_Celda(E538)=16777215,"BLANCO","NO SE"))))</f>
        <v>ROSA</v>
      </c>
      <c r="W538" s="70">
        <v>0.53125</v>
      </c>
      <c r="X538" s="7"/>
      <c r="Y538" s="63"/>
      <c r="Z538" s="118" t="s">
        <v>1039</v>
      </c>
      <c r="AA538" s="118" t="s">
        <v>1165</v>
      </c>
      <c r="AB538" s="118" t="s">
        <v>1171</v>
      </c>
      <c r="AC538" s="324"/>
    </row>
    <row r="539" spans="1:29" ht="60" customHeight="1">
      <c r="A539" s="63">
        <v>546</v>
      </c>
      <c r="B539" s="65">
        <v>45162</v>
      </c>
      <c r="C539" s="70">
        <v>0.33333333333333331</v>
      </c>
      <c r="D539" s="63" t="s">
        <v>2445</v>
      </c>
      <c r="E539" s="64" t="s">
        <v>2528</v>
      </c>
      <c r="F539" s="63">
        <v>7</v>
      </c>
      <c r="G539" s="63" t="s">
        <v>29</v>
      </c>
      <c r="H539" s="208">
        <v>45169</v>
      </c>
      <c r="I539" s="65" t="s">
        <v>1083</v>
      </c>
      <c r="J539" s="65" t="s">
        <v>1218</v>
      </c>
      <c r="K539" s="63" t="s">
        <v>1916</v>
      </c>
      <c r="L539" s="63" t="s">
        <v>807</v>
      </c>
      <c r="M539" s="63" t="s">
        <v>723</v>
      </c>
      <c r="N539" s="365" t="s">
        <v>2540</v>
      </c>
      <c r="O539" s="63" t="str">
        <f ca="1">IF(H539&lt;&gt;"",IF(H539&lt;=TODAY(),"SI","NO"),"LIMBO")</f>
        <v>SI</v>
      </c>
      <c r="P539" s="63" t="str">
        <f>IF($P$1=H539,"DIASOL", "DIANOSOL")</f>
        <v>DIANOSOL</v>
      </c>
      <c r="Q539" s="63" t="s">
        <v>902</v>
      </c>
      <c r="R539" s="63" t="str">
        <f>VLOOKUP($Q539,Resultados!$A$1:$B$49,2,FALSE)</f>
        <v>Juicio Abreviado</v>
      </c>
      <c r="S539" s="70">
        <v>0.39027777777777778</v>
      </c>
      <c r="T539" s="72" t="str">
        <f>IF(G539=$J$1,"SI","NO")</f>
        <v>NO</v>
      </c>
      <c r="U539" s="72"/>
      <c r="V539" s="7" t="str">
        <f ca="1">IF(color_Celda(E539)=12106214,"ROSA",IF(color_Celda(E539)=65535,"AMARILLO",IF(color_Celda(E539)=5296274,"VERDE",IF(color_Celda(E539)=16777215,"BLANCO","NO SE"))))</f>
        <v>ROSA</v>
      </c>
      <c r="W539" s="70">
        <v>0.3972222222222222</v>
      </c>
      <c r="X539" s="64" t="s">
        <v>2541</v>
      </c>
      <c r="Y539" s="63"/>
      <c r="Z539" s="118" t="s">
        <v>748</v>
      </c>
      <c r="AA539" s="118" t="s">
        <v>743</v>
      </c>
      <c r="AB539" s="118" t="s">
        <v>1170</v>
      </c>
      <c r="AC539" s="324"/>
    </row>
    <row r="540" spans="1:29" ht="60" customHeight="1">
      <c r="A540" s="63">
        <v>548</v>
      </c>
      <c r="B540" s="65">
        <v>45162</v>
      </c>
      <c r="C540" s="70">
        <v>0.45833333333333331</v>
      </c>
      <c r="D540" s="63" t="s">
        <v>2447</v>
      </c>
      <c r="E540" s="64" t="s">
        <v>2529</v>
      </c>
      <c r="F540" s="63">
        <v>7</v>
      </c>
      <c r="G540" s="63" t="s">
        <v>568</v>
      </c>
      <c r="H540" s="208">
        <v>45169</v>
      </c>
      <c r="I540" s="65" t="s">
        <v>987</v>
      </c>
      <c r="J540" s="65" t="s">
        <v>31</v>
      </c>
      <c r="K540" s="63" t="s">
        <v>1916</v>
      </c>
      <c r="L540" s="63" t="s">
        <v>809</v>
      </c>
      <c r="M540" s="63" t="s">
        <v>725</v>
      </c>
      <c r="N540" s="223" t="s">
        <v>2543</v>
      </c>
      <c r="O540" s="63" t="str">
        <f ca="1">IF(H540&lt;&gt;"",IF(H540&lt;=TODAY(),"SI","NO"),"LIMBO")</f>
        <v>SI</v>
      </c>
      <c r="P540" s="63" t="str">
        <f>IF($P$1=H540,"DIASOL", "DIANOSOL")</f>
        <v>DIANOSOL</v>
      </c>
      <c r="Q540" s="63" t="s">
        <v>902</v>
      </c>
      <c r="R540" s="63" t="str">
        <f>VLOOKUP($Q540,Resultados!$A$1:$B$49,2,FALSE)</f>
        <v>Juicio Abreviado</v>
      </c>
      <c r="S540" s="70">
        <v>0.49722222222222223</v>
      </c>
      <c r="T540" s="72" t="str">
        <f>IF(G540=$J$1,"SI","NO")</f>
        <v>NO</v>
      </c>
      <c r="U540" s="72"/>
      <c r="V540" s="7" t="str">
        <f ca="1">IF(color_Celda(E540)=12106214,"ROSA",IF(color_Celda(E540)=65535,"AMARILLO",IF(color_Celda(E540)=5296274,"VERDE",IF(color_Celda(E540)=16777215,"BLANCO","NO SE"))))</f>
        <v>ROSA</v>
      </c>
      <c r="W540" s="70">
        <v>0.50624999999999998</v>
      </c>
      <c r="X540" s="63"/>
      <c r="Y540" s="63"/>
      <c r="Z540" s="118" t="s">
        <v>743</v>
      </c>
      <c r="AA540" s="118" t="s">
        <v>1167</v>
      </c>
      <c r="AB540" s="118" t="s">
        <v>1172</v>
      </c>
      <c r="AC540" s="324"/>
    </row>
    <row r="541" spans="1:29" ht="60" customHeight="1">
      <c r="A541" s="63">
        <v>534</v>
      </c>
      <c r="B541" s="65">
        <v>45160</v>
      </c>
      <c r="C541" s="70">
        <v>0.4284722222222222</v>
      </c>
      <c r="D541" s="63" t="s">
        <v>2383</v>
      </c>
      <c r="E541" s="64" t="s">
        <v>2442</v>
      </c>
      <c r="F541" s="63">
        <v>7</v>
      </c>
      <c r="G541" s="63" t="s">
        <v>1433</v>
      </c>
      <c r="H541" s="208">
        <v>45170</v>
      </c>
      <c r="I541" s="65" t="s">
        <v>73</v>
      </c>
      <c r="J541" s="65" t="s">
        <v>31</v>
      </c>
      <c r="K541" s="63">
        <f>IFERROR(VLOOKUP(J541,Jueces!$A$1:$B$11,2,FALSE),"")</f>
        <v>2</v>
      </c>
      <c r="L541" s="63" t="s">
        <v>810</v>
      </c>
      <c r="M541" s="63" t="s">
        <v>2549</v>
      </c>
      <c r="N541" s="63" t="s">
        <v>2550</v>
      </c>
      <c r="O541" s="63" t="str">
        <f ca="1">IF(H541&lt;&gt;"",IF(H541&lt;=TODAY(),"SI","NO"),"LIMBO")</f>
        <v>SI</v>
      </c>
      <c r="P541" s="63" t="str">
        <f>IF($P$1=H541,"DIASOL", "DIANOSOL")</f>
        <v>DIANOSOL</v>
      </c>
      <c r="Q541" s="63" t="s">
        <v>897</v>
      </c>
      <c r="R541" s="63" t="str">
        <f>VLOOKUP($Q541,Resultados!$A$1:$B$49,2,FALSE)</f>
        <v>Libertad</v>
      </c>
      <c r="S541" s="70">
        <v>0.3611111111111111</v>
      </c>
      <c r="T541" s="72" t="str">
        <f>IF(G541=$J$1,"SI","NO")</f>
        <v>NO</v>
      </c>
      <c r="U541" s="72"/>
      <c r="V541" s="7" t="str">
        <f ca="1">IF(color_Celda(E541)=12106214,"ROSA",IF(color_Celda(E541)=65535,"AMARILLO",IF(color_Celda(E541)=5296274,"VERDE",IF(color_Celda(E541)=16777215,"BLANCO","NO SE"))))</f>
        <v>ROSA</v>
      </c>
      <c r="W541" s="70">
        <v>0.36736111111111108</v>
      </c>
      <c r="X541" s="63" t="s">
        <v>2551</v>
      </c>
      <c r="Y541" s="63"/>
      <c r="Z541" s="118" t="s">
        <v>1038</v>
      </c>
      <c r="AA541" s="118" t="s">
        <v>1165</v>
      </c>
      <c r="AB541" s="118" t="s">
        <v>1170</v>
      </c>
      <c r="AC541" s="324"/>
    </row>
    <row r="542" spans="1:29" ht="60" customHeight="1">
      <c r="A542" s="63">
        <v>552</v>
      </c>
      <c r="B542" s="65">
        <v>45163</v>
      </c>
      <c r="C542" s="70">
        <v>0.41319444444444442</v>
      </c>
      <c r="D542" s="63" t="s">
        <v>2470</v>
      </c>
      <c r="E542" s="64" t="s">
        <v>2471</v>
      </c>
      <c r="F542" s="63">
        <v>6</v>
      </c>
      <c r="G542" s="63" t="s">
        <v>1435</v>
      </c>
      <c r="H542" s="208">
        <v>45170</v>
      </c>
      <c r="I542" s="65" t="s">
        <v>73</v>
      </c>
      <c r="J542" s="65" t="s">
        <v>1217</v>
      </c>
      <c r="K542" s="63" t="s">
        <v>1341</v>
      </c>
      <c r="L542" s="63" t="s">
        <v>805</v>
      </c>
      <c r="M542" s="63" t="s">
        <v>2201</v>
      </c>
      <c r="N542" s="63" t="s">
        <v>2559</v>
      </c>
      <c r="O542" s="63" t="str">
        <f ca="1">IF(H542&lt;&gt;"",IF(H542&lt;=TODAY(),"SI","NO"),"LIMBO")</f>
        <v>SI</v>
      </c>
      <c r="P542" s="63" t="str">
        <f>IF($P$1=H542,"DIASOL", "DIANOSOL")</f>
        <v>DIANOSOL</v>
      </c>
      <c r="Q542" s="63" t="s">
        <v>151</v>
      </c>
      <c r="R542" s="63" t="str">
        <f>VLOOKUP($Q542,Resultados!$A$1:$B$49,2,FALSE)</f>
        <v>Prisión Preventiva</v>
      </c>
      <c r="S542" s="70">
        <v>0.37222222222222223</v>
      </c>
      <c r="T542" s="72" t="str">
        <f>IF(G542=$J$1,"SI","NO")</f>
        <v>SI</v>
      </c>
      <c r="U542" s="72"/>
      <c r="V542" s="7" t="str">
        <f ca="1">IF(color_Celda(E542)=12106214,"ROSA",IF(color_Celda(E542)=65535,"AMARILLO",IF(color_Celda(E542)=5296274,"VERDE",IF(color_Celda(E542)=16777215,"BLANCO","NO SE"))))</f>
        <v>ROSA</v>
      </c>
      <c r="W542" s="70">
        <v>0.39999999999999997</v>
      </c>
      <c r="X542" s="63" t="s">
        <v>2552</v>
      </c>
      <c r="Y542" s="63"/>
      <c r="Z542" s="118" t="s">
        <v>1039</v>
      </c>
      <c r="AA542" s="118" t="s">
        <v>1167</v>
      </c>
      <c r="AB542" s="118" t="s">
        <v>1169</v>
      </c>
      <c r="AC542" s="324"/>
    </row>
    <row r="543" spans="1:29" ht="60" customHeight="1">
      <c r="A543" s="63">
        <v>554</v>
      </c>
      <c r="B543" s="65">
        <v>45163</v>
      </c>
      <c r="C543" s="70">
        <v>0.34722222222222227</v>
      </c>
      <c r="D543" s="63" t="s">
        <v>2473</v>
      </c>
      <c r="E543" s="64" t="s">
        <v>2474</v>
      </c>
      <c r="F543" s="63">
        <v>6</v>
      </c>
      <c r="G543" s="63" t="s">
        <v>568</v>
      </c>
      <c r="H543" s="208">
        <v>45170</v>
      </c>
      <c r="I543" s="65" t="s">
        <v>73</v>
      </c>
      <c r="J543" s="65" t="s">
        <v>35</v>
      </c>
      <c r="K543" s="63">
        <f>IFERROR(VLOOKUP(J543,Jueces!$A$1:$B$11,2,FALSE),"")</f>
        <v>3</v>
      </c>
      <c r="L543" s="63" t="s">
        <v>797</v>
      </c>
      <c r="M543" s="63" t="s">
        <v>696</v>
      </c>
      <c r="N543" s="63" t="s">
        <v>2560</v>
      </c>
      <c r="O543" s="63" t="str">
        <f ca="1">IF(H543&lt;&gt;"",IF(H543&lt;=TODAY(),"SI","NO"),"LIMBO")</f>
        <v>SI</v>
      </c>
      <c r="P543" s="63" t="str">
        <f>IF($P$1=H543,"DIASOL", "DIANOSOL")</f>
        <v>DIANOSOL</v>
      </c>
      <c r="Q543" s="63" t="s">
        <v>897</v>
      </c>
      <c r="R543" s="63" t="str">
        <f>VLOOKUP($Q543,Resultados!$A$1:$B$49,2,FALSE)</f>
        <v>Libertad</v>
      </c>
      <c r="S543" s="70">
        <v>0.34652777777777777</v>
      </c>
      <c r="T543" s="72" t="str">
        <f>IF(G543=$J$1,"SI","NO")</f>
        <v>NO</v>
      </c>
      <c r="U543" s="72"/>
      <c r="V543" s="7" t="str">
        <f ca="1">IF(color_Celda(E543)=12106214,"ROSA",IF(color_Celda(E543)=65535,"AMARILLO",IF(color_Celda(E543)=5296274,"VERDE",IF(color_Celda(E543)=16777215,"BLANCO","NO SE"))))</f>
        <v>ROSA</v>
      </c>
      <c r="W543" s="70">
        <v>0.36944444444444446</v>
      </c>
      <c r="X543" s="63"/>
      <c r="Y543" s="63"/>
      <c r="Z543" s="118" t="s">
        <v>748</v>
      </c>
      <c r="AA543" s="118" t="s">
        <v>1165</v>
      </c>
      <c r="AB543" s="118" t="s">
        <v>1171</v>
      </c>
      <c r="AC543" s="324"/>
    </row>
    <row r="544" spans="1:29" ht="60" customHeight="1">
      <c r="A544" s="63">
        <v>539</v>
      </c>
      <c r="B544" s="65">
        <v>45161</v>
      </c>
      <c r="C544" s="70">
        <v>0.47500000000000003</v>
      </c>
      <c r="D544" s="63" t="s">
        <v>2422</v>
      </c>
      <c r="E544" s="64" t="s">
        <v>2440</v>
      </c>
      <c r="F544" s="63">
        <v>7</v>
      </c>
      <c r="G544" s="63" t="s">
        <v>283</v>
      </c>
      <c r="H544" s="208">
        <v>45170</v>
      </c>
      <c r="I544" s="65" t="s">
        <v>749</v>
      </c>
      <c r="J544" s="65" t="s">
        <v>1221</v>
      </c>
      <c r="K544" s="63">
        <f>IFERROR(VLOOKUP(J544,Jueces!$A$1:$B$11,2,FALSE),"")</f>
        <v>6</v>
      </c>
      <c r="L544" s="63" t="s">
        <v>801</v>
      </c>
      <c r="M544" s="63" t="s">
        <v>723</v>
      </c>
      <c r="N544" s="63" t="s">
        <v>577</v>
      </c>
      <c r="O544" s="63" t="str">
        <f ca="1">IF(H544&lt;&gt;"",IF(H544&lt;=TODAY(),"SI","NO"),"LIMBO")</f>
        <v>SI</v>
      </c>
      <c r="P544" s="63" t="str">
        <f>IF($P$1=H544,"DIASOL", "DIANOSOL")</f>
        <v>DIANOSOL</v>
      </c>
      <c r="Q544" s="63" t="s">
        <v>151</v>
      </c>
      <c r="R544" s="63" t="str">
        <f>VLOOKUP($Q544,Resultados!$A$1:$B$49,2,FALSE)</f>
        <v>Prisión Preventiva</v>
      </c>
      <c r="S544" s="70">
        <v>0.34930555555555554</v>
      </c>
      <c r="T544" s="72" t="str">
        <f>IF(G544=$J$1,"SI","NO")</f>
        <v>NO</v>
      </c>
      <c r="U544" s="72"/>
      <c r="V544" s="7" t="str">
        <f ca="1">IF(color_Celda(E544)=12106214,"ROSA",IF(color_Celda(E544)=65535,"AMARILLO",IF(color_Celda(E544)=5296274,"VERDE",IF(color_Celda(E544)=16777215,"BLANCO","NO SE"))))</f>
        <v>ROSA</v>
      </c>
      <c r="W544" s="70">
        <v>0.38125000000000003</v>
      </c>
      <c r="X544" s="63"/>
      <c r="Y544" s="63"/>
      <c r="Z544" s="118" t="s">
        <v>743</v>
      </c>
      <c r="AA544" s="118" t="s">
        <v>743</v>
      </c>
      <c r="AB544" s="118" t="s">
        <v>1173</v>
      </c>
      <c r="AC544" s="324"/>
    </row>
    <row r="545" spans="1:29" ht="60" customHeight="1">
      <c r="A545" s="63">
        <v>532</v>
      </c>
      <c r="B545" s="65">
        <v>45160</v>
      </c>
      <c r="C545" s="70">
        <v>0.48055555555555557</v>
      </c>
      <c r="D545" s="63" t="s">
        <v>2385</v>
      </c>
      <c r="E545" s="64" t="s">
        <v>2439</v>
      </c>
      <c r="F545" s="63">
        <v>7</v>
      </c>
      <c r="G545" s="63" t="s">
        <v>43</v>
      </c>
      <c r="H545" s="208">
        <v>45170</v>
      </c>
      <c r="I545" s="65" t="s">
        <v>1083</v>
      </c>
      <c r="J545" s="65" t="s">
        <v>1218</v>
      </c>
      <c r="K545" s="63" t="s">
        <v>1512</v>
      </c>
      <c r="L545" s="63" t="s">
        <v>791</v>
      </c>
      <c r="M545" s="63" t="s">
        <v>2549</v>
      </c>
      <c r="N545" s="63" t="s">
        <v>577</v>
      </c>
      <c r="O545" s="63" t="str">
        <f ca="1">IF(H545&lt;&gt;"",IF(H545&lt;=TODAY(),"SI","NO"),"LIMBO")</f>
        <v>SI</v>
      </c>
      <c r="P545" s="63" t="str">
        <f>IF($P$1=H545,"DIASOL", "DIANOSOL")</f>
        <v>DIANOSOL</v>
      </c>
      <c r="Q545" s="63" t="s">
        <v>151</v>
      </c>
      <c r="R545" s="63" t="str">
        <f>VLOOKUP($Q545,Resultados!$A$1:$B$49,2,FALSE)</f>
        <v>Prisión Preventiva</v>
      </c>
      <c r="S545" s="70">
        <v>0.375</v>
      </c>
      <c r="T545" s="72" t="str">
        <f>IF(G545=$J$1,"SI","NO")</f>
        <v>NO</v>
      </c>
      <c r="U545" s="72"/>
      <c r="V545" s="7" t="str">
        <f ca="1">IF(color_Celda(E545)=12106214,"ROSA",IF(color_Celda(E545)=65535,"AMARILLO",IF(color_Celda(E545)=5296274,"VERDE",IF(color_Celda(E545)=16777215,"BLANCO","NO SE"))))</f>
        <v>ROSA</v>
      </c>
      <c r="W545" s="70">
        <v>0.38194444444444442</v>
      </c>
      <c r="X545" s="63"/>
      <c r="Y545" s="63"/>
      <c r="Z545" s="118" t="s">
        <v>1038</v>
      </c>
      <c r="AA545" s="118" t="s">
        <v>1167</v>
      </c>
      <c r="AB545" s="118" t="s">
        <v>1172</v>
      </c>
      <c r="AC545" s="324"/>
    </row>
    <row r="546" spans="1:29" ht="60" customHeight="1">
      <c r="A546" s="63">
        <v>541</v>
      </c>
      <c r="B546" s="65">
        <v>45161</v>
      </c>
      <c r="C546" s="70">
        <v>0.50347222222222221</v>
      </c>
      <c r="D546" s="63" t="s">
        <v>2426</v>
      </c>
      <c r="E546" s="64" t="s">
        <v>2467</v>
      </c>
      <c r="F546" s="63">
        <v>7</v>
      </c>
      <c r="G546" s="63" t="s">
        <v>1434</v>
      </c>
      <c r="H546" s="208">
        <v>45170</v>
      </c>
      <c r="I546" s="65" t="s">
        <v>1083</v>
      </c>
      <c r="J546" s="65" t="s">
        <v>1220</v>
      </c>
      <c r="K546" s="63" t="s">
        <v>1916</v>
      </c>
      <c r="L546" s="63" t="s">
        <v>807</v>
      </c>
      <c r="M546" s="63" t="s">
        <v>723</v>
      </c>
      <c r="N546" s="63" t="s">
        <v>2566</v>
      </c>
      <c r="O546" s="63" t="str">
        <f ca="1">IF(H546&lt;&gt;"",IF(H546&lt;=TODAY(),"SI","NO"),"LIMBO")</f>
        <v>SI</v>
      </c>
      <c r="P546" s="63" t="str">
        <f>IF($P$1=H546,"DIASOL", "DIANOSOL")</f>
        <v>DIANOSOL</v>
      </c>
      <c r="Q546" s="63" t="s">
        <v>902</v>
      </c>
      <c r="R546" s="63" t="str">
        <f>VLOOKUP($Q546,Resultados!$A$1:$B$49,2,FALSE)</f>
        <v>Juicio Abreviado</v>
      </c>
      <c r="S546" s="70">
        <v>0.38680555555555557</v>
      </c>
      <c r="T546" s="72" t="str">
        <f>IF(G546=$J$1,"SI","NO")</f>
        <v>NO</v>
      </c>
      <c r="U546" s="72"/>
      <c r="V546" s="7" t="str">
        <f ca="1">IF(color_Celda(E546)=12106214,"ROSA",IF(color_Celda(E546)=65535,"AMARILLO",IF(color_Celda(E546)=5296274,"VERDE",IF(color_Celda(E546)=16777215,"BLANCO","NO SE"))))</f>
        <v>ROSA</v>
      </c>
      <c r="W546" s="70">
        <v>0.39444444444444443</v>
      </c>
      <c r="X546" s="63"/>
      <c r="Y546" s="63"/>
      <c r="Z546" s="118" t="s">
        <v>1039</v>
      </c>
      <c r="AA546" s="118" t="s">
        <v>1165</v>
      </c>
      <c r="AB546" s="118" t="s">
        <v>1170</v>
      </c>
      <c r="AC546" s="324"/>
    </row>
    <row r="547" spans="1:29" ht="60" customHeight="1">
      <c r="A547" s="63">
        <v>559</v>
      </c>
      <c r="B547" s="65">
        <v>45163</v>
      </c>
      <c r="C547" s="70">
        <v>0.48402777777777778</v>
      </c>
      <c r="D547" s="63" t="s">
        <v>2480</v>
      </c>
      <c r="E547" s="64" t="s">
        <v>2481</v>
      </c>
      <c r="F547" s="63">
        <v>5</v>
      </c>
      <c r="G547" s="63" t="s">
        <v>32</v>
      </c>
      <c r="H547" s="208">
        <v>45170</v>
      </c>
      <c r="I547" s="65" t="s">
        <v>1083</v>
      </c>
      <c r="J547" s="65" t="s">
        <v>35</v>
      </c>
      <c r="K547" s="63">
        <v>4</v>
      </c>
      <c r="L547" s="63" t="s">
        <v>828</v>
      </c>
      <c r="M547" s="63" t="s">
        <v>1866</v>
      </c>
      <c r="N547" s="63" t="s">
        <v>2569</v>
      </c>
      <c r="O547" s="63" t="str">
        <f ca="1">IF(H547&lt;&gt;"",IF(H547&lt;=TODAY(),"SI","NO"),"LIMBO")</f>
        <v>SI</v>
      </c>
      <c r="P547" s="63" t="str">
        <f>IF($P$1=H547,"DIASOL", "DIANOSOL")</f>
        <v>DIANOSOL</v>
      </c>
      <c r="Q547" s="63" t="s">
        <v>151</v>
      </c>
      <c r="R547" s="63" t="str">
        <f>VLOOKUP($Q547,Resultados!$A$1:$B$49,2,FALSE)</f>
        <v>Prisión Preventiva</v>
      </c>
      <c r="S547" s="70">
        <v>0.55902777777777779</v>
      </c>
      <c r="T547" s="72" t="str">
        <f>IF(G547=$J$1,"SI","NO")</f>
        <v>NO</v>
      </c>
      <c r="U547" s="72"/>
      <c r="V547" s="7" t="str">
        <f ca="1">IF(color_Celda(E547)=12106214,"ROSA",IF(color_Celda(E547)=65535,"AMARILLO",IF(color_Celda(E547)=5296274,"VERDE",IF(color_Celda(E547)=16777215,"BLANCO","NO SE"))))</f>
        <v>ROSA</v>
      </c>
      <c r="W547" s="70">
        <v>0.56597222222222221</v>
      </c>
      <c r="X547" s="63"/>
      <c r="Y547" s="63"/>
      <c r="Z547" s="118" t="s">
        <v>748</v>
      </c>
      <c r="AA547" s="118" t="s">
        <v>1167</v>
      </c>
      <c r="AB547" s="118" t="s">
        <v>1169</v>
      </c>
      <c r="AC547" s="324"/>
    </row>
    <row r="548" spans="1:29" ht="60" customHeight="1">
      <c r="A548" s="63">
        <v>549</v>
      </c>
      <c r="B548" s="65">
        <v>45162</v>
      </c>
      <c r="C548" s="70">
        <v>0.49513888888888885</v>
      </c>
      <c r="D548" s="63" t="s">
        <v>2448</v>
      </c>
      <c r="E548" s="64" t="s">
        <v>2596</v>
      </c>
      <c r="F548" s="63">
        <v>7</v>
      </c>
      <c r="G548" s="63" t="s">
        <v>568</v>
      </c>
      <c r="H548" s="208">
        <v>45173</v>
      </c>
      <c r="I548" s="65" t="s">
        <v>73</v>
      </c>
      <c r="J548" s="65" t="s">
        <v>35</v>
      </c>
      <c r="K548" s="63">
        <f>IFERROR(VLOOKUP(J548,Jueces!$A$1:$B$11,2,FALSE),"")</f>
        <v>3</v>
      </c>
      <c r="L548" s="63" t="s">
        <v>807</v>
      </c>
      <c r="M548" s="63" t="s">
        <v>723</v>
      </c>
      <c r="N548" s="63" t="s">
        <v>2570</v>
      </c>
      <c r="O548" s="63" t="str">
        <f ca="1">IF(H548&lt;&gt;"",IF(H548&lt;=TODAY(),"SI","NO"),"LIMBO")</f>
        <v>SI</v>
      </c>
      <c r="P548" s="63" t="str">
        <f>IF($P$1=H548,"DIASOL", "DIANOSOL")</f>
        <v>DIANOSOL</v>
      </c>
      <c r="Q548" s="63" t="s">
        <v>902</v>
      </c>
      <c r="R548" s="63" t="str">
        <f>VLOOKUP($Q548,Resultados!$A$1:$B$49,2,FALSE)</f>
        <v>Juicio Abreviado</v>
      </c>
      <c r="S548" s="70" t="s">
        <v>2571</v>
      </c>
      <c r="T548" s="72" t="str">
        <f>IF(G548=$J$1,"SI","NO")</f>
        <v>NO</v>
      </c>
      <c r="U548" s="72"/>
      <c r="V548" s="7" t="str">
        <f ca="1">IF(color_Celda(E548)=12106214,"ROSA",IF(color_Celda(E548)=65535,"AMARILLO",IF(color_Celda(E548)=5296274,"VERDE",IF(color_Celda(E548)=16777215,"BLANCO","NO SE"))))</f>
        <v>ROSA</v>
      </c>
      <c r="W548" s="63" t="s">
        <v>1130</v>
      </c>
      <c r="X548" s="63"/>
      <c r="Y548" s="63"/>
      <c r="Z548" s="118" t="s">
        <v>770</v>
      </c>
      <c r="AA548" s="118" t="s">
        <v>1167</v>
      </c>
      <c r="AB548" s="118" t="s">
        <v>1173</v>
      </c>
      <c r="AC548" s="324"/>
    </row>
    <row r="549" spans="1:29" ht="60" customHeight="1">
      <c r="A549" s="63">
        <v>561</v>
      </c>
      <c r="B549" s="65">
        <v>45167</v>
      </c>
      <c r="C549" s="70">
        <v>0.4055555555555555</v>
      </c>
      <c r="D549" s="63" t="s">
        <v>2491</v>
      </c>
      <c r="E549" s="64" t="s">
        <v>2597</v>
      </c>
      <c r="F549" s="63">
        <v>7</v>
      </c>
      <c r="G549" s="63" t="s">
        <v>1434</v>
      </c>
      <c r="H549" s="208">
        <v>45173</v>
      </c>
      <c r="I549" s="65" t="s">
        <v>73</v>
      </c>
      <c r="J549" s="65" t="s">
        <v>1217</v>
      </c>
      <c r="K549" s="63">
        <f>IFERROR(VLOOKUP(J549,Jueces!$A$1:$B$11,2,FALSE),"")</f>
        <v>7</v>
      </c>
      <c r="L549" s="63" t="s">
        <v>569</v>
      </c>
      <c r="M549" s="63" t="s">
        <v>782</v>
      </c>
      <c r="N549" s="63" t="s">
        <v>2572</v>
      </c>
      <c r="O549" s="63" t="str">
        <f ca="1">IF(H549&lt;&gt;"",IF(H549&lt;=TODAY(),"SI","NO"),"LIMBO")</f>
        <v>SI</v>
      </c>
      <c r="P549" s="63" t="str">
        <f>IF($P$1=H549,"DIASOL", "DIANOSOL")</f>
        <v>DIANOSOL</v>
      </c>
      <c r="Q549" s="63" t="s">
        <v>902</v>
      </c>
      <c r="R549" s="63" t="str">
        <f>VLOOKUP($Q549,Resultados!$A$1:$B$49,2,FALSE)</f>
        <v>Juicio Abreviado</v>
      </c>
      <c r="S549" s="63" t="s">
        <v>2402</v>
      </c>
      <c r="T549" s="72" t="str">
        <f>IF(G549=$J$1,"SI","NO")</f>
        <v>NO</v>
      </c>
      <c r="U549" s="72"/>
      <c r="V549" s="7" t="str">
        <f ca="1">IF(color_Celda(E549)=12106214,"ROSA",IF(color_Celda(E549)=65535,"AMARILLO",IF(color_Celda(E549)=5296274,"VERDE",IF(color_Celda(E549)=16777215,"BLANCO","NO SE"))))</f>
        <v>ROSA</v>
      </c>
      <c r="W549" s="63" t="s">
        <v>1287</v>
      </c>
      <c r="X549" s="63" t="s">
        <v>2552</v>
      </c>
      <c r="Y549" s="63"/>
      <c r="Z549" s="118" t="s">
        <v>1038</v>
      </c>
      <c r="AA549" s="118" t="s">
        <v>743</v>
      </c>
      <c r="AB549" s="118" t="s">
        <v>1172</v>
      </c>
      <c r="AC549" s="324"/>
    </row>
    <row r="550" spans="1:29" ht="60" customHeight="1">
      <c r="A550" s="63">
        <v>564</v>
      </c>
      <c r="B550" s="65">
        <v>45167</v>
      </c>
      <c r="C550" s="70">
        <v>0.4909722222222222</v>
      </c>
      <c r="D550" s="63" t="s">
        <v>1375</v>
      </c>
      <c r="E550" s="64" t="s">
        <v>2598</v>
      </c>
      <c r="F550" s="63">
        <v>2</v>
      </c>
      <c r="G550" s="63" t="s">
        <v>43</v>
      </c>
      <c r="H550" s="208">
        <v>45173</v>
      </c>
      <c r="I550" s="65" t="s">
        <v>73</v>
      </c>
      <c r="J550" s="65" t="s">
        <v>1216</v>
      </c>
      <c r="K550" s="63" t="s">
        <v>1916</v>
      </c>
      <c r="L550" s="63" t="s">
        <v>791</v>
      </c>
      <c r="M550" s="63" t="s">
        <v>712</v>
      </c>
      <c r="N550" s="63" t="s">
        <v>2515</v>
      </c>
      <c r="O550" s="63" t="str">
        <f ca="1">IF(H550&lt;&gt;"",IF(H550&lt;=TODAY(),"SI","NO"),"LIMBO")</f>
        <v>SI</v>
      </c>
      <c r="P550" s="63" t="str">
        <f>IF($P$1=H550,"DIASOL", "DIANOSOL")</f>
        <v>DIANOSOL</v>
      </c>
      <c r="Q550" s="63" t="s">
        <v>897</v>
      </c>
      <c r="R550" s="63" t="str">
        <f>VLOOKUP($Q550,Resultados!$A$1:$B$49,2,FALSE)</f>
        <v>Libertad</v>
      </c>
      <c r="S550" s="63" t="s">
        <v>2047</v>
      </c>
      <c r="T550" s="72" t="str">
        <f>IF(G550=$J$1,"SI","NO")</f>
        <v>NO</v>
      </c>
      <c r="U550" s="72"/>
      <c r="V550" s="7" t="str">
        <f ca="1">IF(color_Celda(E550)=12106214,"ROSA",IF(color_Celda(E550)=65535,"AMARILLO",IF(color_Celda(E550)=5296274,"VERDE",IF(color_Celda(E550)=16777215,"BLANCO","NO SE"))))</f>
        <v>ROSA</v>
      </c>
      <c r="W550" s="63" t="s">
        <v>1737</v>
      </c>
      <c r="X550" s="63" t="s">
        <v>2552</v>
      </c>
      <c r="Y550" s="63"/>
      <c r="Z550" s="118" t="s">
        <v>1039</v>
      </c>
      <c r="AA550" s="118" t="s">
        <v>743</v>
      </c>
      <c r="AB550" s="118" t="s">
        <v>1170</v>
      </c>
      <c r="AC550" s="324"/>
    </row>
    <row r="551" spans="1:29" ht="60" customHeight="1">
      <c r="A551" s="63">
        <v>550</v>
      </c>
      <c r="B551" s="65">
        <v>45162</v>
      </c>
      <c r="C551" s="70">
        <v>0.4861111111111111</v>
      </c>
      <c r="D551" s="63" t="s">
        <v>2449</v>
      </c>
      <c r="E551" s="64" t="s">
        <v>2599</v>
      </c>
      <c r="F551" s="63">
        <v>7</v>
      </c>
      <c r="G551" s="63" t="s">
        <v>32</v>
      </c>
      <c r="H551" s="208">
        <v>45173</v>
      </c>
      <c r="I551" s="65" t="s">
        <v>1083</v>
      </c>
      <c r="J551" s="65" t="s">
        <v>1220</v>
      </c>
      <c r="K551" s="63" t="s">
        <v>1512</v>
      </c>
      <c r="L551" s="63" t="s">
        <v>800</v>
      </c>
      <c r="M551" s="63" t="s">
        <v>723</v>
      </c>
      <c r="N551" s="63" t="s">
        <v>2573</v>
      </c>
      <c r="O551" s="63" t="str">
        <f ca="1">IF(H551&lt;&gt;"",IF(H551&lt;=TODAY(),"SI","NO"),"LIMBO")</f>
        <v>SI</v>
      </c>
      <c r="P551" s="63" t="str">
        <f>IF($P$1=H551,"DIASOL", "DIANOSOL")</f>
        <v>DIANOSOL</v>
      </c>
      <c r="Q551" s="63" t="s">
        <v>902</v>
      </c>
      <c r="R551" s="63" t="str">
        <f>VLOOKUP($Q551,Resultados!$A$1:$B$49,2,FALSE)</f>
        <v>Juicio Abreviado</v>
      </c>
      <c r="S551" s="63"/>
      <c r="T551" s="72" t="str">
        <f>IF(G551=$J$1,"SI","NO")</f>
        <v>NO</v>
      </c>
      <c r="U551" s="72"/>
      <c r="V551" s="7" t="str">
        <f ca="1">IF(color_Celda(E551)=12106214,"ROSA",IF(color_Celda(E551)=65535,"AMARILLO",IF(color_Celda(E551)=5296274,"VERDE",IF(color_Celda(E551)=16777215,"BLANCO","NO SE"))))</f>
        <v>ROSA</v>
      </c>
      <c r="W551" s="63"/>
      <c r="X551" s="63"/>
      <c r="Y551" s="63"/>
      <c r="Z551" s="118" t="s">
        <v>748</v>
      </c>
      <c r="AA551" s="118" t="s">
        <v>1165</v>
      </c>
      <c r="AB551" s="118" t="s">
        <v>1169</v>
      </c>
      <c r="AC551" s="324"/>
    </row>
    <row r="552" spans="1:29" ht="60" customHeight="1">
      <c r="A552" s="63">
        <v>566</v>
      </c>
      <c r="B552" s="65">
        <v>45167</v>
      </c>
      <c r="C552" s="63" t="s">
        <v>2499</v>
      </c>
      <c r="D552" s="63" t="s">
        <v>2500</v>
      </c>
      <c r="E552" s="64" t="s">
        <v>2600</v>
      </c>
      <c r="F552" s="63">
        <v>6</v>
      </c>
      <c r="G552" s="63" t="s">
        <v>283</v>
      </c>
      <c r="H552" s="208">
        <v>45173</v>
      </c>
      <c r="I552" s="65" t="s">
        <v>1083</v>
      </c>
      <c r="J552" s="65" t="s">
        <v>1218</v>
      </c>
      <c r="K552" s="63" t="s">
        <v>1916</v>
      </c>
      <c r="L552" s="63" t="s">
        <v>2075</v>
      </c>
      <c r="M552" s="63" t="s">
        <v>2368</v>
      </c>
      <c r="N552" s="63" t="s">
        <v>577</v>
      </c>
      <c r="O552" s="63" t="str">
        <f ca="1">IF(H552&lt;&gt;"",IF(H552&lt;=TODAY(),"SI","NO"),"LIMBO")</f>
        <v>SI</v>
      </c>
      <c r="P552" s="63" t="str">
        <f>IF($P$1=H552,"DIASOL", "DIANOSOL")</f>
        <v>DIANOSOL</v>
      </c>
      <c r="Q552" s="63" t="s">
        <v>151</v>
      </c>
      <c r="R552" s="63" t="str">
        <f>VLOOKUP($Q552,Resultados!$A$1:$B$49,2,FALSE)</f>
        <v>Prisión Preventiva</v>
      </c>
      <c r="S552" s="63" t="s">
        <v>76</v>
      </c>
      <c r="T552" s="72" t="str">
        <f>IF(G552=$J$1,"SI","NO")</f>
        <v>NO</v>
      </c>
      <c r="U552" s="72"/>
      <c r="V552" s="7" t="str">
        <f ca="1">IF(color_Celda(E552)=12106214,"ROSA",IF(color_Celda(E552)=65535,"AMARILLO",IF(color_Celda(E552)=5296274,"VERDE",IF(color_Celda(E552)=16777215,"BLANCO","NO SE"))))</f>
        <v>ROSA</v>
      </c>
      <c r="W552" s="63" t="s">
        <v>1239</v>
      </c>
      <c r="X552" s="63"/>
      <c r="Y552" s="63"/>
      <c r="Z552" s="118" t="s">
        <v>743</v>
      </c>
      <c r="AA552" s="118" t="s">
        <v>1167</v>
      </c>
      <c r="AB552" s="118" t="s">
        <v>1171</v>
      </c>
      <c r="AC552" s="324"/>
    </row>
    <row r="553" spans="1:29" ht="60" customHeight="1">
      <c r="A553" s="63">
        <v>547</v>
      </c>
      <c r="B553" s="65">
        <v>45162</v>
      </c>
      <c r="C553" s="70">
        <v>0.45833333333333331</v>
      </c>
      <c r="D553" s="63" t="s">
        <v>2446</v>
      </c>
      <c r="E553" s="64" t="s">
        <v>2585</v>
      </c>
      <c r="F553" s="63">
        <v>7</v>
      </c>
      <c r="G553" s="63" t="s">
        <v>32</v>
      </c>
      <c r="H553" s="208">
        <v>45174</v>
      </c>
      <c r="I553" s="65" t="s">
        <v>73</v>
      </c>
      <c r="J553" s="65" t="s">
        <v>33</v>
      </c>
      <c r="K553" s="63">
        <f>IFERROR(VLOOKUP(J553,Jueces!$A$1:$B$11,2,FALSE),"")</f>
        <v>4</v>
      </c>
      <c r="L553" s="63" t="s">
        <v>789</v>
      </c>
      <c r="M553" s="63" t="s">
        <v>723</v>
      </c>
      <c r="N553" s="63" t="s">
        <v>2656</v>
      </c>
      <c r="O553" s="63" t="str">
        <f ca="1">IF(H553&lt;&gt;"",IF(H553&lt;=TODAY(),"SI","NO"),"LIMBO")</f>
        <v>SI</v>
      </c>
      <c r="P553" s="63" t="str">
        <f>IF($P$1=H553,"DIASOL", "DIANOSOL")</f>
        <v>DIANOSOL</v>
      </c>
      <c r="Q553" s="63" t="s">
        <v>897</v>
      </c>
      <c r="R553" s="63" t="str">
        <f>VLOOKUP($Q553,Resultados!$A$1:$B$49,2,FALSE)</f>
        <v>Libertad</v>
      </c>
      <c r="S553" s="63" t="s">
        <v>2657</v>
      </c>
      <c r="T553" s="72" t="str">
        <f>IF(G553=$J$1,"SI","NO")</f>
        <v>NO</v>
      </c>
      <c r="U553" s="72"/>
      <c r="V553" s="7" t="str">
        <f ca="1">IF(color_Celda(E553)=12106214,"ROSA",IF(color_Celda(E553)=65535,"AMARILLO",IF(color_Celda(E553)=5296274,"VERDE",IF(color_Celda(E553)=16777215,"BLANCO","NO SE"))))</f>
        <v>ROSA</v>
      </c>
      <c r="W553" s="63" t="s">
        <v>1777</v>
      </c>
      <c r="X553" s="63"/>
      <c r="Y553" s="63"/>
      <c r="Z553" s="118" t="s">
        <v>770</v>
      </c>
      <c r="AA553" s="118" t="s">
        <v>743</v>
      </c>
      <c r="AB553" s="118" t="s">
        <v>1173</v>
      </c>
      <c r="AC553" s="324"/>
    </row>
    <row r="554" spans="1:29" ht="60" customHeight="1">
      <c r="A554" s="63">
        <v>555</v>
      </c>
      <c r="B554" s="65">
        <v>45163</v>
      </c>
      <c r="C554" s="70">
        <v>0.33333333333333331</v>
      </c>
      <c r="D554" s="63" t="s">
        <v>2475</v>
      </c>
      <c r="E554" s="64" t="s">
        <v>2605</v>
      </c>
      <c r="F554" s="63">
        <v>6</v>
      </c>
      <c r="G554" s="63" t="s">
        <v>1434</v>
      </c>
      <c r="H554" s="208">
        <v>45174</v>
      </c>
      <c r="I554" s="65" t="s">
        <v>73</v>
      </c>
      <c r="J554" s="65" t="s">
        <v>35</v>
      </c>
      <c r="K554" s="63">
        <f>IFERROR(VLOOKUP(J554,Jueces!$A$1:$B$11,2,FALSE),"")</f>
        <v>3</v>
      </c>
      <c r="L554" s="63" t="s">
        <v>792</v>
      </c>
      <c r="M554" s="63" t="s">
        <v>2201</v>
      </c>
      <c r="N554" s="63" t="s">
        <v>2586</v>
      </c>
      <c r="O554" s="63" t="str">
        <f ca="1">IF(H554&lt;&gt;"",IF(H554&lt;=TODAY(),"SI","NO"),"LIMBO")</f>
        <v>SI</v>
      </c>
      <c r="P554" s="63" t="str">
        <f>IF($P$1=H554,"DIASOL", "DIANOSOL")</f>
        <v>DIANOSOL</v>
      </c>
      <c r="Q554" s="63" t="s">
        <v>902</v>
      </c>
      <c r="R554" s="63" t="str">
        <f>VLOOKUP($Q554,Resultados!$A$1:$B$49,2,FALSE)</f>
        <v>Juicio Abreviado</v>
      </c>
      <c r="S554" s="63" t="s">
        <v>1119</v>
      </c>
      <c r="T554" s="72" t="str">
        <f>IF(G554=$J$1,"SI","NO")</f>
        <v>NO</v>
      </c>
      <c r="U554" s="72"/>
      <c r="V554" s="7" t="str">
        <f ca="1">IF(color_Celda(E554)=12106214,"ROSA",IF(color_Celda(E554)=65535,"AMARILLO",IF(color_Celda(E554)=5296274,"VERDE",IF(color_Celda(E554)=16777215,"BLANCO","NO SE"))))</f>
        <v>ROSA</v>
      </c>
      <c r="W554" s="70">
        <v>0.37291666666666662</v>
      </c>
      <c r="X554" s="63" t="s">
        <v>2587</v>
      </c>
      <c r="Y554" s="63"/>
      <c r="Z554" s="118" t="s">
        <v>1038</v>
      </c>
      <c r="AA554" s="118" t="s">
        <v>1167</v>
      </c>
      <c r="AB554" s="118" t="s">
        <v>1172</v>
      </c>
      <c r="AC554" s="324"/>
    </row>
    <row r="555" spans="1:29" ht="60" customHeight="1">
      <c r="A555" s="63">
        <v>558</v>
      </c>
      <c r="B555" s="65">
        <v>45163</v>
      </c>
      <c r="C555" s="70">
        <v>0.4861111111111111</v>
      </c>
      <c r="D555" s="63" t="s">
        <v>2478</v>
      </c>
      <c r="E555" s="64" t="s">
        <v>2601</v>
      </c>
      <c r="F555" s="63">
        <v>7</v>
      </c>
      <c r="G555" s="63" t="s">
        <v>29</v>
      </c>
      <c r="H555" s="208">
        <v>45174</v>
      </c>
      <c r="I555" s="65" t="s">
        <v>73</v>
      </c>
      <c r="J555" s="65" t="s">
        <v>1217</v>
      </c>
      <c r="K555" s="63">
        <f>IFERROR(VLOOKUP(J555,Jueces!$A$1:$B$11,2,FALSE),"")</f>
        <v>7</v>
      </c>
      <c r="L555" s="63" t="s">
        <v>569</v>
      </c>
      <c r="M555" s="63" t="s">
        <v>782</v>
      </c>
      <c r="N555" s="63" t="s">
        <v>2479</v>
      </c>
      <c r="O555" s="63" t="str">
        <f ca="1">IF(H555&lt;&gt;"",IF(H555&lt;=TODAY(),"SI","NO"),"LIMBO")</f>
        <v>SI</v>
      </c>
      <c r="P555" s="63" t="str">
        <f>IF($P$1=H555,"DIASOL", "DIANOSOL")</f>
        <v>DIANOSOL</v>
      </c>
      <c r="Q555" s="63" t="s">
        <v>151</v>
      </c>
      <c r="R555" s="63" t="str">
        <f>VLOOKUP($Q555,Resultados!$A$1:$B$49,2,FALSE)</f>
        <v>Prisión Preventiva</v>
      </c>
      <c r="S555" s="63" t="s">
        <v>1231</v>
      </c>
      <c r="T555" s="72" t="str">
        <f>IF(G555=$J$1,"SI","NO")</f>
        <v>NO</v>
      </c>
      <c r="U555" s="72"/>
      <c r="V555" s="7" t="str">
        <f ca="1">IF(color_Celda(E555)=12106214,"ROSA",IF(color_Celda(E555)=65535,"AMARILLO",IF(color_Celda(E555)=5296274,"VERDE",IF(color_Celda(E555)=16777215,"BLANCO","NO SE"))))</f>
        <v>ROSA</v>
      </c>
      <c r="W555" s="63" t="s">
        <v>1062</v>
      </c>
      <c r="X555" s="63" t="s">
        <v>2363</v>
      </c>
      <c r="Y555" s="63"/>
      <c r="Z555" s="118" t="s">
        <v>1039</v>
      </c>
      <c r="AA555" s="118" t="s">
        <v>1165</v>
      </c>
      <c r="AB555" s="118" t="s">
        <v>1170</v>
      </c>
      <c r="AC555" s="324"/>
    </row>
    <row r="556" spans="1:29" ht="60" customHeight="1">
      <c r="A556" s="63">
        <v>567</v>
      </c>
      <c r="B556" s="65">
        <v>45167</v>
      </c>
      <c r="C556" s="63" t="s">
        <v>987</v>
      </c>
      <c r="D556" s="63" t="s">
        <v>2501</v>
      </c>
      <c r="E556" s="64" t="s">
        <v>2602</v>
      </c>
      <c r="F556" s="63">
        <v>5</v>
      </c>
      <c r="G556" s="63" t="s">
        <v>568</v>
      </c>
      <c r="H556" s="208">
        <v>45174</v>
      </c>
      <c r="I556" s="65" t="s">
        <v>73</v>
      </c>
      <c r="J556" s="65" t="s">
        <v>1218</v>
      </c>
      <c r="K556" s="63" t="s">
        <v>1512</v>
      </c>
      <c r="L556" s="63" t="s">
        <v>569</v>
      </c>
      <c r="M556" s="63" t="s">
        <v>2107</v>
      </c>
      <c r="N556" s="63" t="s">
        <v>2502</v>
      </c>
      <c r="O556" s="63" t="str">
        <f ca="1">IF(H556&lt;&gt;"",IF(H556&lt;=TODAY(),"SI","NO"),"LIMBO")</f>
        <v>SI</v>
      </c>
      <c r="P556" s="63" t="str">
        <f>IF($P$1=H556,"DIASOL", "DIANOSOL")</f>
        <v>DIANOSOL</v>
      </c>
      <c r="Q556" s="63" t="s">
        <v>151</v>
      </c>
      <c r="R556" s="63" t="str">
        <f>VLOOKUP($Q556,Resultados!$A$1:$B$49,2,FALSE)</f>
        <v>Prisión Preventiva</v>
      </c>
      <c r="S556" s="63" t="s">
        <v>1006</v>
      </c>
      <c r="T556" s="72" t="str">
        <f>IF(G556=$J$1,"SI","NO")</f>
        <v>NO</v>
      </c>
      <c r="U556" s="72"/>
      <c r="V556" s="7" t="str">
        <f ca="1">IF(color_Celda(E556)=12106214,"ROSA",IF(color_Celda(E556)=65535,"AMARILLO",IF(color_Celda(E556)=5296274,"VERDE",IF(color_Celda(E556)=16777215,"BLANCO","NO SE"))))</f>
        <v>ROSA</v>
      </c>
      <c r="W556" s="63" t="s">
        <v>1234</v>
      </c>
      <c r="X556" s="63"/>
      <c r="Y556" s="63"/>
      <c r="Z556" s="118" t="s">
        <v>748</v>
      </c>
      <c r="AA556" s="118" t="s">
        <v>1165</v>
      </c>
      <c r="AB556" s="118" t="s">
        <v>1169</v>
      </c>
      <c r="AC556" s="324"/>
    </row>
    <row r="557" spans="1:29" ht="60" customHeight="1">
      <c r="A557" s="63">
        <v>557</v>
      </c>
      <c r="B557" s="65">
        <v>45163</v>
      </c>
      <c r="C557" s="70">
        <v>0.49444444444444446</v>
      </c>
      <c r="D557" s="63" t="s">
        <v>2477</v>
      </c>
      <c r="E557" s="64" t="s">
        <v>2604</v>
      </c>
      <c r="F557" s="63">
        <v>7</v>
      </c>
      <c r="G557" s="63" t="s">
        <v>1435</v>
      </c>
      <c r="H557" s="208">
        <v>45174</v>
      </c>
      <c r="I557" s="65" t="s">
        <v>1083</v>
      </c>
      <c r="J557" s="65" t="s">
        <v>1221</v>
      </c>
      <c r="K557" s="63">
        <f>IFERROR(VLOOKUP(J557,Jueces!$A$1:$B$11,2,FALSE),"")</f>
        <v>6</v>
      </c>
      <c r="L557" s="63" t="s">
        <v>806</v>
      </c>
      <c r="M557" s="63" t="s">
        <v>723</v>
      </c>
      <c r="N557" s="63" t="s">
        <v>577</v>
      </c>
      <c r="O557" s="63" t="str">
        <f ca="1">IF(H557&lt;&gt;"",IF(H557&lt;=TODAY(),"SI","NO"),"LIMBO")</f>
        <v>SI</v>
      </c>
      <c r="P557" s="63" t="str">
        <f>IF($P$1=H557,"DIASOL", "DIANOSOL")</f>
        <v>DIANOSOL</v>
      </c>
      <c r="Q557" s="63" t="s">
        <v>151</v>
      </c>
      <c r="R557" s="63" t="str">
        <f>VLOOKUP($Q557,Resultados!$A$1:$B$49,2,FALSE)</f>
        <v>Prisión Preventiva</v>
      </c>
      <c r="S557" s="63" t="s">
        <v>1227</v>
      </c>
      <c r="T557" s="72" t="str">
        <f>IF(G557=$J$1,"SI","NO")</f>
        <v>SI</v>
      </c>
      <c r="U557" s="72"/>
      <c r="V557" s="7" t="str">
        <f ca="1">IF(color_Celda(E557)=12106214,"ROSA",IF(color_Celda(E557)=65535,"AMARILLO",IF(color_Celda(E557)=5296274,"VERDE",IF(color_Celda(E557)=16777215,"BLANCO","NO SE"))))</f>
        <v>ROSA</v>
      </c>
      <c r="W557" s="63" t="s">
        <v>1007</v>
      </c>
      <c r="X557" s="63"/>
      <c r="Y557" s="63"/>
      <c r="Z557" s="118" t="s">
        <v>770</v>
      </c>
      <c r="AA557" s="118" t="s">
        <v>743</v>
      </c>
      <c r="AB557" s="118" t="s">
        <v>1173</v>
      </c>
      <c r="AC557" s="324"/>
    </row>
    <row r="558" spans="1:29" ht="60" customHeight="1">
      <c r="A558" s="63">
        <v>551</v>
      </c>
      <c r="B558" s="65">
        <v>45168</v>
      </c>
      <c r="C558" s="70">
        <v>0.4597222222222222</v>
      </c>
      <c r="D558" s="63" t="s">
        <v>2458</v>
      </c>
      <c r="E558" s="64" t="s">
        <v>2603</v>
      </c>
      <c r="F558" s="63">
        <v>7</v>
      </c>
      <c r="G558" s="63" t="s">
        <v>1433</v>
      </c>
      <c r="H558" s="208">
        <v>45174</v>
      </c>
      <c r="I558" s="65" t="s">
        <v>1083</v>
      </c>
      <c r="J558" s="65" t="s">
        <v>1218</v>
      </c>
      <c r="K558" s="63" t="s">
        <v>1512</v>
      </c>
      <c r="L558" s="63" t="s">
        <v>799</v>
      </c>
      <c r="M558" s="63" t="s">
        <v>725</v>
      </c>
      <c r="N558" s="63" t="s">
        <v>577</v>
      </c>
      <c r="O558" s="63" t="str">
        <f ca="1">IF(H558&lt;&gt;"",IF(H558&lt;=TODAY(),"SI","NO"),"LIMBO")</f>
        <v>SI</v>
      </c>
      <c r="P558" s="63" t="str">
        <f>IF($P$1=H558,"DIASOL", "DIANOSOL")</f>
        <v>DIANOSOL</v>
      </c>
      <c r="Q558" s="63" t="s">
        <v>151</v>
      </c>
      <c r="R558" s="63" t="str">
        <f>VLOOKUP($Q558,Resultados!$A$1:$B$49,2,FALSE)</f>
        <v>Prisión Preventiva</v>
      </c>
      <c r="S558" s="63" t="s">
        <v>2595</v>
      </c>
      <c r="T558" s="72" t="str">
        <f>IF(G558=$J$1,"SI","NO")</f>
        <v>NO</v>
      </c>
      <c r="U558" s="72"/>
      <c r="V558" s="7" t="str">
        <f ca="1">IF(color_Celda(E558)=12106214,"ROSA",IF(color_Celda(E558)=65535,"AMARILLO",IF(color_Celda(E558)=5296274,"VERDE",IF(color_Celda(E558)=16777215,"BLANCO","NO SE"))))</f>
        <v>ROSA</v>
      </c>
      <c r="W558" s="63" t="s">
        <v>1367</v>
      </c>
      <c r="X558" s="63"/>
      <c r="Y558" s="63"/>
      <c r="Z558" s="118" t="s">
        <v>743</v>
      </c>
      <c r="AA558" s="118" t="s">
        <v>1165</v>
      </c>
      <c r="AB558" s="118" t="s">
        <v>1171</v>
      </c>
      <c r="AC558" s="324"/>
    </row>
    <row r="559" spans="1:29" ht="60" customHeight="1">
      <c r="A559" s="63">
        <v>528</v>
      </c>
      <c r="B559" s="65">
        <v>45156</v>
      </c>
      <c r="C559" s="70">
        <v>0.52569444444444446</v>
      </c>
      <c r="D559" s="63" t="s">
        <v>2380</v>
      </c>
      <c r="E559" s="64" t="s">
        <v>2606</v>
      </c>
      <c r="F559" s="63">
        <v>6</v>
      </c>
      <c r="G559" s="63" t="s">
        <v>29</v>
      </c>
      <c r="H559" s="208">
        <v>45175</v>
      </c>
      <c r="I559" s="65" t="s">
        <v>73</v>
      </c>
      <c r="J559" s="65" t="s">
        <v>35</v>
      </c>
      <c r="K559" s="63">
        <f>IFERROR(VLOOKUP(J559,Jueces!$A$1:$B$11,2,FALSE),"")</f>
        <v>3</v>
      </c>
      <c r="L559" s="63" t="s">
        <v>1145</v>
      </c>
      <c r="M559" s="63" t="s">
        <v>2466</v>
      </c>
      <c r="N559" s="63" t="s">
        <v>2465</v>
      </c>
      <c r="O559" s="63" t="str">
        <f ca="1">IF(H559&lt;&gt;"",IF(H559&lt;=TODAY(),"SI","NO"),"LIMBO")</f>
        <v>SI</v>
      </c>
      <c r="P559" s="63" t="str">
        <f>IF($P$1=H559,"DIASOL", "DIANOSOL")</f>
        <v>DIANOSOL</v>
      </c>
      <c r="Q559" s="63" t="s">
        <v>151</v>
      </c>
      <c r="R559" s="63" t="str">
        <f>VLOOKUP($Q559,Resultados!$A$1:$B$49,2,FALSE)</f>
        <v>Prisión Preventiva</v>
      </c>
      <c r="S559" s="63" t="s">
        <v>1083</v>
      </c>
      <c r="T559" s="72" t="str">
        <f>IF(G559=$J$1,"SI","NO")</f>
        <v>NO</v>
      </c>
      <c r="U559" s="72"/>
      <c r="V559" s="7" t="str">
        <f ca="1">IF(color_Celda(E559)=12106214,"ROSA",IF(color_Celda(E559)=65535,"AMARILLO",IF(color_Celda(E559)=5296274,"VERDE",IF(color_Celda(E559)=16777215,"BLANCO","NO SE"))))</f>
        <v>ROSA</v>
      </c>
      <c r="W559" s="63" t="s">
        <v>1185</v>
      </c>
      <c r="X559" s="63" t="s">
        <v>2615</v>
      </c>
      <c r="Y559" s="63"/>
      <c r="Z559" s="118" t="s">
        <v>1038</v>
      </c>
      <c r="AA559" s="118" t="s">
        <v>743</v>
      </c>
      <c r="AB559" s="118" t="s">
        <v>1169</v>
      </c>
      <c r="AC559" s="324"/>
    </row>
    <row r="560" spans="1:29" ht="60" customHeight="1">
      <c r="A560" s="63">
        <v>553</v>
      </c>
      <c r="B560" s="65">
        <v>45163</v>
      </c>
      <c r="C560" s="70">
        <v>0.39166666666666666</v>
      </c>
      <c r="D560" s="63" t="s">
        <v>2472</v>
      </c>
      <c r="E560" s="64" t="s">
        <v>2608</v>
      </c>
      <c r="F560" s="63">
        <v>4</v>
      </c>
      <c r="G560" s="63" t="s">
        <v>1433</v>
      </c>
      <c r="H560" s="208">
        <v>45175</v>
      </c>
      <c r="I560" s="65" t="s">
        <v>73</v>
      </c>
      <c r="J560" s="65" t="s">
        <v>1217</v>
      </c>
      <c r="K560" s="63">
        <f>IFERROR(VLOOKUP(J560,Jueces!$A$1:$B$11,2,FALSE),"")</f>
        <v>7</v>
      </c>
      <c r="L560" s="63" t="s">
        <v>569</v>
      </c>
      <c r="M560" s="63" t="s">
        <v>2201</v>
      </c>
      <c r="N560" s="63" t="s">
        <v>2630</v>
      </c>
      <c r="O560" s="63" t="str">
        <f ca="1">IF(H560&lt;&gt;"",IF(H560&lt;=TODAY(),"SI","NO"),"LIMBO")</f>
        <v>SI</v>
      </c>
      <c r="P560" s="63" t="str">
        <f>IF($P$1=H560,"DIASOL", "DIANOSOL")</f>
        <v>DIANOSOL</v>
      </c>
      <c r="Q560" s="63" t="s">
        <v>151</v>
      </c>
      <c r="R560" s="63" t="str">
        <f>VLOOKUP($Q560,Resultados!$A$1:$B$49,2,FALSE)</f>
        <v>Prisión Preventiva</v>
      </c>
      <c r="S560" s="70">
        <v>0.3611111111111111</v>
      </c>
      <c r="T560" s="72" t="str">
        <f>IF(G560=$J$1,"SI","NO")</f>
        <v>NO</v>
      </c>
      <c r="U560" s="72"/>
      <c r="V560" s="7" t="str">
        <f ca="1">IF(color_Celda(E560)=12106214,"ROSA",IF(color_Celda(E560)=65535,"AMARILLO",IF(color_Celda(E560)=5296274,"VERDE",IF(color_Celda(E560)=16777215,"BLANCO","NO SE"))))</f>
        <v>ROSA</v>
      </c>
      <c r="W560" s="70">
        <v>0.40625</v>
      </c>
      <c r="X560" s="63" t="s">
        <v>2631</v>
      </c>
      <c r="Y560" s="63"/>
      <c r="Z560" s="118" t="s">
        <v>1039</v>
      </c>
      <c r="AA560" s="118" t="s">
        <v>743</v>
      </c>
      <c r="AB560" s="118" t="s">
        <v>1171</v>
      </c>
      <c r="AC560" s="324"/>
    </row>
    <row r="561" spans="1:29" ht="60" customHeight="1">
      <c r="A561" s="63">
        <v>562</v>
      </c>
      <c r="B561" s="65">
        <v>45173</v>
      </c>
      <c r="C561" s="70">
        <v>0.43472222222222223</v>
      </c>
      <c r="D561" s="63" t="s">
        <v>2492</v>
      </c>
      <c r="E561" s="64" t="s">
        <v>2607</v>
      </c>
      <c r="F561" s="63">
        <v>7</v>
      </c>
      <c r="G561" s="63" t="s">
        <v>43</v>
      </c>
      <c r="H561" s="208">
        <v>45175</v>
      </c>
      <c r="I561" s="65" t="s">
        <v>73</v>
      </c>
      <c r="J561" s="65" t="s">
        <v>33</v>
      </c>
      <c r="K561" s="63">
        <f>IFERROR(VLOOKUP(J561,Jueces!$A$1:$B$11,2,FALSE),"")</f>
        <v>4</v>
      </c>
      <c r="L561" s="63" t="s">
        <v>810</v>
      </c>
      <c r="M561" s="63" t="s">
        <v>723</v>
      </c>
      <c r="N561" s="63" t="s">
        <v>577</v>
      </c>
      <c r="O561" s="63" t="str">
        <f ca="1">IF(H561&lt;&gt;"",IF(H561&lt;=TODAY(),"SI","NO"),"LIMBO")</f>
        <v>SI</v>
      </c>
      <c r="P561" s="63" t="str">
        <f>IF($P$1=H561,"DIASOL", "DIANOSOL")</f>
        <v>DIANOSOL</v>
      </c>
      <c r="Q561" s="63" t="s">
        <v>151</v>
      </c>
      <c r="R561" s="63" t="str">
        <f>VLOOKUP($Q561,Resultados!$A$1:$B$49,2,FALSE)</f>
        <v>Prisión Preventiva</v>
      </c>
      <c r="S561" s="63" t="s">
        <v>1421</v>
      </c>
      <c r="T561" s="72" t="str">
        <f>IF(G561=$J$1,"SI","NO")</f>
        <v>NO</v>
      </c>
      <c r="U561" s="72"/>
      <c r="V561" s="7" t="str">
        <f ca="1">IF(color_Celda(E561)=12106214,"ROSA",IF(color_Celda(E561)=65535,"AMARILLO",IF(color_Celda(E561)=5296274,"VERDE",IF(color_Celda(E561)=16777215,"BLANCO","NO SE"))))</f>
        <v>ROSA</v>
      </c>
      <c r="W561" s="63" t="s">
        <v>1489</v>
      </c>
      <c r="X561" s="63"/>
      <c r="Y561" s="63"/>
      <c r="Z561" s="118" t="s">
        <v>748</v>
      </c>
      <c r="AA561" s="118" t="s">
        <v>1167</v>
      </c>
      <c r="AB561" s="118" t="s">
        <v>1172</v>
      </c>
      <c r="AC561" s="324"/>
    </row>
    <row r="562" spans="1:29" ht="60" customHeight="1">
      <c r="A562" s="63">
        <v>560</v>
      </c>
      <c r="B562" s="65">
        <v>45167</v>
      </c>
      <c r="C562" s="70">
        <v>0.37986111111111115</v>
      </c>
      <c r="D562" s="63" t="s">
        <v>2490</v>
      </c>
      <c r="E562" s="64" t="s">
        <v>2609</v>
      </c>
      <c r="F562" s="63">
        <v>7</v>
      </c>
      <c r="G562" s="63" t="s">
        <v>283</v>
      </c>
      <c r="H562" s="208">
        <v>45175</v>
      </c>
      <c r="I562" s="65" t="s">
        <v>1083</v>
      </c>
      <c r="J562" s="65" t="s">
        <v>1218</v>
      </c>
      <c r="K562" s="63" t="s">
        <v>1916</v>
      </c>
      <c r="L562" s="63" t="s">
        <v>789</v>
      </c>
      <c r="M562" s="63" t="s">
        <v>723</v>
      </c>
      <c r="N562" s="63" t="s">
        <v>2614</v>
      </c>
      <c r="O562" s="63" t="str">
        <f ca="1">IF(H562&lt;&gt;"",IF(H562&lt;=TODAY(),"SI","NO"),"LIMBO")</f>
        <v>SI</v>
      </c>
      <c r="P562" s="63" t="str">
        <f>IF($P$1=H562,"DIASOL", "DIANOSOL")</f>
        <v>DIANOSOL</v>
      </c>
      <c r="Q562" s="63" t="s">
        <v>903</v>
      </c>
      <c r="R562" s="63" t="str">
        <f>VLOOKUP($Q562,Resultados!$A$1:$B$49,2,FALSE)</f>
        <v>Juicio Abreviado</v>
      </c>
      <c r="S562" s="63" t="s">
        <v>1234</v>
      </c>
      <c r="T562" s="72" t="str">
        <f>IF(G562=$J$1,"SI","NO")</f>
        <v>NO</v>
      </c>
      <c r="U562" s="72"/>
      <c r="V562" s="7" t="str">
        <f ca="1">IF(color_Celda(E562)=12106214,"ROSA",IF(color_Celda(E562)=65535,"AMARILLO",IF(color_Celda(E562)=5296274,"VERDE",IF(color_Celda(E562)=16777215,"BLANCO","NO SE"))))</f>
        <v>ROSA</v>
      </c>
      <c r="W562" s="63" t="s">
        <v>1007</v>
      </c>
      <c r="X562" s="63"/>
      <c r="Y562" s="63"/>
      <c r="Z562" s="118" t="s">
        <v>743</v>
      </c>
      <c r="AA562" s="118" t="s">
        <v>1165</v>
      </c>
      <c r="AB562" s="118" t="s">
        <v>1170</v>
      </c>
      <c r="AC562" s="324"/>
    </row>
    <row r="563" spans="1:29" ht="60" customHeight="1">
      <c r="A563" s="63">
        <v>563</v>
      </c>
      <c r="B563" s="65">
        <v>45167</v>
      </c>
      <c r="C563" s="70">
        <v>0.43263888888888885</v>
      </c>
      <c r="D563" s="63" t="s">
        <v>2493</v>
      </c>
      <c r="E563" s="64" t="s">
        <v>2610</v>
      </c>
      <c r="F563" s="63">
        <v>6</v>
      </c>
      <c r="G563" s="63" t="s">
        <v>1434</v>
      </c>
      <c r="H563" s="208">
        <v>45175</v>
      </c>
      <c r="I563" s="65" t="s">
        <v>1083</v>
      </c>
      <c r="J563" s="65" t="s">
        <v>1217</v>
      </c>
      <c r="K563" s="63">
        <f>IFERROR(VLOOKUP(J563,Jueces!$A$1:$B$11,2,FALSE),"")</f>
        <v>7</v>
      </c>
      <c r="L563" s="63" t="s">
        <v>806</v>
      </c>
      <c r="M563" s="63" t="s">
        <v>725</v>
      </c>
      <c r="N563" s="63" t="s">
        <v>2623</v>
      </c>
      <c r="O563" s="63" t="str">
        <f ca="1">IF(H563&lt;&gt;"",IF(H563&lt;=TODAY(),"SI","NO"),"LIMBO")</f>
        <v>SI</v>
      </c>
      <c r="P563" s="63" t="str">
        <f>IF($P$1=H563,"DIASOL", "DIANOSOL")</f>
        <v>DIANOSOL</v>
      </c>
      <c r="Q563" s="63" t="s">
        <v>902</v>
      </c>
      <c r="R563" s="63" t="str">
        <f>VLOOKUP($Q563,Resultados!$A$1:$B$49,2,FALSE)</f>
        <v>Juicio Abreviado</v>
      </c>
      <c r="S563" s="63" t="s">
        <v>1367</v>
      </c>
      <c r="T563" s="72" t="str">
        <f>IF(G563=$J$1,"SI","NO")</f>
        <v>NO</v>
      </c>
      <c r="U563" s="72"/>
      <c r="V563" s="7" t="str">
        <f ca="1">IF(color_Celda(E563)=12106214,"ROSA",IF(color_Celda(E563)=65535,"AMARILLO",IF(color_Celda(E563)=5296274,"VERDE",IF(color_Celda(E563)=16777215,"BLANCO","NO SE"))))</f>
        <v>ROSA</v>
      </c>
      <c r="W563" s="63" t="s">
        <v>2622</v>
      </c>
      <c r="X563" s="63"/>
      <c r="Y563" s="63"/>
      <c r="Z563" s="118" t="s">
        <v>770</v>
      </c>
      <c r="AA563" s="118" t="s">
        <v>1165</v>
      </c>
      <c r="AB563" s="118" t="s">
        <v>1169</v>
      </c>
      <c r="AC563" s="324"/>
    </row>
    <row r="564" spans="1:29" ht="60" customHeight="1">
      <c r="A564" s="63">
        <v>543</v>
      </c>
      <c r="B564" s="65">
        <v>45161</v>
      </c>
      <c r="C564" s="70">
        <v>0.52500000000000002</v>
      </c>
      <c r="D564" s="63" t="s">
        <v>2431</v>
      </c>
      <c r="E564" s="64" t="s">
        <v>2632</v>
      </c>
      <c r="F564" s="63">
        <v>7</v>
      </c>
      <c r="G564" s="63" t="s">
        <v>43</v>
      </c>
      <c r="H564" s="208">
        <v>45176</v>
      </c>
      <c r="I564" s="65" t="s">
        <v>73</v>
      </c>
      <c r="J564" s="65" t="s">
        <v>31</v>
      </c>
      <c r="K564" s="63">
        <f>IFERROR(VLOOKUP(J564,Jueces!$A$1:$B$11,2,FALSE),"")</f>
        <v>2</v>
      </c>
      <c r="L564" s="257" t="s">
        <v>2412</v>
      </c>
      <c r="M564" s="63" t="s">
        <v>723</v>
      </c>
      <c r="N564" s="63" t="s">
        <v>1744</v>
      </c>
      <c r="O564" s="63" t="str">
        <f ca="1">IF(H564&lt;&gt;"",IF(H564&lt;=TODAY(),"SI","NO"),"LIMBO")</f>
        <v>SI</v>
      </c>
      <c r="P564" s="63" t="str">
        <f>IF($P$1=H564,"DIASOL", "DIANOSOL")</f>
        <v>DIANOSOL</v>
      </c>
      <c r="Q564" s="63" t="s">
        <v>151</v>
      </c>
      <c r="R564" s="63" t="str">
        <f>VLOOKUP($Q564,Resultados!$A$1:$B$49,2,FALSE)</f>
        <v>Prisión Preventiva</v>
      </c>
      <c r="S564" s="70">
        <v>0.35694444444444445</v>
      </c>
      <c r="T564" s="72" t="str">
        <f>IF(G564=$J$1,"SI","NO")</f>
        <v>NO</v>
      </c>
      <c r="U564" s="72"/>
      <c r="V564" s="7" t="str">
        <f ca="1">IF(color_Celda(E564)=12106214,"ROSA",IF(color_Celda(E564)=65535,"AMARILLO",IF(color_Celda(E564)=5296274,"VERDE",IF(color_Celda(E564)=16777215,"BLANCO","NO SE"))))</f>
        <v>ROSA</v>
      </c>
      <c r="W564" s="70">
        <v>0.37777777777777777</v>
      </c>
      <c r="X564" s="577" t="s">
        <v>2641</v>
      </c>
      <c r="Y564" s="63"/>
      <c r="Z564" s="118" t="s">
        <v>1038</v>
      </c>
      <c r="AA564" s="118" t="s">
        <v>1167</v>
      </c>
      <c r="AB564" s="118" t="s">
        <v>1171</v>
      </c>
      <c r="AC564" s="324"/>
    </row>
    <row r="565" spans="1:29" ht="60" customHeight="1">
      <c r="A565" s="63">
        <v>574</v>
      </c>
      <c r="B565" s="65">
        <v>45168</v>
      </c>
      <c r="C565" s="70">
        <v>0.36319444444444443</v>
      </c>
      <c r="D565" s="63" t="s">
        <v>2514</v>
      </c>
      <c r="E565" s="64" t="s">
        <v>2633</v>
      </c>
      <c r="F565" s="63">
        <v>6</v>
      </c>
      <c r="G565" s="63" t="s">
        <v>568</v>
      </c>
      <c r="H565" s="208">
        <v>45176</v>
      </c>
      <c r="I565" s="65" t="s">
        <v>73</v>
      </c>
      <c r="J565" s="65" t="s">
        <v>1218</v>
      </c>
      <c r="K565" s="63" t="s">
        <v>1321</v>
      </c>
      <c r="L565" s="63" t="s">
        <v>812</v>
      </c>
      <c r="M565" s="63" t="s">
        <v>725</v>
      </c>
      <c r="N565" s="63" t="s">
        <v>2650</v>
      </c>
      <c r="O565" s="63" t="str">
        <f ca="1">IF(H565&lt;&gt;"",IF(H565&lt;=TODAY(),"SI","NO"),"LIMBO")</f>
        <v>SI</v>
      </c>
      <c r="P565" s="63" t="str">
        <f>IF($P$1=H565,"DIASOL", "DIANOSOL")</f>
        <v>DIANOSOL</v>
      </c>
      <c r="Q565" s="63" t="s">
        <v>902</v>
      </c>
      <c r="R565" s="63" t="str">
        <f>VLOOKUP($Q565,Resultados!$A$1:$B$49,2,FALSE)</f>
        <v>Juicio Abreviado</v>
      </c>
      <c r="S565" s="70">
        <v>0.3576388888888889</v>
      </c>
      <c r="T565" s="72" t="str">
        <f>IF(G565=$J$1,"SI","NO")</f>
        <v>NO</v>
      </c>
      <c r="U565" s="72"/>
      <c r="V565" s="7" t="str">
        <f ca="1">IF(color_Celda(E565)=12106214,"ROSA",IF(color_Celda(E565)=65535,"AMARILLO",IF(color_Celda(E565)=5296274,"VERDE",IF(color_Celda(E565)=16777215,"BLANCO","NO SE"))))</f>
        <v>ROSA</v>
      </c>
      <c r="W565" s="70">
        <v>0.36527777777777781</v>
      </c>
      <c r="X565" s="259" t="s">
        <v>2651</v>
      </c>
      <c r="Y565" s="63"/>
      <c r="Z565" s="118" t="s">
        <v>1039</v>
      </c>
      <c r="AA565" s="268" t="s">
        <v>1165</v>
      </c>
      <c r="AB565" s="118" t="s">
        <v>1169</v>
      </c>
      <c r="AC565" s="324"/>
    </row>
    <row r="566" spans="1:29" ht="60" customHeight="1">
      <c r="A566" s="63">
        <v>576</v>
      </c>
      <c r="B566" s="65">
        <v>45169</v>
      </c>
      <c r="C566" s="70">
        <v>0.33333333333333331</v>
      </c>
      <c r="D566" s="63" t="s">
        <v>2534</v>
      </c>
      <c r="E566" s="64" t="s">
        <v>2634</v>
      </c>
      <c r="F566" s="63">
        <v>7</v>
      </c>
      <c r="G566" s="63" t="s">
        <v>283</v>
      </c>
      <c r="H566" s="208">
        <v>45176</v>
      </c>
      <c r="I566" s="65" t="s">
        <v>73</v>
      </c>
      <c r="J566" s="65" t="s">
        <v>33</v>
      </c>
      <c r="K566" s="63">
        <f>IFERROR(VLOOKUP(J566,Jueces!$A$1:$B$11,2,FALSE),"")</f>
        <v>4</v>
      </c>
      <c r="L566" s="63" t="s">
        <v>805</v>
      </c>
      <c r="M566" s="63" t="s">
        <v>767</v>
      </c>
      <c r="N566" s="63" t="s">
        <v>2648</v>
      </c>
      <c r="O566" s="63" t="str">
        <f ca="1">IF(H566&lt;&gt;"",IF(H566&lt;=TODAY(),"SI","NO"),"LIMBO")</f>
        <v>SI</v>
      </c>
      <c r="P566" s="63" t="str">
        <f>IF($P$1=H566,"DIASOL", "DIANOSOL")</f>
        <v>DIANOSOL</v>
      </c>
      <c r="Q566" s="63" t="s">
        <v>902</v>
      </c>
      <c r="R566" s="63" t="str">
        <f>VLOOKUP($Q566,Resultados!$A$1:$B$49,2,FALSE)</f>
        <v>Juicio Abreviado</v>
      </c>
      <c r="S566" s="70">
        <v>0.35833333333333334</v>
      </c>
      <c r="T566" s="72" t="str">
        <f>IF(G566=$J$1,"SI","NO")</f>
        <v>NO</v>
      </c>
      <c r="U566" s="72"/>
      <c r="V566" s="7" t="str">
        <f ca="1">IF(color_Celda(E566)=12106214,"ROSA",IF(color_Celda(E566)=65535,"AMARILLO",IF(color_Celda(E566)=5296274,"VERDE",IF(color_Celda(E566)=16777215,"BLANCO","NO SE"))))</f>
        <v>ROSA</v>
      </c>
      <c r="W566" s="70">
        <v>0.36805555555555558</v>
      </c>
      <c r="X566" s="259" t="s">
        <v>2649</v>
      </c>
      <c r="Y566" s="63"/>
      <c r="Z566" s="118" t="s">
        <v>748</v>
      </c>
      <c r="AA566" s="118" t="s">
        <v>743</v>
      </c>
      <c r="AB566" s="118" t="s">
        <v>1171</v>
      </c>
      <c r="AC566" s="324"/>
    </row>
    <row r="567" spans="1:29" ht="60" customHeight="1">
      <c r="A567" s="7">
        <v>556</v>
      </c>
      <c r="B567" s="19">
        <v>45162</v>
      </c>
      <c r="C567" s="15">
        <v>0.52916666666666667</v>
      </c>
      <c r="D567" s="7" t="s">
        <v>2476</v>
      </c>
      <c r="E567" s="40" t="s">
        <v>2638</v>
      </c>
      <c r="F567" s="7">
        <v>4</v>
      </c>
      <c r="G567" s="7" t="s">
        <v>1434</v>
      </c>
      <c r="H567" s="297">
        <v>45176</v>
      </c>
      <c r="I567" s="19" t="s">
        <v>1083</v>
      </c>
      <c r="J567" s="19" t="s">
        <v>1216</v>
      </c>
      <c r="K567" s="7" t="s">
        <v>1916</v>
      </c>
      <c r="L567" s="7" t="s">
        <v>797</v>
      </c>
      <c r="M567" s="7" t="s">
        <v>695</v>
      </c>
      <c r="N567" s="7" t="s">
        <v>2647</v>
      </c>
      <c r="O567" s="7" t="str">
        <f ca="1">IF(H567&lt;&gt;"",IF(H567&lt;=TODAY(),"SI","NO"),"LIMBO")</f>
        <v>SI</v>
      </c>
      <c r="P567" s="7" t="str">
        <f>IF($P$1=H567,"DIASOL", "DIANOSOL")</f>
        <v>DIANOSOL</v>
      </c>
      <c r="Q567" s="7" t="s">
        <v>151</v>
      </c>
      <c r="R567" s="7" t="str">
        <f>VLOOKUP($Q567,Resultados!$A$1:$B$49,2,FALSE)</f>
        <v>Prisión Preventiva</v>
      </c>
      <c r="S567" s="15">
        <v>0.37916666666666665</v>
      </c>
      <c r="T567" s="68" t="str">
        <f>IF(G567=$J$1,"SI","NO")</f>
        <v>NO</v>
      </c>
      <c r="U567" s="68"/>
      <c r="V567" s="7" t="str">
        <f ca="1">IF(color_Celda(E567)=12106214,"ROSA",IF(color_Celda(E567)=65535,"AMARILLO",IF(color_Celda(E567)=5296274,"VERDE",IF(color_Celda(E567)=16777215,"BLANCO","NO SE"))))</f>
        <v>ROSA</v>
      </c>
      <c r="W567" s="15">
        <v>0.40416666666666662</v>
      </c>
      <c r="X567" s="7"/>
      <c r="Y567" s="7"/>
      <c r="Z567" s="268" t="s">
        <v>743</v>
      </c>
      <c r="AA567" s="268" t="s">
        <v>743</v>
      </c>
      <c r="AB567" s="268" t="s">
        <v>1172</v>
      </c>
      <c r="AC567" s="324"/>
    </row>
    <row r="568" spans="1:29" ht="60" customHeight="1">
      <c r="A568" s="254">
        <v>565</v>
      </c>
      <c r="B568" s="256">
        <v>45168</v>
      </c>
      <c r="C568" s="654">
        <v>0.4597222222222222</v>
      </c>
      <c r="D568" s="254" t="s">
        <v>2498</v>
      </c>
      <c r="E568" s="255" t="s">
        <v>2635</v>
      </c>
      <c r="F568" s="254">
        <v>6</v>
      </c>
      <c r="G568" s="254" t="s">
        <v>1435</v>
      </c>
      <c r="H568" s="582">
        <v>45176</v>
      </c>
      <c r="I568" s="256" t="s">
        <v>1083</v>
      </c>
      <c r="J568" s="256" t="s">
        <v>1217</v>
      </c>
      <c r="K568" s="254">
        <f>IFERROR(VLOOKUP(J568,Jueces!$A$1:$B$11,2,FALSE),"")</f>
        <v>7</v>
      </c>
      <c r="L568" s="7" t="s">
        <v>799</v>
      </c>
      <c r="M568" s="7" t="s">
        <v>725</v>
      </c>
      <c r="N568" s="254" t="s">
        <v>2646</v>
      </c>
      <c r="O568" s="7" t="str">
        <f ca="1">IF(H568&lt;&gt;"",IF(H568&lt;=TODAY(),"SI","NO"),"LIMBO")</f>
        <v>SI</v>
      </c>
      <c r="P568" s="7" t="str">
        <f>IF($P$1=H568,"DIASOL", "DIANOSOL")</f>
        <v>DIANOSOL</v>
      </c>
      <c r="Q568" s="254" t="s">
        <v>903</v>
      </c>
      <c r="R568" s="7" t="str">
        <f>VLOOKUP($Q568,Resultados!$A$1:$B$49,2,FALSE)</f>
        <v>Juicio Abreviado</v>
      </c>
      <c r="S568" s="654">
        <v>0.39444444444444443</v>
      </c>
      <c r="T568" s="68" t="str">
        <f>IF(G568=$J$1,"SI","NO")</f>
        <v>SI</v>
      </c>
      <c r="U568" s="583"/>
      <c r="V568" s="7" t="str">
        <f ca="1">IF(color_Celda(E568)=12106214,"ROSA",IF(color_Celda(E568)=65535,"AMARILLO",IF(color_Celda(E568)=5296274,"VERDE",IF(color_Celda(E568)=16777215,"BLANCO","NO SE"))))</f>
        <v>ROSA</v>
      </c>
      <c r="W568" s="654">
        <v>0.4152777777777778</v>
      </c>
      <c r="X568" s="254" t="s">
        <v>1498</v>
      </c>
      <c r="Y568" s="254"/>
      <c r="Z568" s="584" t="s">
        <v>770</v>
      </c>
      <c r="AA568" s="118" t="s">
        <v>1165</v>
      </c>
      <c r="AB568" s="584" t="s">
        <v>1170</v>
      </c>
      <c r="AC568" s="324"/>
    </row>
    <row r="569" spans="1:29" ht="60" customHeight="1">
      <c r="A569" s="107">
        <v>577</v>
      </c>
      <c r="B569" s="253">
        <v>45169</v>
      </c>
      <c r="C569" s="258">
        <v>0.33333333333333331</v>
      </c>
      <c r="D569" s="107" t="s">
        <v>2535</v>
      </c>
      <c r="E569" s="108" t="s">
        <v>2636</v>
      </c>
      <c r="F569" s="107">
        <v>7</v>
      </c>
      <c r="G569" s="107" t="s">
        <v>32</v>
      </c>
      <c r="H569" s="497">
        <v>45176</v>
      </c>
      <c r="I569" s="253" t="s">
        <v>1083</v>
      </c>
      <c r="J569" s="253" t="s">
        <v>35</v>
      </c>
      <c r="K569" s="107" t="s">
        <v>1483</v>
      </c>
      <c r="L569" s="63" t="s">
        <v>807</v>
      </c>
      <c r="M569" s="63" t="s">
        <v>767</v>
      </c>
      <c r="N569" s="107" t="s">
        <v>2639</v>
      </c>
      <c r="O569" s="63" t="str">
        <f ca="1">IF(H569&lt;&gt;"",IF(H569&lt;=TODAY(),"SI","NO"),"LIMBO")</f>
        <v>SI</v>
      </c>
      <c r="P569" s="63" t="str">
        <f>IF($P$1=H569,"DIASOL", "DIANOSOL")</f>
        <v>DIANOSOL</v>
      </c>
      <c r="Q569" s="107" t="s">
        <v>902</v>
      </c>
      <c r="R569" s="63" t="str">
        <f>VLOOKUP($Q569,Resultados!$A$1:$B$49,2,FALSE)</f>
        <v>Juicio Abreviado</v>
      </c>
      <c r="S569" s="258">
        <v>0.37916666666666665</v>
      </c>
      <c r="T569" s="72" t="str">
        <f>IF(G569=$J$1,"SI","NO")</f>
        <v>NO</v>
      </c>
      <c r="U569" s="109"/>
      <c r="V569" s="7" t="str">
        <f ca="1">IF(color_Celda(E569)=12106214,"ROSA",IF(color_Celda(E569)=65535,"AMARILLO",IF(color_Celda(E569)=5296274,"VERDE",IF(color_Celda(E569)=16777215,"BLANCO","NO SE"))))</f>
        <v>ROSA</v>
      </c>
      <c r="W569" s="258">
        <v>0.38611111111111113</v>
      </c>
      <c r="X569" s="577" t="s">
        <v>2640</v>
      </c>
      <c r="Y569" s="107"/>
      <c r="Z569" s="303" t="s">
        <v>1038</v>
      </c>
      <c r="AA569" s="303" t="s">
        <v>1165</v>
      </c>
      <c r="AB569" s="303" t="s">
        <v>1172</v>
      </c>
      <c r="AC569" s="698"/>
    </row>
    <row r="570" spans="1:29" ht="60" customHeight="1">
      <c r="A570" s="63">
        <v>581</v>
      </c>
      <c r="B570" s="65">
        <v>45169</v>
      </c>
      <c r="C570" s="70">
        <v>0.52500000000000002</v>
      </c>
      <c r="D570" s="63" t="s">
        <v>2547</v>
      </c>
      <c r="E570" s="64" t="s">
        <v>2637</v>
      </c>
      <c r="F570" s="63">
        <v>7</v>
      </c>
      <c r="G570" s="65" t="s">
        <v>29</v>
      </c>
      <c r="H570" s="208">
        <v>45176</v>
      </c>
      <c r="I570" s="65" t="s">
        <v>547</v>
      </c>
      <c r="J570" s="63" t="s">
        <v>33</v>
      </c>
      <c r="K570" s="63" t="s">
        <v>2568</v>
      </c>
      <c r="L570" s="63" t="s">
        <v>809</v>
      </c>
      <c r="M570" s="63" t="s">
        <v>725</v>
      </c>
      <c r="N570" s="63" t="s">
        <v>2655</v>
      </c>
      <c r="O570" s="63" t="str">
        <f ca="1">IF(H570&lt;&gt;"",IF(H570&lt;=TODAY(),"SI","NO"),"LIMBO")</f>
        <v>SI</v>
      </c>
      <c r="P570" s="63" t="str">
        <f>IF($P$1=H570,"DIASOL", "DIANOSOL")</f>
        <v>DIANOSOL</v>
      </c>
      <c r="Q570" s="63" t="s">
        <v>902</v>
      </c>
      <c r="R570" s="63" t="str">
        <f>VLOOKUP($Q570,Resultados!$A$1:$B$49,2,FALSE)</f>
        <v>Juicio Abreviado</v>
      </c>
      <c r="S570" s="70">
        <v>0.47361111111111115</v>
      </c>
      <c r="T570" s="72" t="str">
        <f>IF(G570=$J$1,"SI","NO")</f>
        <v>NO</v>
      </c>
      <c r="U570" s="63"/>
      <c r="V570" s="7" t="str">
        <f ca="1">IF(color_Celda(E570)=12106214,"ROSA",IF(color_Celda(E570)=65535,"AMARILLO",IF(color_Celda(E570)=5296274,"VERDE",IF(color_Celda(E570)=16777215,"BLANCO","NO SE"))))</f>
        <v>ROSA</v>
      </c>
      <c r="W570" s="70">
        <v>0.48194444444444445</v>
      </c>
      <c r="X570" s="63"/>
      <c r="Y570" s="63"/>
      <c r="Z570" s="118" t="s">
        <v>1039</v>
      </c>
      <c r="AA570" s="118" t="s">
        <v>743</v>
      </c>
      <c r="AB570" s="118" t="s">
        <v>1170</v>
      </c>
      <c r="AC570" s="324"/>
    </row>
    <row r="571" spans="1:29" ht="60" customHeight="1">
      <c r="A571" s="63">
        <v>538</v>
      </c>
      <c r="B571" s="65">
        <v>45161</v>
      </c>
      <c r="C571" s="70">
        <v>0.45347222222222222</v>
      </c>
      <c r="D571" s="63" t="s">
        <v>2420</v>
      </c>
      <c r="E571" s="64" t="s">
        <v>2421</v>
      </c>
      <c r="F571" s="63">
        <v>5</v>
      </c>
      <c r="G571" s="63" t="s">
        <v>43</v>
      </c>
      <c r="H571" s="208">
        <v>45177</v>
      </c>
      <c r="I571" s="65" t="s">
        <v>73</v>
      </c>
      <c r="J571" s="65" t="s">
        <v>33</v>
      </c>
      <c r="K571" s="63">
        <f>IFERROR(VLOOKUP(J571,Jueces!$A$1:$B$11,2,FALSE),"")</f>
        <v>4</v>
      </c>
      <c r="L571" s="63" t="s">
        <v>2077</v>
      </c>
      <c r="M571" s="63" t="s">
        <v>697</v>
      </c>
      <c r="N571" s="63" t="s">
        <v>2658</v>
      </c>
      <c r="O571" s="63" t="str">
        <f ca="1">IF(H571&lt;&gt;"",IF(H571&lt;=TODAY(),"SI","NO"),"LIMBO")</f>
        <v>SI</v>
      </c>
      <c r="P571" s="63" t="str">
        <f>IF($P$1=H571,"DIASOL", "DIANOSOL")</f>
        <v>DIANOSOL</v>
      </c>
      <c r="Q571" s="63" t="s">
        <v>897</v>
      </c>
      <c r="R571" s="63" t="str">
        <f>VLOOKUP($Q571,Resultados!$A$1:$B$49,2,FALSE)</f>
        <v>Libertad</v>
      </c>
      <c r="S571" s="63" t="s">
        <v>2659</v>
      </c>
      <c r="T571" s="72" t="str">
        <f>IF(G571=$J$1,"SI","NO")</f>
        <v>NO</v>
      </c>
      <c r="U571" s="72"/>
      <c r="V571" s="7" t="str">
        <f ca="1">IF(color_Celda(E571)=12106214,"ROSA",IF(color_Celda(E571)=65535,"AMARILLO",IF(color_Celda(E571)=5296274,"VERDE",IF(color_Celda(E571)=16777215,"BLANCO","NO SE"))))</f>
        <v>ROSA</v>
      </c>
      <c r="W571" s="63" t="s">
        <v>1491</v>
      </c>
      <c r="X571" s="63" t="s">
        <v>2363</v>
      </c>
      <c r="Y571" s="63"/>
      <c r="Z571" s="118" t="s">
        <v>1038</v>
      </c>
      <c r="AA571" s="118" t="s">
        <v>1167</v>
      </c>
      <c r="AB571" s="118" t="s">
        <v>1169</v>
      </c>
      <c r="AC571" s="324"/>
    </row>
    <row r="572" spans="1:29" ht="60" customHeight="1">
      <c r="A572" s="63">
        <v>571</v>
      </c>
      <c r="B572" s="65">
        <v>45168</v>
      </c>
      <c r="C572" s="70">
        <v>0.33333333333333331</v>
      </c>
      <c r="D572" s="63" t="s">
        <v>2509</v>
      </c>
      <c r="E572" s="64" t="s">
        <v>2533</v>
      </c>
      <c r="F572" s="63">
        <v>7</v>
      </c>
      <c r="G572" s="63" t="s">
        <v>29</v>
      </c>
      <c r="H572" s="208">
        <v>45177</v>
      </c>
      <c r="I572" s="65" t="s">
        <v>73</v>
      </c>
      <c r="J572" s="65" t="s">
        <v>1217</v>
      </c>
      <c r="K572" s="63">
        <f>IFERROR(VLOOKUP(J572,Jueces!$A$1:$B$11,2,FALSE),"")</f>
        <v>7</v>
      </c>
      <c r="L572" s="63" t="s">
        <v>805</v>
      </c>
      <c r="M572" s="63" t="s">
        <v>723</v>
      </c>
      <c r="N572" s="63" t="s">
        <v>2660</v>
      </c>
      <c r="O572" s="63" t="str">
        <f ca="1">IF(H572&lt;&gt;"",IF(H572&lt;=TODAY(),"SI","NO"),"LIMBO")</f>
        <v>SI</v>
      </c>
      <c r="P572" s="63" t="str">
        <f>IF($P$1=H572,"DIASOL", "DIANOSOL")</f>
        <v>DIANOSOL</v>
      </c>
      <c r="Q572" s="63" t="s">
        <v>902</v>
      </c>
      <c r="R572" s="63" t="str">
        <f>VLOOKUP($Q572,Resultados!$A$1:$B$49,2,FALSE)</f>
        <v>Juicio Abreviado</v>
      </c>
      <c r="S572" s="63" t="s">
        <v>1524</v>
      </c>
      <c r="T572" s="72" t="str">
        <f>IF(G572=$J$1,"SI","NO")</f>
        <v>NO</v>
      </c>
      <c r="U572" s="72"/>
      <c r="V572" s="7" t="str">
        <f ca="1">IF(color_Celda(E572)=12106214,"ROSA",IF(color_Celda(E572)=65535,"AMARILLO",IF(color_Celda(E572)=5296274,"VERDE",IF(color_Celda(E572)=16777215,"BLANCO","NO SE"))))</f>
        <v>ROSA</v>
      </c>
      <c r="W572" s="63" t="s">
        <v>679</v>
      </c>
      <c r="X572" s="63" t="s">
        <v>2661</v>
      </c>
      <c r="Y572" s="63"/>
      <c r="Z572" s="118" t="s">
        <v>1039</v>
      </c>
      <c r="AA572" s="118" t="s">
        <v>743</v>
      </c>
      <c r="AB572" s="118" t="s">
        <v>1171</v>
      </c>
      <c r="AC572" s="324"/>
    </row>
    <row r="573" spans="1:29" ht="60" customHeight="1">
      <c r="A573" s="63">
        <v>573</v>
      </c>
      <c r="B573" s="65">
        <v>45168</v>
      </c>
      <c r="C573" s="70">
        <v>0.36736111111111108</v>
      </c>
      <c r="D573" s="63" t="s">
        <v>2512</v>
      </c>
      <c r="E573" s="64" t="s">
        <v>2513</v>
      </c>
      <c r="F573" s="63">
        <v>6</v>
      </c>
      <c r="G573" s="63" t="s">
        <v>32</v>
      </c>
      <c r="H573" s="208">
        <v>45177</v>
      </c>
      <c r="I573" s="65" t="s">
        <v>73</v>
      </c>
      <c r="J573" s="65" t="s">
        <v>31</v>
      </c>
      <c r="K573" s="63">
        <v>3</v>
      </c>
      <c r="L573" s="63" t="s">
        <v>798</v>
      </c>
      <c r="M573" s="63" t="s">
        <v>725</v>
      </c>
      <c r="N573" s="63" t="s">
        <v>897</v>
      </c>
      <c r="O573" s="63" t="str">
        <f ca="1">IF(H573&lt;&gt;"",IF(H573&lt;=TODAY(),"SI","NO"),"LIMBO")</f>
        <v>SI</v>
      </c>
      <c r="P573" s="63" t="str">
        <f>IF($P$1=H573,"DIASOL", "DIANOSOL")</f>
        <v>DIANOSOL</v>
      </c>
      <c r="Q573" s="63" t="s">
        <v>897</v>
      </c>
      <c r="R573" s="63" t="str">
        <f>VLOOKUP($Q573,Resultados!$A$1:$B$49,2,FALSE)</f>
        <v>Libertad</v>
      </c>
      <c r="S573" s="63" t="s">
        <v>1421</v>
      </c>
      <c r="T573" s="72" t="str">
        <f>IF(G573=$J$1,"SI","NO")</f>
        <v>NO</v>
      </c>
      <c r="U573" s="72"/>
      <c r="V573" s="7" t="str">
        <f ca="1">IF(color_Celda(E573)=12106214,"ROSA",IF(color_Celda(E573)=65535,"AMARILLO",IF(color_Celda(E573)=5296274,"VERDE",IF(color_Celda(E573)=16777215,"BLANCO","NO SE"))))</f>
        <v>ROSA</v>
      </c>
      <c r="W573" s="63" t="s">
        <v>2662</v>
      </c>
      <c r="X573" s="63"/>
      <c r="Y573" s="63"/>
      <c r="Z573" s="118" t="s">
        <v>743</v>
      </c>
      <c r="AA573" s="118" t="s">
        <v>1165</v>
      </c>
      <c r="AB573" s="118" t="s">
        <v>1172</v>
      </c>
      <c r="AC573" s="324"/>
    </row>
    <row r="574" spans="1:29" ht="60" customHeight="1">
      <c r="A574" s="63">
        <v>570</v>
      </c>
      <c r="B574" s="65">
        <v>45168</v>
      </c>
      <c r="C574" s="70">
        <v>0.33333333333333331</v>
      </c>
      <c r="D574" s="63" t="s">
        <v>2507</v>
      </c>
      <c r="E574" s="64" t="s">
        <v>2508</v>
      </c>
      <c r="F574" s="63">
        <v>7</v>
      </c>
      <c r="G574" s="63" t="s">
        <v>283</v>
      </c>
      <c r="H574" s="208">
        <v>45177</v>
      </c>
      <c r="I574" s="65" t="s">
        <v>1206</v>
      </c>
      <c r="J574" s="65" t="s">
        <v>1217</v>
      </c>
      <c r="K574" s="63">
        <f>IFERROR(VLOOKUP(J574,Jueces!$A$1:$B$11,2,FALSE),"")</f>
        <v>7</v>
      </c>
      <c r="L574" s="63" t="s">
        <v>807</v>
      </c>
      <c r="M574" s="63" t="s">
        <v>723</v>
      </c>
      <c r="N574" s="63" t="s">
        <v>2566</v>
      </c>
      <c r="O574" s="63" t="str">
        <f ca="1">IF(H574&lt;&gt;"",IF(H574&lt;=TODAY(),"SI","NO"),"LIMBO")</f>
        <v>SI</v>
      </c>
      <c r="P574" s="63" t="str">
        <f>IF($P$1=H574,"DIASOL", "DIANOSOL")</f>
        <v>DIANOSOL</v>
      </c>
      <c r="Q574" s="63" t="s">
        <v>902</v>
      </c>
      <c r="R574" s="63" t="str">
        <f>VLOOKUP($Q574,Resultados!$A$1:$B$49,2,FALSE)</f>
        <v>Juicio Abreviado</v>
      </c>
      <c r="S574" s="63" t="s">
        <v>1332</v>
      </c>
      <c r="T574" s="72" t="str">
        <f>IF(G574=$J$1,"SI","NO")</f>
        <v>NO</v>
      </c>
      <c r="U574" s="72"/>
      <c r="V574" s="7" t="str">
        <f ca="1">IF(color_Celda(E574)=12106214,"ROSA",IF(color_Celda(E574)=65535,"AMARILLO",IF(color_Celda(E574)=5296274,"VERDE",IF(color_Celda(E574)=16777215,"BLANCO","NO SE"))))</f>
        <v>ROSA</v>
      </c>
      <c r="W574" s="63" t="s">
        <v>2663</v>
      </c>
      <c r="X574" s="63" t="s">
        <v>2552</v>
      </c>
      <c r="Y574" s="63"/>
      <c r="Z574" s="118" t="s">
        <v>770</v>
      </c>
      <c r="AA574" s="118" t="s">
        <v>1165</v>
      </c>
      <c r="AB574" s="118" t="s">
        <v>1169</v>
      </c>
      <c r="AC574" s="324"/>
    </row>
    <row r="575" spans="1:29" ht="60" customHeight="1">
      <c r="A575" s="63">
        <v>533</v>
      </c>
      <c r="B575" s="65">
        <v>45160</v>
      </c>
      <c r="C575" s="70">
        <v>0.50763888888888886</v>
      </c>
      <c r="D575" s="63" t="s">
        <v>2388</v>
      </c>
      <c r="E575" s="64" t="s">
        <v>2487</v>
      </c>
      <c r="F575" s="63">
        <v>6</v>
      </c>
      <c r="G575" s="63" t="s">
        <v>1435</v>
      </c>
      <c r="H575" s="208">
        <v>45180</v>
      </c>
      <c r="I575" s="65" t="s">
        <v>73</v>
      </c>
      <c r="J575" s="65" t="s">
        <v>33</v>
      </c>
      <c r="K575" s="7">
        <f>IFERROR(VLOOKUP(J575,Jueces!$A$1:$B$11,2,FALSE),"")</f>
        <v>4</v>
      </c>
      <c r="L575" s="63" t="s">
        <v>795</v>
      </c>
      <c r="M575" s="63" t="s">
        <v>783</v>
      </c>
      <c r="N575" s="63" t="s">
        <v>2683</v>
      </c>
      <c r="O575" s="63" t="str">
        <f ca="1">IF(H575&lt;&gt;"",IF(H575&lt;=TODAY(),"SI","NO"),"LIMBO")</f>
        <v>SI</v>
      </c>
      <c r="P575" s="63" t="str">
        <f>IF($P$1=H575,"DIASOL", "DIANOSOL")</f>
        <v>DIANOSOL</v>
      </c>
      <c r="Q575" s="63" t="s">
        <v>151</v>
      </c>
      <c r="R575" s="63" t="str">
        <f>VLOOKUP($Q575,Resultados!$A$1:$B$49,2,FALSE)</f>
        <v>Prisión Preventiva</v>
      </c>
      <c r="S575" s="63" t="s">
        <v>1383</v>
      </c>
      <c r="T575" s="72" t="str">
        <f>IF(G575=$J$1,"SI","NO")</f>
        <v>SI</v>
      </c>
      <c r="U575" s="72"/>
      <c r="V575" s="7" t="str">
        <f ca="1">IF(color_Celda(E575)=12106214,"ROSA",IF(color_Celda(E575)=65535,"AMARILLO",IF(color_Celda(E575)=5296274,"VERDE",IF(color_Celda(E575)=16777215,"BLANCO","NO SE"))))</f>
        <v>ROSA</v>
      </c>
      <c r="W575" s="63" t="s">
        <v>1013</v>
      </c>
      <c r="X575" s="63"/>
      <c r="Y575" s="63"/>
      <c r="Z575" s="118" t="s">
        <v>748</v>
      </c>
      <c r="AA575" s="118" t="s">
        <v>743</v>
      </c>
      <c r="AB575" s="118" t="s">
        <v>1171</v>
      </c>
      <c r="AC575" s="324"/>
    </row>
    <row r="576" spans="1:29" ht="60" customHeight="1">
      <c r="A576" s="63">
        <v>540</v>
      </c>
      <c r="B576" s="65">
        <v>45161</v>
      </c>
      <c r="C576" s="70">
        <v>0.48680555555555555</v>
      </c>
      <c r="D576" s="63" t="s">
        <v>2424</v>
      </c>
      <c r="E576" s="64" t="s">
        <v>2425</v>
      </c>
      <c r="F576" s="63">
        <v>7</v>
      </c>
      <c r="G576" s="63" t="s">
        <v>29</v>
      </c>
      <c r="H576" s="208">
        <v>45180</v>
      </c>
      <c r="I576" s="65" t="s">
        <v>73</v>
      </c>
      <c r="J576" s="65" t="s">
        <v>31</v>
      </c>
      <c r="K576" s="63">
        <f>IFERROR(VLOOKUP(J576,Jueces!$A$1:$B$11,2,FALSE),"")</f>
        <v>2</v>
      </c>
      <c r="L576" s="63" t="s">
        <v>2077</v>
      </c>
      <c r="M576" s="63" t="s">
        <v>723</v>
      </c>
      <c r="N576" s="63" t="s">
        <v>577</v>
      </c>
      <c r="O576" s="63" t="str">
        <f ca="1">IF(H576&lt;&gt;"",IF(H576&lt;=TODAY(),"SI","NO"),"LIMBO")</f>
        <v>SI</v>
      </c>
      <c r="P576" s="63" t="str">
        <f>IF($P$1=H576,"DIASOL", "DIANOSOL")</f>
        <v>DIANOSOL</v>
      </c>
      <c r="Q576" s="63" t="s">
        <v>151</v>
      </c>
      <c r="R576" s="63" t="str">
        <f>VLOOKUP($Q576,Resultados!$A$1:$B$49,2,FALSE)</f>
        <v>Prisión Preventiva</v>
      </c>
      <c r="S576" s="63" t="s">
        <v>1233</v>
      </c>
      <c r="T576" s="72" t="str">
        <f>IF(G576=$J$1,"SI","NO")</f>
        <v>NO</v>
      </c>
      <c r="U576" s="72"/>
      <c r="V576" s="7" t="str">
        <f ca="1">IF(color_Celda(E576)=12106214,"ROSA",IF(color_Celda(E576)=65535,"AMARILLO",IF(color_Celda(E576)=5296274,"VERDE",IF(color_Celda(E576)=16777215,"BLANCO","NO SE"))))</f>
        <v>ROSA</v>
      </c>
      <c r="W576" s="63" t="s">
        <v>1230</v>
      </c>
      <c r="X576" s="63"/>
      <c r="Y576" s="63"/>
      <c r="Z576" s="118" t="s">
        <v>743</v>
      </c>
      <c r="AA576" s="118" t="s">
        <v>1167</v>
      </c>
      <c r="AB576" s="118" t="s">
        <v>1173</v>
      </c>
      <c r="AC576" s="324"/>
    </row>
    <row r="577" spans="1:29" ht="60" customHeight="1">
      <c r="A577" s="63">
        <v>568</v>
      </c>
      <c r="B577" s="65">
        <v>45168</v>
      </c>
      <c r="C577" s="70">
        <v>0.33333333333333331</v>
      </c>
      <c r="D577" s="63" t="s">
        <v>2504</v>
      </c>
      <c r="E577" s="64" t="s">
        <v>2505</v>
      </c>
      <c r="F577" s="63">
        <v>7</v>
      </c>
      <c r="G577" s="63" t="s">
        <v>1433</v>
      </c>
      <c r="H577" s="208">
        <v>45180</v>
      </c>
      <c r="I577" s="65" t="s">
        <v>73</v>
      </c>
      <c r="J577" s="65" t="s">
        <v>35</v>
      </c>
      <c r="K577" s="63">
        <f>IFERROR(VLOOKUP(J577,Jueces!$A$1:$B$11,2,FALSE),"")</f>
        <v>3</v>
      </c>
      <c r="L577" s="63" t="s">
        <v>582</v>
      </c>
      <c r="M577" s="63" t="s">
        <v>697</v>
      </c>
      <c r="N577" s="63" t="s">
        <v>911</v>
      </c>
      <c r="O577" s="63" t="str">
        <f ca="1">IF(H577&lt;&gt;"",IF(H577&lt;=TODAY(),"SI","NO"),"LIMBO")</f>
        <v>SI</v>
      </c>
      <c r="P577" s="63" t="str">
        <f>IF($P$1=H577,"DIASOL", "DIANOSOL")</f>
        <v>DIANOSOL</v>
      </c>
      <c r="Q577" s="63" t="s">
        <v>911</v>
      </c>
      <c r="R577" s="63" t="str">
        <f>VLOOKUP($Q577,Resultados!$A$1:$B$49,2,FALSE)</f>
        <v>Prision domiciliaria</v>
      </c>
      <c r="S577" s="63" t="s">
        <v>1604</v>
      </c>
      <c r="T577" s="72" t="str">
        <f>IF(G577=$J$1,"SI","NO")</f>
        <v>NO</v>
      </c>
      <c r="U577" s="72"/>
      <c r="V577" s="7" t="str">
        <f ca="1">IF(color_Celda(E577)=12106214,"ROSA",IF(color_Celda(E577)=65535,"AMARILLO",IF(color_Celda(E577)=5296274,"VERDE",IF(color_Celda(E577)=16777215,"BLANCO","NO SE"))))</f>
        <v>ROSA</v>
      </c>
      <c r="W577" s="63" t="s">
        <v>2688</v>
      </c>
      <c r="X577" s="63"/>
      <c r="Y577" s="63"/>
      <c r="Z577" s="118" t="s">
        <v>770</v>
      </c>
      <c r="AA577" s="118" t="s">
        <v>743</v>
      </c>
      <c r="AB577" s="118" t="s">
        <v>1172</v>
      </c>
      <c r="AC577" s="324"/>
    </row>
    <row r="578" spans="1:29" ht="60" customHeight="1">
      <c r="A578" s="63">
        <v>575</v>
      </c>
      <c r="B578" s="65">
        <v>45168</v>
      </c>
      <c r="C578" s="70">
        <v>0.4826388888888889</v>
      </c>
      <c r="D578" s="63" t="s">
        <v>2516</v>
      </c>
      <c r="E578" s="64" t="s">
        <v>2517</v>
      </c>
      <c r="F578" s="63">
        <v>1</v>
      </c>
      <c r="G578" s="63" t="s">
        <v>283</v>
      </c>
      <c r="H578" s="208">
        <v>45180</v>
      </c>
      <c r="I578" s="65" t="s">
        <v>73</v>
      </c>
      <c r="J578" s="65" t="s">
        <v>1216</v>
      </c>
      <c r="K578" s="63" t="s">
        <v>1483</v>
      </c>
      <c r="L578" s="63" t="s">
        <v>791</v>
      </c>
      <c r="M578" s="63" t="s">
        <v>725</v>
      </c>
      <c r="N578" s="63" t="s">
        <v>2686</v>
      </c>
      <c r="O578" s="63" t="str">
        <f ca="1">IF(H578&lt;&gt;"",IF(H578&lt;=TODAY(),"SI","NO"),"LIMBO")</f>
        <v>SI</v>
      </c>
      <c r="P578" s="63" t="str">
        <f>IF($P$1=H578,"DIASOL", "DIANOSOL")</f>
        <v>DIANOSOL</v>
      </c>
      <c r="Q578" s="63" t="s">
        <v>903</v>
      </c>
      <c r="R578" s="63" t="str">
        <f>VLOOKUP($Q578,Resultados!$A$1:$B$49,2,FALSE)</f>
        <v>Juicio Abreviado</v>
      </c>
      <c r="S578" s="63" t="s">
        <v>2663</v>
      </c>
      <c r="T578" s="72" t="str">
        <f>IF(G578=$J$1,"SI","NO")</f>
        <v>NO</v>
      </c>
      <c r="U578" s="72"/>
      <c r="V578" s="7" t="str">
        <f ca="1">IF(color_Celda(E578)=12106214,"ROSA",IF(color_Celda(E578)=65535,"AMARILLO",IF(color_Celda(E578)=5296274,"VERDE",IF(color_Celda(E578)=16777215,"BLANCO","NO SE"))))</f>
        <v>ROSA</v>
      </c>
      <c r="W578" s="63" t="s">
        <v>1272</v>
      </c>
      <c r="X578" s="63" t="s">
        <v>2687</v>
      </c>
      <c r="Y578" s="63"/>
      <c r="Z578" s="118" t="s">
        <v>2430</v>
      </c>
      <c r="AA578" s="118" t="s">
        <v>1167</v>
      </c>
      <c r="AB578" s="118" t="s">
        <v>1170</v>
      </c>
      <c r="AC578" s="324"/>
    </row>
    <row r="579" spans="1:29" ht="60" customHeight="1">
      <c r="A579" s="63">
        <v>585</v>
      </c>
      <c r="B579" s="65">
        <v>45170</v>
      </c>
      <c r="C579" s="70">
        <v>0.46180555555555558</v>
      </c>
      <c r="D579" s="63" t="s">
        <v>2562</v>
      </c>
      <c r="E579" s="64" t="s">
        <v>2563</v>
      </c>
      <c r="F579" s="63">
        <v>6</v>
      </c>
      <c r="G579" s="63" t="s">
        <v>1434</v>
      </c>
      <c r="H579" s="208">
        <v>45180</v>
      </c>
      <c r="I579" s="65" t="s">
        <v>73</v>
      </c>
      <c r="J579" s="65" t="s">
        <v>1217</v>
      </c>
      <c r="K579" s="63">
        <f>IFERROR(VLOOKUP(J579,Jueces!$A$1:$B$11,2,FALSE),"")</f>
        <v>7</v>
      </c>
      <c r="L579" s="63" t="s">
        <v>1301</v>
      </c>
      <c r="M579" s="63" t="s">
        <v>2107</v>
      </c>
      <c r="N579" s="63" t="s">
        <v>577</v>
      </c>
      <c r="O579" s="63" t="str">
        <f ca="1">IF(H579&lt;&gt;"",IF(H579&lt;=TODAY(),"SI","NO"),"LIMBO")</f>
        <v>SI</v>
      </c>
      <c r="P579" s="63" t="str">
        <f>IF($P$1=H579,"DIASOL", "DIANOSOL")</f>
        <v>DIANOSOL</v>
      </c>
      <c r="Q579" s="63" t="s">
        <v>151</v>
      </c>
      <c r="R579" s="63" t="str">
        <f>VLOOKUP($Q579,Resultados!$A$1:$B$49,2,FALSE)</f>
        <v>Prisión Preventiva</v>
      </c>
      <c r="S579" s="63" t="s">
        <v>2685</v>
      </c>
      <c r="T579" s="72" t="str">
        <f>IF(G579=$J$1,"SI","NO")</f>
        <v>NO</v>
      </c>
      <c r="U579" s="72"/>
      <c r="V579" s="7" t="str">
        <f ca="1">IF(color_Celda(E579)=12106214,"ROSA",IF(color_Celda(E579)=65535,"AMARILLO",IF(color_Celda(E579)=5296274,"VERDE",IF(color_Celda(E579)=16777215,"BLANCO","NO SE"))))</f>
        <v>ROSA</v>
      </c>
      <c r="W579" s="63" t="s">
        <v>1388</v>
      </c>
      <c r="X579" s="63" t="s">
        <v>2363</v>
      </c>
      <c r="Y579" s="63"/>
      <c r="Z579" s="118" t="s">
        <v>1038</v>
      </c>
      <c r="AA579" s="118" t="s">
        <v>1167</v>
      </c>
      <c r="AB579" s="118" t="s">
        <v>1169</v>
      </c>
      <c r="AC579" s="324"/>
    </row>
    <row r="580" spans="1:29" ht="60" customHeight="1">
      <c r="A580" s="63">
        <v>586</v>
      </c>
      <c r="B580" s="65">
        <v>45170</v>
      </c>
      <c r="C580" s="70">
        <v>0.49583333333333335</v>
      </c>
      <c r="D580" s="63" t="s">
        <v>2564</v>
      </c>
      <c r="E580" s="64" t="s">
        <v>2565</v>
      </c>
      <c r="F580" s="63">
        <v>6</v>
      </c>
      <c r="G580" s="63" t="s">
        <v>568</v>
      </c>
      <c r="H580" s="208">
        <v>45180</v>
      </c>
      <c r="I580" s="65" t="s">
        <v>73</v>
      </c>
      <c r="J580" s="65" t="s">
        <v>1218</v>
      </c>
      <c r="K580" s="63" t="s">
        <v>1916</v>
      </c>
      <c r="L580" s="63" t="s">
        <v>2076</v>
      </c>
      <c r="M580" s="63" t="s">
        <v>2578</v>
      </c>
      <c r="N580" s="63" t="s">
        <v>2682</v>
      </c>
      <c r="O580" s="63" t="str">
        <f ca="1">IF(H580&lt;&gt;"",IF(H580&lt;=TODAY(),"SI","NO"),"LIMBO")</f>
        <v>SI</v>
      </c>
      <c r="P580" s="63" t="str">
        <f>IF($P$1=H580,"DIASOL", "DIANOSOL")</f>
        <v>DIANOSOL</v>
      </c>
      <c r="Q580" s="63" t="s">
        <v>903</v>
      </c>
      <c r="R580" s="63" t="str">
        <f>VLOOKUP($Q580,Resultados!$A$1:$B$49,2,FALSE)</f>
        <v>Juicio Abreviado</v>
      </c>
      <c r="S580" s="70">
        <v>0.3444444444444445</v>
      </c>
      <c r="T580" s="72" t="str">
        <f>IF(G580=$J$1,"SI","NO")</f>
        <v>NO</v>
      </c>
      <c r="U580" s="72"/>
      <c r="V580" s="7" t="str">
        <f ca="1">IF(color_Celda(E580)=12106214,"ROSA",IF(color_Celda(E580)=65535,"AMARILLO",IF(color_Celda(E580)=5296274,"VERDE",IF(color_Celda(E580)=16777215,"BLANCO","NO SE"))))</f>
        <v>ROSA</v>
      </c>
      <c r="W580" s="63" t="s">
        <v>1524</v>
      </c>
      <c r="X580" s="63"/>
      <c r="Y580" s="63"/>
      <c r="Z580" s="118" t="s">
        <v>1039</v>
      </c>
      <c r="AA580" s="118" t="s">
        <v>1165</v>
      </c>
      <c r="AB580" s="118" t="s">
        <v>1171</v>
      </c>
      <c r="AC580" s="324"/>
    </row>
    <row r="581" spans="1:29" ht="60" customHeight="1">
      <c r="A581" s="63">
        <v>572</v>
      </c>
      <c r="B581" s="65">
        <v>45168</v>
      </c>
      <c r="C581" s="70">
        <v>0.37083333333333335</v>
      </c>
      <c r="D581" s="63" t="s">
        <v>2510</v>
      </c>
      <c r="E581" s="64" t="s">
        <v>2511</v>
      </c>
      <c r="F581" s="63">
        <v>7</v>
      </c>
      <c r="G581" s="63" t="s">
        <v>43</v>
      </c>
      <c r="H581" s="208">
        <v>45180</v>
      </c>
      <c r="I581" s="65" t="s">
        <v>1083</v>
      </c>
      <c r="J581" s="65" t="s">
        <v>33</v>
      </c>
      <c r="K581" s="63">
        <f>IFERROR(VLOOKUP(J581,Jueces!$A$1:$B$11,2,FALSE),"")</f>
        <v>4</v>
      </c>
      <c r="L581" s="63" t="s">
        <v>806</v>
      </c>
      <c r="M581" s="63" t="s">
        <v>767</v>
      </c>
      <c r="N581" s="63" t="s">
        <v>2684</v>
      </c>
      <c r="O581" s="63" t="str">
        <f ca="1">IF(H581&lt;&gt;"",IF(H581&lt;=TODAY(),"SI","NO"),"LIMBO")</f>
        <v>SI</v>
      </c>
      <c r="P581" s="63" t="str">
        <f>IF($P$1=H581,"DIASOL", "DIANOSOL")</f>
        <v>DIANOSOL</v>
      </c>
      <c r="Q581" s="63" t="s">
        <v>902</v>
      </c>
      <c r="R581" s="63" t="str">
        <f>VLOOKUP($Q581,Resultados!$A$1:$B$49,2,FALSE)</f>
        <v>Juicio Abreviado</v>
      </c>
      <c r="S581" s="63" t="s">
        <v>1047</v>
      </c>
      <c r="T581" s="72" t="str">
        <f>IF(G581=$J$1,"SI","NO")</f>
        <v>NO</v>
      </c>
      <c r="U581" s="72"/>
      <c r="V581" s="7" t="str">
        <f ca="1">IF(color_Celda(E581)=12106214,"ROSA",IF(color_Celda(E581)=65535,"AMARILLO",IF(color_Celda(E581)=5296274,"VERDE",IF(color_Celda(E581)=16777215,"BLANCO","NO SE"))))</f>
        <v>ROSA</v>
      </c>
      <c r="W581" s="63" t="s">
        <v>2595</v>
      </c>
      <c r="X581" s="63"/>
      <c r="Y581" s="63"/>
      <c r="Z581" s="118" t="s">
        <v>748</v>
      </c>
      <c r="AA581" s="118" t="s">
        <v>1165</v>
      </c>
      <c r="AB581" s="118" t="s">
        <v>1173</v>
      </c>
      <c r="AC581" s="324"/>
    </row>
    <row r="582" spans="1:29" ht="60" customHeight="1">
      <c r="A582" s="63">
        <v>587</v>
      </c>
      <c r="B582" s="65">
        <v>45173</v>
      </c>
      <c r="C582" s="63" t="s">
        <v>1437</v>
      </c>
      <c r="D582" s="63" t="s">
        <v>2574</v>
      </c>
      <c r="E582" s="64" t="s">
        <v>2705</v>
      </c>
      <c r="F582" s="63">
        <v>8</v>
      </c>
      <c r="G582" s="63" t="s">
        <v>283</v>
      </c>
      <c r="H582" s="208">
        <v>45181</v>
      </c>
      <c r="I582" s="65" t="s">
        <v>73</v>
      </c>
      <c r="J582" s="65" t="s">
        <v>1218</v>
      </c>
      <c r="K582" s="63" t="s">
        <v>1321</v>
      </c>
      <c r="L582" s="63" t="s">
        <v>807</v>
      </c>
      <c r="M582" s="63" t="s">
        <v>767</v>
      </c>
      <c r="N582" s="63" t="s">
        <v>2721</v>
      </c>
      <c r="O582" s="63" t="str">
        <f ca="1">IF(H582&lt;&gt;"",IF(H582&lt;=TODAY(),"SI","NO"),"LIMBO")</f>
        <v>SI</v>
      </c>
      <c r="P582" s="63" t="str">
        <f>IF($P$1=H582,"DIASOL", "DIANOSOL")</f>
        <v>DIANOSOL</v>
      </c>
      <c r="Q582" s="63" t="s">
        <v>151</v>
      </c>
      <c r="R582" s="63" t="str">
        <f>VLOOKUP($Q582,Resultados!$A$1:$B$49,2,FALSE)</f>
        <v>Prisión Preventiva</v>
      </c>
      <c r="S582" s="70">
        <v>0.3527777777777778</v>
      </c>
      <c r="T582" s="72" t="str">
        <f>IF(G582=$J$1,"SI","NO")</f>
        <v>NO</v>
      </c>
      <c r="U582" s="72"/>
      <c r="V582" s="7" t="str">
        <f ca="1">IF(color_Celda(E582)=12106214,"ROSA",IF(color_Celda(E582)=65535,"AMARILLO",IF(color_Celda(E582)=5296274,"VERDE",IF(color_Celda(E582)=16777215,"BLANCO","NO SE"))))</f>
        <v>ROSA</v>
      </c>
      <c r="W582" s="70">
        <v>0.36319444444444443</v>
      </c>
      <c r="X582" s="63"/>
      <c r="Y582" s="63"/>
      <c r="Z582" s="118" t="s">
        <v>748</v>
      </c>
      <c r="AA582" s="118" t="s">
        <v>743</v>
      </c>
      <c r="AB582" s="118" t="s">
        <v>1169</v>
      </c>
      <c r="AC582" s="324"/>
    </row>
    <row r="583" spans="1:29" ht="60" customHeight="1">
      <c r="A583" s="63">
        <v>590</v>
      </c>
      <c r="B583" s="65">
        <v>45173</v>
      </c>
      <c r="C583" s="70">
        <v>0.48125000000000001</v>
      </c>
      <c r="D583" s="63" t="s">
        <v>2581</v>
      </c>
      <c r="E583" s="64" t="s">
        <v>2582</v>
      </c>
      <c r="F583" s="63">
        <v>7</v>
      </c>
      <c r="G583" s="63" t="s">
        <v>43</v>
      </c>
      <c r="H583" s="208">
        <v>45181</v>
      </c>
      <c r="I583" s="65" t="s">
        <v>73</v>
      </c>
      <c r="J583" s="65" t="s">
        <v>31</v>
      </c>
      <c r="K583" s="63">
        <f>IFERROR(VLOOKUP(J583,Jueces!$A$1:$B$11,2,FALSE),"")</f>
        <v>2</v>
      </c>
      <c r="L583" s="63" t="s">
        <v>795</v>
      </c>
      <c r="M583" s="63" t="s">
        <v>725</v>
      </c>
      <c r="N583" s="63" t="s">
        <v>2716</v>
      </c>
      <c r="O583" s="63" t="str">
        <f ca="1">IF(H583&lt;&gt;"",IF(H583&lt;=TODAY(),"SI","NO"),"LIMBO")</f>
        <v>SI</v>
      </c>
      <c r="P583" s="63" t="str">
        <f>IF($P$1=H583,"DIASOL", "DIANOSOL")</f>
        <v>DIANOSOL</v>
      </c>
      <c r="Q583" s="63" t="s">
        <v>151</v>
      </c>
      <c r="R583" s="63" t="str">
        <f>VLOOKUP($Q583,Resultados!$A$1:$B$49,2,FALSE)</f>
        <v>Prisión Preventiva</v>
      </c>
      <c r="S583" s="70">
        <v>0.3520833333333333</v>
      </c>
      <c r="T583" s="72" t="str">
        <f>IF(G583=$J$1,"SI","NO")</f>
        <v>NO</v>
      </c>
      <c r="U583" s="72"/>
      <c r="V583" s="7" t="str">
        <f ca="1">IF(color_Celda(E583)=12106214,"ROSA",IF(color_Celda(E583)=65535,"AMARILLO",IF(color_Celda(E583)=5296274,"VERDE",IF(color_Celda(E583)=16777215,"BLANCO","NO SE"))))</f>
        <v>ROSA</v>
      </c>
      <c r="W583" s="70">
        <v>0.36388888888888887</v>
      </c>
      <c r="X583" s="63"/>
      <c r="Y583" s="63"/>
      <c r="Z583" s="118" t="s">
        <v>743</v>
      </c>
      <c r="AA583" s="118" t="s">
        <v>1167</v>
      </c>
      <c r="AB583" s="118" t="s">
        <v>1173</v>
      </c>
      <c r="AC583" s="324"/>
    </row>
    <row r="584" spans="1:29" ht="60" customHeight="1">
      <c r="A584" s="63">
        <v>591</v>
      </c>
      <c r="B584" s="65">
        <v>45173</v>
      </c>
      <c r="C584" s="70">
        <v>0.49513888888888885</v>
      </c>
      <c r="D584" s="63" t="s">
        <v>2583</v>
      </c>
      <c r="E584" s="64" t="s">
        <v>2584</v>
      </c>
      <c r="F584" s="63">
        <v>7</v>
      </c>
      <c r="G584" s="63" t="s">
        <v>1435</v>
      </c>
      <c r="H584" s="208">
        <v>45181</v>
      </c>
      <c r="I584" s="65" t="s">
        <v>73</v>
      </c>
      <c r="J584" s="65" t="s">
        <v>1217</v>
      </c>
      <c r="K584" s="63">
        <f>IFERROR(VLOOKUP(J584,Jueces!$A$1:$B$11,2,FALSE),"")</f>
        <v>7</v>
      </c>
      <c r="L584" s="63" t="s">
        <v>2715</v>
      </c>
      <c r="M584" s="63" t="s">
        <v>723</v>
      </c>
      <c r="N584" s="205" t="s">
        <v>2714</v>
      </c>
      <c r="O584" s="63" t="str">
        <f ca="1">IF(H584&lt;&gt;"",IF(H584&lt;=TODAY(),"SI","NO"),"LIMBO")</f>
        <v>SI</v>
      </c>
      <c r="P584" s="63" t="str">
        <f>IF($P$1=H584,"DIASOL", "DIANOSOL")</f>
        <v>DIANOSOL</v>
      </c>
      <c r="Q584" s="63" t="s">
        <v>902</v>
      </c>
      <c r="R584" s="63" t="str">
        <f>VLOOKUP($Q584,Resultados!$A$1:$B$49,2,FALSE)</f>
        <v>Juicio Abreviado</v>
      </c>
      <c r="S584" s="70">
        <v>0.35000000000000003</v>
      </c>
      <c r="T584" s="72" t="str">
        <f>IF(G584=$J$1,"SI","NO")</f>
        <v>SI</v>
      </c>
      <c r="U584" s="72"/>
      <c r="V584" s="7" t="str">
        <f ca="1">IF(color_Celda(E584)=12106214,"ROSA",IF(color_Celda(E584)=65535,"AMARILLO",IF(color_Celda(E584)=5296274,"VERDE",IF(color_Celda(E584)=16777215,"BLANCO","NO SE"))))</f>
        <v>ROSA</v>
      </c>
      <c r="W584" s="70">
        <v>0.35902777777777778</v>
      </c>
      <c r="X584" s="63" t="s">
        <v>1757</v>
      </c>
      <c r="Y584" s="63"/>
      <c r="Z584" s="118" t="s">
        <v>1038</v>
      </c>
      <c r="AA584" s="118" t="s">
        <v>743</v>
      </c>
      <c r="AB584" s="118" t="s">
        <v>1170</v>
      </c>
      <c r="AC584" s="324"/>
    </row>
    <row r="585" spans="1:29" ht="60" customHeight="1">
      <c r="A585" s="63">
        <v>589</v>
      </c>
      <c r="B585" s="65">
        <v>45173</v>
      </c>
      <c r="C585" s="70">
        <v>0.53125</v>
      </c>
      <c r="D585" s="63" t="s">
        <v>2579</v>
      </c>
      <c r="E585" s="64" t="s">
        <v>2580</v>
      </c>
      <c r="F585" s="63">
        <v>7</v>
      </c>
      <c r="G585" s="63" t="s">
        <v>568</v>
      </c>
      <c r="H585" s="208">
        <v>45181</v>
      </c>
      <c r="I585" s="65" t="s">
        <v>1083</v>
      </c>
      <c r="J585" s="65" t="s">
        <v>33</v>
      </c>
      <c r="K585" s="63">
        <f>IFERROR(VLOOKUP(J585,Jueces!$A$1:$B$11,2,FALSE),"")</f>
        <v>4</v>
      </c>
      <c r="L585" s="63" t="s">
        <v>800</v>
      </c>
      <c r="M585" s="63" t="s">
        <v>2549</v>
      </c>
      <c r="N585" s="63" t="s">
        <v>3001</v>
      </c>
      <c r="O585" s="63" t="str">
        <f ca="1">IF(H585&lt;&gt;"",IF(H585&lt;=TODAY(),"SI","NO"),"LIMBO")</f>
        <v>SI</v>
      </c>
      <c r="P585" s="63" t="str">
        <f>IF($P$1=H585,"DIASOL", "DIANOSOL")</f>
        <v>DIANOSOL</v>
      </c>
      <c r="Q585" s="63" t="s">
        <v>151</v>
      </c>
      <c r="R585" s="63" t="str">
        <f>VLOOKUP($Q585,Resultados!$A$1:$B$49,2,FALSE)</f>
        <v>Prisión Preventiva</v>
      </c>
      <c r="S585" s="70">
        <v>0.375</v>
      </c>
      <c r="T585" s="72" t="str">
        <f>IF(G585=$J$1,"SI","NO")</f>
        <v>NO</v>
      </c>
      <c r="U585" s="72"/>
      <c r="V585" s="7" t="str">
        <f ca="1">IF(color_Celda(E585)=12106214,"ROSA",IF(color_Celda(E585)=65535,"AMARILLO",IF(color_Celda(E585)=5296274,"VERDE",IF(color_Celda(E585)=16777215,"BLANCO","NO SE"))))</f>
        <v>ROSA</v>
      </c>
      <c r="W585" s="70">
        <v>0.39930555555555558</v>
      </c>
      <c r="X585" s="63"/>
      <c r="Y585" s="63"/>
      <c r="Z585" s="118" t="s">
        <v>1039</v>
      </c>
      <c r="AA585" s="72" t="s">
        <v>1165</v>
      </c>
      <c r="AB585" s="118" t="s">
        <v>1173</v>
      </c>
      <c r="AC585" s="324"/>
    </row>
    <row r="586" spans="1:29" ht="60" customHeight="1">
      <c r="A586" s="63">
        <v>594</v>
      </c>
      <c r="B586" s="65">
        <v>45174</v>
      </c>
      <c r="C586" s="70">
        <v>0.40625</v>
      </c>
      <c r="D586" s="63" t="s">
        <v>2589</v>
      </c>
      <c r="E586" s="64" t="s">
        <v>2590</v>
      </c>
      <c r="F586" s="63">
        <v>7</v>
      </c>
      <c r="G586" s="63" t="s">
        <v>1433</v>
      </c>
      <c r="H586" s="208">
        <v>45181</v>
      </c>
      <c r="I586" s="65" t="s">
        <v>1083</v>
      </c>
      <c r="J586" s="65" t="s">
        <v>35</v>
      </c>
      <c r="K586" s="63">
        <f>IFERROR(VLOOKUP(J586,Jueces!$A$1:$B$11,2,FALSE),"")</f>
        <v>3</v>
      </c>
      <c r="L586" s="63" t="s">
        <v>811</v>
      </c>
      <c r="M586" s="63" t="s">
        <v>723</v>
      </c>
      <c r="N586" s="63" t="s">
        <v>2726</v>
      </c>
      <c r="O586" s="63" t="str">
        <f ca="1">IF(H586&lt;&gt;"",IF(H586&lt;=TODAY(),"SI","NO"),"LIMBO")</f>
        <v>SI</v>
      </c>
      <c r="P586" s="63" t="str">
        <f>IF($P$1=H586,"DIASOL", "DIANOSOL")</f>
        <v>DIANOSOL</v>
      </c>
      <c r="Q586" s="63" t="s">
        <v>897</v>
      </c>
      <c r="R586" s="63" t="str">
        <f>VLOOKUP($Q586,Resultados!$A$1:$B$49,2,FALSE)</f>
        <v>Libertad</v>
      </c>
      <c r="S586" s="70">
        <v>0.37708333333333338</v>
      </c>
      <c r="T586" s="72" t="str">
        <f>IF(G586=$J$1,"SI","NO")</f>
        <v>NO</v>
      </c>
      <c r="U586" s="72"/>
      <c r="V586" s="7" t="str">
        <f ca="1">IF(color_Celda(E586)=12106214,"ROSA",IF(color_Celda(E586)=65535,"AMARILLO",IF(color_Celda(E586)=5296274,"VERDE",IF(color_Celda(E586)=16777215,"BLANCO","NO SE"))))</f>
        <v>ROSA</v>
      </c>
      <c r="W586" s="70">
        <v>0.38958333333333334</v>
      </c>
      <c r="X586" s="259" t="s">
        <v>2725</v>
      </c>
      <c r="Y586" s="63"/>
      <c r="Z586" s="118" t="s">
        <v>748</v>
      </c>
      <c r="AA586" s="118" t="s">
        <v>1167</v>
      </c>
      <c r="AB586" s="118" t="s">
        <v>1169</v>
      </c>
      <c r="AC586" s="324"/>
    </row>
    <row r="587" spans="1:29" ht="60" customHeight="1">
      <c r="A587" s="63">
        <v>580</v>
      </c>
      <c r="B587" s="65">
        <v>45169</v>
      </c>
      <c r="C587" s="70">
        <v>0.53263888888888888</v>
      </c>
      <c r="D587" s="63" t="s">
        <v>2545</v>
      </c>
      <c r="E587" s="64" t="s">
        <v>2546</v>
      </c>
      <c r="F587" s="63">
        <v>7</v>
      </c>
      <c r="G587" s="63" t="s">
        <v>1434</v>
      </c>
      <c r="H587" s="208">
        <v>45187</v>
      </c>
      <c r="I587" s="65" t="s">
        <v>73</v>
      </c>
      <c r="J587" s="65" t="s">
        <v>31</v>
      </c>
      <c r="K587" s="63">
        <f>IFERROR(VLOOKUP(J587,Jueces!$A$1:$B$11,2,FALSE),"")</f>
        <v>2</v>
      </c>
      <c r="L587" s="63" t="s">
        <v>812</v>
      </c>
      <c r="M587" s="63" t="s">
        <v>2201</v>
      </c>
      <c r="N587" s="63" t="s">
        <v>2771</v>
      </c>
      <c r="O587" s="63" t="str">
        <f ca="1">IF(H587&lt;&gt;"",IF(H587&lt;=TODAY(),"SI","NO"),"LIMBO")</f>
        <v>SI</v>
      </c>
      <c r="P587" s="63" t="str">
        <f>IF($P$1=H587,"DIASOL", "DIANOSOL")</f>
        <v>DIANOSOL</v>
      </c>
      <c r="Q587" s="63" t="s">
        <v>903</v>
      </c>
      <c r="R587" s="63" t="str">
        <f>VLOOKUP($Q587,Resultados!$A$1:$B$49,2,FALSE)</f>
        <v>Juicio Abreviado</v>
      </c>
      <c r="S587" s="70">
        <v>0.48055555555555557</v>
      </c>
      <c r="T587" s="72" t="str">
        <f>IF(G587=$J$1,"SI","NO")</f>
        <v>NO</v>
      </c>
      <c r="U587" s="72"/>
      <c r="V587" s="7" t="str">
        <f ca="1">IF(color_Celda(E587)=12106214,"ROSA",IF(color_Celda(E587)=65535,"AMARILLO",IF(color_Celda(E587)=5296274,"VERDE",IF(color_Celda(E587)=16777215,"BLANCO","NO SE"))))</f>
        <v>ROSA</v>
      </c>
      <c r="W587" s="70">
        <v>0.48819444444444443</v>
      </c>
      <c r="X587" s="63"/>
      <c r="Y587" s="63"/>
      <c r="Z587" s="118" t="s">
        <v>743</v>
      </c>
      <c r="AA587" s="118" t="s">
        <v>1165</v>
      </c>
      <c r="AB587" s="118" t="s">
        <v>1171</v>
      </c>
      <c r="AC587" s="324"/>
    </row>
    <row r="588" spans="1:29" ht="60" customHeight="1">
      <c r="A588" s="63">
        <v>588</v>
      </c>
      <c r="B588" s="65">
        <v>45173</v>
      </c>
      <c r="C588" s="63" t="s">
        <v>2575</v>
      </c>
      <c r="D588" s="63" t="s">
        <v>2576</v>
      </c>
      <c r="E588" s="64" t="s">
        <v>2577</v>
      </c>
      <c r="F588" s="63">
        <v>7</v>
      </c>
      <c r="G588" s="63" t="s">
        <v>29</v>
      </c>
      <c r="H588" s="208">
        <v>45187</v>
      </c>
      <c r="I588" s="65" t="s">
        <v>73</v>
      </c>
      <c r="J588" s="65" t="s">
        <v>33</v>
      </c>
      <c r="K588" s="63">
        <f>IFERROR(VLOOKUP(J588,Jueces!$A$1:$B$11,2,FALSE),"")</f>
        <v>4</v>
      </c>
      <c r="L588" s="63" t="s">
        <v>805</v>
      </c>
      <c r="M588" s="63" t="s">
        <v>723</v>
      </c>
      <c r="N588" s="63" t="s">
        <v>2773</v>
      </c>
      <c r="O588" s="63" t="str">
        <f ca="1">IF(H588&lt;&gt;"",IF(H588&lt;=TODAY(),"SI","NO"),"LIMBO")</f>
        <v>SI</v>
      </c>
      <c r="P588" s="63" t="str">
        <f>IF($P$1=H588,"DIASOL", "DIANOSOL")</f>
        <v>DIANOSOL</v>
      </c>
      <c r="Q588" s="63" t="s">
        <v>907</v>
      </c>
      <c r="R588" s="63" t="str">
        <f>VLOOKUP($Q588,Resultados!$A$1:$B$49,2,FALSE)</f>
        <v>Suspensión de juicio a prueba</v>
      </c>
      <c r="S588" s="70">
        <v>0.35833333333333334</v>
      </c>
      <c r="T588" s="72" t="str">
        <f>IF(G588=$J$1,"SI","NO")</f>
        <v>NO</v>
      </c>
      <c r="U588" s="72"/>
      <c r="V588" s="7" t="str">
        <f ca="1">IF(color_Celda(E588)=12106214,"ROSA",IF(color_Celda(E588)=65535,"AMARILLO",IF(color_Celda(E588)=5296274,"VERDE",IF(color_Celda(E588)=16777215,"BLANCO","NO SE"))))</f>
        <v>ROSA</v>
      </c>
      <c r="W588" s="70">
        <v>0.3666666666666667</v>
      </c>
      <c r="X588" s="63"/>
      <c r="Y588" s="63"/>
      <c r="Z588" s="118" t="s">
        <v>748</v>
      </c>
      <c r="AA588" s="118" t="s">
        <v>743</v>
      </c>
      <c r="AB588" s="118" t="s">
        <v>1173</v>
      </c>
      <c r="AC588" s="324"/>
    </row>
    <row r="589" spans="1:29" ht="60" customHeight="1">
      <c r="A589" s="63">
        <v>595</v>
      </c>
      <c r="B589" s="65">
        <v>45174</v>
      </c>
      <c r="C589" s="70">
        <v>0.40833333333333338</v>
      </c>
      <c r="D589" s="63" t="s">
        <v>2591</v>
      </c>
      <c r="E589" s="64" t="s">
        <v>2613</v>
      </c>
      <c r="F589" s="63">
        <v>7</v>
      </c>
      <c r="G589" s="63" t="s">
        <v>43</v>
      </c>
      <c r="H589" s="208">
        <v>45187</v>
      </c>
      <c r="I589" s="65" t="s">
        <v>73</v>
      </c>
      <c r="J589" s="65" t="s">
        <v>35</v>
      </c>
      <c r="K589" s="63">
        <f>IFERROR(VLOOKUP(J589,Jueces!$A$1:$B$11,2,FALSE),"")</f>
        <v>3</v>
      </c>
      <c r="L589" s="63" t="s">
        <v>809</v>
      </c>
      <c r="M589" s="63" t="s">
        <v>1029</v>
      </c>
      <c r="N589" s="63" t="s">
        <v>2769</v>
      </c>
      <c r="O589" s="63" t="str">
        <f ca="1">IF(H589&lt;&gt;"",IF(H589&lt;=TODAY(),"SI","NO"),"LIMBO")</f>
        <v>SI</v>
      </c>
      <c r="P589" s="63" t="str">
        <f>IF($P$1=H589,"DIASOL", "DIANOSOL")</f>
        <v>DIANOSOL</v>
      </c>
      <c r="Q589" s="63" t="s">
        <v>902</v>
      </c>
      <c r="R589" s="63" t="str">
        <f>VLOOKUP($Q589,Resultados!$A$1:$B$49,2,FALSE)</f>
        <v>Juicio Abreviado</v>
      </c>
      <c r="S589" s="70">
        <v>0.38125000000000003</v>
      </c>
      <c r="T589" s="72" t="str">
        <f>IF(G589=$J$1,"SI","NO")</f>
        <v>NO</v>
      </c>
      <c r="U589" s="72"/>
      <c r="V589" s="7" t="str">
        <f ca="1">IF(color_Celda(E589)=12106214,"ROSA",IF(color_Celda(E589)=65535,"AMARILLO",IF(color_Celda(E589)=5296274,"VERDE",IF(color_Celda(E589)=16777215,"BLANCO","NO SE"))))</f>
        <v>ROSA</v>
      </c>
      <c r="W589" s="70">
        <v>0.54513888888888895</v>
      </c>
      <c r="X589" s="366" t="s">
        <v>2770</v>
      </c>
      <c r="Y589" s="63"/>
      <c r="Z589" s="118" t="s">
        <v>770</v>
      </c>
      <c r="AA589" s="118" t="s">
        <v>1167</v>
      </c>
      <c r="AB589" s="118" t="s">
        <v>1172</v>
      </c>
      <c r="AC589" s="324"/>
    </row>
    <row r="590" spans="1:29" ht="60" customHeight="1">
      <c r="A590" s="63">
        <v>602</v>
      </c>
      <c r="B590" s="65">
        <v>45175</v>
      </c>
      <c r="C590" s="63" t="s">
        <v>2624</v>
      </c>
      <c r="D590" s="63" t="s">
        <v>2625</v>
      </c>
      <c r="E590" s="64" t="s">
        <v>2642</v>
      </c>
      <c r="F590" s="63">
        <v>4</v>
      </c>
      <c r="G590" s="63" t="s">
        <v>1435</v>
      </c>
      <c r="H590" s="208">
        <v>45187</v>
      </c>
      <c r="I590" s="65" t="s">
        <v>73</v>
      </c>
      <c r="J590" s="65" t="s">
        <v>1219</v>
      </c>
      <c r="K590" s="63" t="s">
        <v>1341</v>
      </c>
      <c r="L590" s="63" t="s">
        <v>1825</v>
      </c>
      <c r="M590" s="63" t="s">
        <v>2643</v>
      </c>
      <c r="N590" s="63" t="s">
        <v>897</v>
      </c>
      <c r="O590" s="63" t="str">
        <f ca="1">IF(H590&lt;&gt;"",IF(H590&lt;=TODAY(),"SI","NO"),"LIMBO")</f>
        <v>SI</v>
      </c>
      <c r="P590" s="63" t="str">
        <f>IF($P$1=H590,"DIASOL", "DIANOSOL")</f>
        <v>DIANOSOL</v>
      </c>
      <c r="Q590" s="63" t="s">
        <v>897</v>
      </c>
      <c r="R590" s="63" t="str">
        <f>VLOOKUP($Q590,Resultados!$A$1:$B$49,2,FALSE)</f>
        <v>Libertad</v>
      </c>
      <c r="S590" s="70">
        <v>0.34583333333333338</v>
      </c>
      <c r="T590" s="72" t="str">
        <f>IF(G590=$J$1,"SI","NO")</f>
        <v>SI</v>
      </c>
      <c r="U590" s="72"/>
      <c r="V590" s="7" t="str">
        <f ca="1">IF(color_Celda(E590)=12106214,"ROSA",IF(color_Celda(E590)=65535,"AMARILLO",IF(color_Celda(E590)=5296274,"VERDE",IF(color_Celda(E590)=16777215,"BLANCO","NO SE"))))</f>
        <v>ROSA</v>
      </c>
      <c r="W590" s="70">
        <v>0.38472222222222219</v>
      </c>
      <c r="X590" s="332" t="s">
        <v>2772</v>
      </c>
      <c r="Y590" s="63"/>
      <c r="Z590" s="118" t="s">
        <v>1038</v>
      </c>
      <c r="AA590" s="118" t="s">
        <v>743</v>
      </c>
      <c r="AB590" s="118" t="s">
        <v>1170</v>
      </c>
      <c r="AC590" s="324"/>
    </row>
    <row r="591" spans="1:29" ht="60" customHeight="1">
      <c r="A591" s="63">
        <v>569</v>
      </c>
      <c r="B591" s="65">
        <v>45168</v>
      </c>
      <c r="C591" s="70">
        <v>0.33333333333333331</v>
      </c>
      <c r="D591" s="63" t="s">
        <v>2506</v>
      </c>
      <c r="E591" s="64" t="s">
        <v>2532</v>
      </c>
      <c r="F591" s="63">
        <v>7</v>
      </c>
      <c r="G591" s="63" t="s">
        <v>568</v>
      </c>
      <c r="H591" s="208">
        <v>45188</v>
      </c>
      <c r="I591" s="65" t="s">
        <v>73</v>
      </c>
      <c r="J591" s="65" t="s">
        <v>1217</v>
      </c>
      <c r="K591" s="63">
        <v>7</v>
      </c>
      <c r="L591" s="63" t="s">
        <v>807</v>
      </c>
      <c r="M591" s="63" t="s">
        <v>723</v>
      </c>
      <c r="N591" s="63" t="s">
        <v>2788</v>
      </c>
      <c r="O591" s="63" t="str">
        <f ca="1">IF(H591&lt;&gt;"",IF(H591&lt;=TODAY(),"SI","NO"),"LIMBO")</f>
        <v>SI</v>
      </c>
      <c r="P591" s="63" t="str">
        <f>IF($P$1=H591,"DIASOL", "DIANOSOL")</f>
        <v>DIANOSOL</v>
      </c>
      <c r="Q591" s="63" t="s">
        <v>902</v>
      </c>
      <c r="R591" s="63" t="str">
        <f>VLOOKUP($Q591,Resultados!$A$1:$B$49,2,FALSE)</f>
        <v>Juicio Abreviado</v>
      </c>
      <c r="S591" s="63" t="s">
        <v>2789</v>
      </c>
      <c r="T591" s="72" t="str">
        <f>IF(G591=$J$1,"SI","NO")</f>
        <v>NO</v>
      </c>
      <c r="U591" s="72"/>
      <c r="V591" s="7" t="str">
        <f ca="1">IF(color_Celda(E591)=12106214,"ROSA",IF(color_Celda(E591)=65535,"AMARILLO",IF(color_Celda(E591)=5296274,"VERDE",IF(color_Celda(E591)=16777215,"BLANCO","NO SE"))))</f>
        <v>ROSA</v>
      </c>
      <c r="W591" s="63" t="s">
        <v>686</v>
      </c>
      <c r="X591" s="63"/>
      <c r="Y591" s="63"/>
      <c r="Z591" s="118" t="s">
        <v>1039</v>
      </c>
      <c r="AA591" s="118" t="s">
        <v>1165</v>
      </c>
      <c r="AB591" s="118" t="s">
        <v>1171</v>
      </c>
      <c r="AC591" s="324"/>
    </row>
    <row r="592" spans="1:29" ht="60" customHeight="1">
      <c r="A592" s="63">
        <v>592</v>
      </c>
      <c r="B592" s="65">
        <v>45174</v>
      </c>
      <c r="C592" s="70">
        <v>0.39999999999999997</v>
      </c>
      <c r="D592" s="63" t="s">
        <v>2588</v>
      </c>
      <c r="E592" s="64" t="s">
        <v>2611</v>
      </c>
      <c r="F592" s="63">
        <v>8</v>
      </c>
      <c r="G592" s="63" t="s">
        <v>29</v>
      </c>
      <c r="H592" s="208">
        <v>45188</v>
      </c>
      <c r="I592" s="65" t="s">
        <v>73</v>
      </c>
      <c r="J592" s="65" t="s">
        <v>35</v>
      </c>
      <c r="K592" s="63">
        <f>IFERROR(VLOOKUP(J592,Jueces!$A$1:$B$11,2,FALSE),"")</f>
        <v>3</v>
      </c>
      <c r="L592" s="63" t="s">
        <v>569</v>
      </c>
      <c r="M592" s="63" t="s">
        <v>767</v>
      </c>
      <c r="N592" s="63" t="s">
        <v>897</v>
      </c>
      <c r="O592" s="63" t="str">
        <f ca="1">IF(H592&lt;&gt;"",IF(H592&lt;=TODAY(),"SI","NO"),"LIMBO")</f>
        <v>SI</v>
      </c>
      <c r="P592" s="63" t="str">
        <f>IF($P$1=H592,"DIASOL", "DIANOSOL")</f>
        <v>DIANOSOL</v>
      </c>
      <c r="Q592" s="63" t="s">
        <v>897</v>
      </c>
      <c r="R592" s="63" t="str">
        <f>VLOOKUP($Q592,Resultados!$A$1:$B$49,2,FALSE)</f>
        <v>Libertad</v>
      </c>
      <c r="S592" s="63" t="s">
        <v>1130</v>
      </c>
      <c r="T592" s="72" t="str">
        <f>IF(G592=$J$1,"SI","NO")</f>
        <v>NO</v>
      </c>
      <c r="U592" s="72"/>
      <c r="V592" s="7" t="str">
        <f ca="1">IF(color_Celda(E592)=12106214,"ROSA",IF(color_Celda(E592)=65535,"AMARILLO",IF(color_Celda(E592)=5296274,"VERDE",IF(color_Celda(E592)=16777215,"BLANCO","NO SE"))))</f>
        <v>ROSA</v>
      </c>
      <c r="W592" s="63" t="s">
        <v>2047</v>
      </c>
      <c r="X592" s="63"/>
      <c r="Y592" s="63"/>
      <c r="Z592" s="118" t="s">
        <v>748</v>
      </c>
      <c r="AA592" s="118" t="s">
        <v>1167</v>
      </c>
      <c r="AB592" s="118" t="s">
        <v>1173</v>
      </c>
      <c r="AC592" s="324"/>
    </row>
    <row r="593" spans="1:29" ht="60" customHeight="1">
      <c r="A593" s="63">
        <v>596</v>
      </c>
      <c r="B593" s="65">
        <v>45174</v>
      </c>
      <c r="C593" s="70">
        <v>0.40972222222222227</v>
      </c>
      <c r="D593" s="63" t="s">
        <v>2592</v>
      </c>
      <c r="E593" s="64" t="s">
        <v>2628</v>
      </c>
      <c r="F593" s="63">
        <v>8</v>
      </c>
      <c r="G593" s="63" t="s">
        <v>283</v>
      </c>
      <c r="H593" s="208">
        <v>45188</v>
      </c>
      <c r="I593" s="102" t="s">
        <v>73</v>
      </c>
      <c r="J593" s="65" t="s">
        <v>31</v>
      </c>
      <c r="K593" s="63">
        <f>IFERROR(VLOOKUP(J593,Jueces!$A$1:$B$11,2,FALSE),"")</f>
        <v>2</v>
      </c>
      <c r="L593" s="63" t="s">
        <v>810</v>
      </c>
      <c r="M593" s="63" t="s">
        <v>885</v>
      </c>
      <c r="N593" s="63" t="s">
        <v>2790</v>
      </c>
      <c r="O593" s="63" t="str">
        <f ca="1">IF(H593&lt;&gt;"",IF(H593&lt;=TODAY(),"SI","NO"),"LIMBO")</f>
        <v>SI</v>
      </c>
      <c r="P593" s="63" t="str">
        <f>IF($P$1=H593,"DIASOL", "DIANOSOL")</f>
        <v>DIANOSOL</v>
      </c>
      <c r="Q593" s="63" t="s">
        <v>902</v>
      </c>
      <c r="R593" s="63" t="str">
        <f>VLOOKUP($Q593,Resultados!$A$1:$B$49,2,FALSE)</f>
        <v>Juicio Abreviado</v>
      </c>
      <c r="S593" s="63" t="s">
        <v>1031</v>
      </c>
      <c r="T593" s="72" t="str">
        <f>IF(G593=$J$1,"SI","NO")</f>
        <v>NO</v>
      </c>
      <c r="U593" s="72"/>
      <c r="V593" s="7" t="str">
        <f ca="1">IF(color_Celda(E593)=12106214,"ROSA",IF(color_Celda(E593)=65535,"AMARILLO",IF(color_Celda(E593)=5296274,"VERDE",IF(color_Celda(E593)=16777215,"BLANCO","NO SE"))))</f>
        <v>ROSA</v>
      </c>
      <c r="W593" s="63" t="s">
        <v>1287</v>
      </c>
      <c r="X593" s="63"/>
      <c r="Y593" s="63"/>
      <c r="Z593" s="118" t="s">
        <v>743</v>
      </c>
      <c r="AA593" s="118" t="s">
        <v>743</v>
      </c>
      <c r="AB593" s="118" t="s">
        <v>1169</v>
      </c>
      <c r="AC593" s="324"/>
    </row>
    <row r="594" spans="1:29" ht="60" customHeight="1">
      <c r="A594" s="63">
        <v>584</v>
      </c>
      <c r="B594" s="65">
        <v>45170</v>
      </c>
      <c r="C594" s="70">
        <v>0.41041666666666665</v>
      </c>
      <c r="D594" s="63" t="s">
        <v>2557</v>
      </c>
      <c r="E594" s="64" t="s">
        <v>2558</v>
      </c>
      <c r="F594" s="63">
        <v>7</v>
      </c>
      <c r="G594" s="63" t="s">
        <v>1433</v>
      </c>
      <c r="H594" s="208">
        <v>45188</v>
      </c>
      <c r="I594" s="65" t="s">
        <v>1083</v>
      </c>
      <c r="J594" s="65" t="s">
        <v>1221</v>
      </c>
      <c r="K594" s="63">
        <f>IFERROR(VLOOKUP(J594,Jueces!$A$1:$B$11,2,FALSE),"")</f>
        <v>6</v>
      </c>
      <c r="L594" s="63" t="s">
        <v>811</v>
      </c>
      <c r="M594" s="63" t="s">
        <v>767</v>
      </c>
      <c r="N594" s="63" t="s">
        <v>577</v>
      </c>
      <c r="O594" s="63" t="str">
        <f ca="1">IF(H594&lt;&gt;"",IF(H594&lt;=TODAY(),"SI","NO"),"LIMBO")</f>
        <v>SI</v>
      </c>
      <c r="P594" s="63" t="str">
        <f>IF($P$1=H594,"DIASOL", "DIANOSOL")</f>
        <v>DIANOSOL</v>
      </c>
      <c r="Q594" s="63" t="s">
        <v>151</v>
      </c>
      <c r="R594" s="63" t="str">
        <f>VLOOKUP($Q594,Resultados!$A$1:$B$49,2,FALSE)</f>
        <v>Prisión Preventiva</v>
      </c>
      <c r="S594" s="63" t="s">
        <v>1227</v>
      </c>
      <c r="T594" s="72" t="str">
        <f>IF(G594=$J$1,"SI","NO")</f>
        <v>NO</v>
      </c>
      <c r="U594" s="72"/>
      <c r="V594" s="7" t="str">
        <f ca="1">IF(color_Celda(E594)=12106214,"ROSA",IF(color_Celda(E594)=65535,"AMARILLO",IF(color_Celda(E594)=5296274,"VERDE",IF(color_Celda(E594)=16777215,"BLANCO","NO SE"))))</f>
        <v>ROSA</v>
      </c>
      <c r="W594" s="63" t="s">
        <v>1007</v>
      </c>
      <c r="X594" s="63" t="s">
        <v>2363</v>
      </c>
      <c r="Y594" s="63"/>
      <c r="Z594" s="118" t="s">
        <v>770</v>
      </c>
      <c r="AA594" s="118" t="s">
        <v>1165</v>
      </c>
      <c r="AB594" s="118" t="s">
        <v>1170</v>
      </c>
      <c r="AC594" s="324"/>
    </row>
    <row r="595" spans="1:29" ht="60" customHeight="1">
      <c r="A595" s="63">
        <v>601</v>
      </c>
      <c r="B595" s="65">
        <v>45175</v>
      </c>
      <c r="C595" s="70">
        <v>0.33333333333333331</v>
      </c>
      <c r="D595" s="63" t="s">
        <v>2620</v>
      </c>
      <c r="E595" s="64" t="s">
        <v>2621</v>
      </c>
      <c r="F595" s="63">
        <v>7</v>
      </c>
      <c r="G595" s="63" t="s">
        <v>43</v>
      </c>
      <c r="H595" s="208">
        <v>45188</v>
      </c>
      <c r="I595" s="65" t="s">
        <v>1206</v>
      </c>
      <c r="J595" s="65" t="s">
        <v>1220</v>
      </c>
      <c r="K595" s="63" t="s">
        <v>1483</v>
      </c>
      <c r="L595" s="63" t="s">
        <v>809</v>
      </c>
      <c r="M595" s="63" t="s">
        <v>767</v>
      </c>
      <c r="N595" s="63" t="s">
        <v>2791</v>
      </c>
      <c r="O595" s="63" t="str">
        <f ca="1">IF(H595&lt;&gt;"",IF(H595&lt;=TODAY(),"SI","NO"),"LIMBO")</f>
        <v>SI</v>
      </c>
      <c r="P595" s="63" t="str">
        <f>IF($P$1=H595,"DIASOL", "DIANOSOL")</f>
        <v>DIANOSOL</v>
      </c>
      <c r="Q595" s="63" t="s">
        <v>902</v>
      </c>
      <c r="R595" s="63" t="str">
        <f>VLOOKUP($Q595,Resultados!$A$1:$B$49,2,FALSE)</f>
        <v>Juicio Abreviado</v>
      </c>
      <c r="S595" s="63" t="s">
        <v>2663</v>
      </c>
      <c r="T595" s="72" t="str">
        <f>IF(G595=$J$1,"SI","NO")</f>
        <v>NO</v>
      </c>
      <c r="U595" s="72"/>
      <c r="V595" s="7" t="str">
        <f ca="1">IF(color_Celda(E595)=12106214,"ROSA",IF(color_Celda(E595)=65535,"AMARILLO",IF(color_Celda(E595)=5296274,"VERDE",IF(color_Celda(E595)=16777215,"BLANCO","NO SE"))))</f>
        <v>ROSA</v>
      </c>
      <c r="W595" s="63" t="s">
        <v>1122</v>
      </c>
      <c r="X595" s="63"/>
      <c r="Y595" s="63"/>
      <c r="Z595" s="118" t="s">
        <v>1038</v>
      </c>
      <c r="AA595" s="118" t="s">
        <v>1167</v>
      </c>
      <c r="AB595" s="118" t="s">
        <v>1169</v>
      </c>
      <c r="AC595" s="324"/>
    </row>
    <row r="596" spans="1:29" ht="60" customHeight="1">
      <c r="A596" s="63">
        <v>603</v>
      </c>
      <c r="B596" s="65">
        <v>45175</v>
      </c>
      <c r="C596" s="70">
        <v>0.48055555555555557</v>
      </c>
      <c r="D596" s="63" t="s">
        <v>2626</v>
      </c>
      <c r="E596" s="64" t="s">
        <v>2644</v>
      </c>
      <c r="F596" s="63">
        <v>4</v>
      </c>
      <c r="G596" s="63" t="s">
        <v>2753</v>
      </c>
      <c r="H596" s="208">
        <v>45188</v>
      </c>
      <c r="I596" s="65" t="s">
        <v>77</v>
      </c>
      <c r="J596" s="65" t="s">
        <v>1219</v>
      </c>
      <c r="K596" s="63" t="s">
        <v>1512</v>
      </c>
      <c r="L596" s="63" t="s">
        <v>2076</v>
      </c>
      <c r="M596" s="63" t="s">
        <v>2645</v>
      </c>
      <c r="N596" s="63" t="s">
        <v>2799</v>
      </c>
      <c r="O596" s="63" t="str">
        <f ca="1">IF(H596&lt;&gt;"",IF(H596&lt;=TODAY(),"SI","NO"),"LIMBO")</f>
        <v>SI</v>
      </c>
      <c r="P596" s="63" t="str">
        <f>IF($P$1=H596,"DIASOL", "DIANOSOL")</f>
        <v>DIANOSOL</v>
      </c>
      <c r="Q596" s="63" t="s">
        <v>897</v>
      </c>
      <c r="R596" s="63" t="str">
        <f>VLOOKUP($Q596,Resultados!$A$1:$B$49,2,FALSE)</f>
        <v>Libertad</v>
      </c>
      <c r="S596" s="70">
        <v>0.47222222222222227</v>
      </c>
      <c r="T596" s="72" t="str">
        <f>IF(G596=$J$1,"SI","NO")</f>
        <v>NO</v>
      </c>
      <c r="U596" s="72"/>
      <c r="V596" s="7" t="str">
        <f ca="1">IF(color_Celda(E596)=12106214,"ROSA",IF(color_Celda(E596)=65535,"AMARILLO",IF(color_Celda(E596)=5296274,"VERDE",IF(color_Celda(E596)=16777215,"BLANCO","NO SE"))))</f>
        <v>ROSA</v>
      </c>
      <c r="W596" s="70">
        <v>0.51111111111111118</v>
      </c>
      <c r="X596" s="7"/>
      <c r="Y596" s="63"/>
      <c r="Z596" s="118" t="s">
        <v>1039</v>
      </c>
      <c r="AA596" s="118" t="s">
        <v>743</v>
      </c>
      <c r="AB596" s="118" t="s">
        <v>1171</v>
      </c>
      <c r="AC596" s="324"/>
    </row>
    <row r="597" spans="1:29" ht="60" customHeight="1">
      <c r="A597" s="63">
        <v>582</v>
      </c>
      <c r="B597" s="65">
        <v>45170</v>
      </c>
      <c r="C597" s="63" t="s">
        <v>1081</v>
      </c>
      <c r="D597" s="63" t="s">
        <v>2553</v>
      </c>
      <c r="E597" s="64" t="s">
        <v>2554</v>
      </c>
      <c r="F597" s="63">
        <v>7</v>
      </c>
      <c r="G597" s="63" t="s">
        <v>1435</v>
      </c>
      <c r="H597" s="208">
        <v>45188</v>
      </c>
      <c r="I597" s="65" t="s">
        <v>228</v>
      </c>
      <c r="J597" s="65" t="s">
        <v>1217</v>
      </c>
      <c r="K597" s="63">
        <f>IFERROR(VLOOKUP(J597,Jueces!$A$1:$B$11,2,FALSE),"")</f>
        <v>7</v>
      </c>
      <c r="L597" s="63" t="s">
        <v>810</v>
      </c>
      <c r="M597" s="63" t="s">
        <v>767</v>
      </c>
      <c r="N597" s="63" t="s">
        <v>2797</v>
      </c>
      <c r="O597" s="63" t="str">
        <f ca="1">IF(H597&lt;&gt;"",IF(H597&lt;=TODAY(),"SI","NO"),"LIMBO")</f>
        <v>SI</v>
      </c>
      <c r="P597" s="63" t="str">
        <f>IF($P$1=H597,"DIASOL", "DIANOSOL")</f>
        <v>DIANOSOL</v>
      </c>
      <c r="Q597" s="63" t="s">
        <v>902</v>
      </c>
      <c r="R597" s="63" t="str">
        <f>VLOOKUP($Q597,Resultados!$A$1:$B$49,2,FALSE)</f>
        <v>Juicio Abreviado</v>
      </c>
      <c r="S597" s="70">
        <v>0.52013888888888882</v>
      </c>
      <c r="T597" s="72" t="str">
        <f>IF(G597=$J$1,"SI","NO")</f>
        <v>SI</v>
      </c>
      <c r="U597" s="72"/>
      <c r="V597" s="7" t="str">
        <f ca="1">IF(color_Celda(E597)=12106214,"ROSA",IF(color_Celda(E597)=65535,"AMARILLO",IF(color_Celda(E597)=5296274,"VERDE",IF(color_Celda(E597)=16777215,"BLANCO","NO SE"))))</f>
        <v>ROSA</v>
      </c>
      <c r="W597" s="70">
        <v>0.53194444444444444</v>
      </c>
      <c r="X597" s="639" t="s">
        <v>2798</v>
      </c>
      <c r="Y597" s="63"/>
      <c r="Z597" s="118" t="s">
        <v>748</v>
      </c>
      <c r="AA597" s="118" t="s">
        <v>1165</v>
      </c>
      <c r="AB597" s="118" t="s">
        <v>1173</v>
      </c>
      <c r="AC597" s="324"/>
    </row>
    <row r="598" spans="1:29" ht="60" customHeight="1">
      <c r="A598" s="63">
        <v>578</v>
      </c>
      <c r="B598" s="65">
        <v>45169</v>
      </c>
      <c r="C598" s="70">
        <v>0.35902777777777778</v>
      </c>
      <c r="D598" s="63" t="s">
        <v>2539</v>
      </c>
      <c r="E598" s="64" t="s">
        <v>2806</v>
      </c>
      <c r="F598" s="63">
        <v>6</v>
      </c>
      <c r="G598" s="63" t="s">
        <v>1435</v>
      </c>
      <c r="H598" s="208">
        <v>45189</v>
      </c>
      <c r="I598" s="65" t="s">
        <v>73</v>
      </c>
      <c r="J598" s="65" t="s">
        <v>33</v>
      </c>
      <c r="K598" s="63" t="s">
        <v>1341</v>
      </c>
      <c r="L598" s="63" t="s">
        <v>795</v>
      </c>
      <c r="M598" s="63" t="s">
        <v>725</v>
      </c>
      <c r="N598" s="63" t="s">
        <v>2836</v>
      </c>
      <c r="O598" s="63" t="str">
        <f ca="1">IF(H598&lt;&gt;"",IF(H598&lt;=TODAY(),"SI","NO"),"LIMBO")</f>
        <v>SI</v>
      </c>
      <c r="P598" s="63" t="str">
        <f>IF($P$1=H598,"DIASOL", "DIANOSOL")</f>
        <v>DIANOSOL</v>
      </c>
      <c r="Q598" s="63" t="s">
        <v>151</v>
      </c>
      <c r="R598" s="63" t="str">
        <f>VLOOKUP($Q598,Resultados!$A$1:$B$49,2,FALSE)</f>
        <v>Prisión Preventiva</v>
      </c>
      <c r="S598" s="70">
        <v>0.37291666666666662</v>
      </c>
      <c r="T598" s="72" t="str">
        <f>IF(G598=$J$1,"SI","NO")</f>
        <v>SI</v>
      </c>
      <c r="U598" s="72"/>
      <c r="V598" s="7" t="str">
        <f ca="1">IF(color_Celda(E598)=12106214,"ROSA",IF(color_Celda(E598)=65535,"AMARILLO",IF(color_Celda(E598)=5296274,"VERDE",IF(color_Celda(E598)=16777215,"BLANCO","NO SE"))))</f>
        <v>ROSA</v>
      </c>
      <c r="W598" s="70">
        <v>0.39374999999999999</v>
      </c>
      <c r="X598" s="259" t="s">
        <v>2837</v>
      </c>
      <c r="Y598" s="63"/>
      <c r="Z598" s="118" t="s">
        <v>743</v>
      </c>
      <c r="AA598" s="118" t="s">
        <v>1165</v>
      </c>
      <c r="AB598" s="118" t="s">
        <v>1170</v>
      </c>
      <c r="AC598" s="324"/>
    </row>
    <row r="599" spans="1:29" ht="60" customHeight="1">
      <c r="A599" s="63">
        <v>600</v>
      </c>
      <c r="B599" s="65">
        <v>45175</v>
      </c>
      <c r="C599" s="70">
        <v>0.33333333333333331</v>
      </c>
      <c r="D599" s="63" t="s">
        <v>2619</v>
      </c>
      <c r="E599" s="64" t="s">
        <v>2807</v>
      </c>
      <c r="F599" s="63">
        <v>7</v>
      </c>
      <c r="G599" s="63" t="s">
        <v>568</v>
      </c>
      <c r="H599" s="208">
        <v>45189</v>
      </c>
      <c r="I599" s="65" t="s">
        <v>73</v>
      </c>
      <c r="J599" s="65" t="s">
        <v>78</v>
      </c>
      <c r="K599" s="63">
        <f>IFERROR(VLOOKUP(J599,Jueces!$A$1:$B$11,2,FALSE),"")</f>
        <v>8</v>
      </c>
      <c r="L599" s="63" t="s">
        <v>798</v>
      </c>
      <c r="M599" s="63" t="s">
        <v>723</v>
      </c>
      <c r="N599" s="63" t="s">
        <v>2841</v>
      </c>
      <c r="O599" s="63" t="str">
        <f ca="1">IF(H599&lt;&gt;"",IF(H599&lt;=TODAY(),"SI","NO"),"LIMBO")</f>
        <v>SI</v>
      </c>
      <c r="P599" s="63" t="str">
        <f>IF($P$1=H599,"DIASOL", "DIANOSOL")</f>
        <v>DIANOSOL</v>
      </c>
      <c r="Q599" s="63" t="s">
        <v>903</v>
      </c>
      <c r="R599" s="63" t="str">
        <f>VLOOKUP($Q599,Resultados!$A$1:$B$49,2,FALSE)</f>
        <v>Juicio Abreviado</v>
      </c>
      <c r="S599" s="70">
        <v>0.35555555555555557</v>
      </c>
      <c r="T599" s="72" t="str">
        <f>IF(G599=$J$1,"SI","NO")</f>
        <v>NO</v>
      </c>
      <c r="U599" s="72"/>
      <c r="V599" s="7" t="str">
        <f ca="1">IF(color_Celda(E599)=12106214,"ROSA",IF(color_Celda(E599)=65535,"AMARILLO",IF(color_Celda(E599)=5296274,"VERDE",IF(color_Celda(E599)=16777215,"BLANCO","NO SE"))))</f>
        <v>ROSA</v>
      </c>
      <c r="W599" s="70">
        <v>0.37013888888888885</v>
      </c>
      <c r="X599" s="639" t="s">
        <v>2842</v>
      </c>
      <c r="Y599" s="63"/>
      <c r="Z599" s="118" t="s">
        <v>770</v>
      </c>
      <c r="AA599" s="118" t="s">
        <v>1165</v>
      </c>
      <c r="AB599" s="118" t="s">
        <v>1169</v>
      </c>
      <c r="AC599" s="324"/>
    </row>
    <row r="600" spans="1:29" ht="60" customHeight="1">
      <c r="A600" s="63">
        <v>605</v>
      </c>
      <c r="B600" s="65">
        <v>45175</v>
      </c>
      <c r="C600" s="70">
        <v>0.56597222222222221</v>
      </c>
      <c r="D600" s="63" t="s">
        <v>2629</v>
      </c>
      <c r="E600" s="64" t="s">
        <v>2808</v>
      </c>
      <c r="F600" s="63">
        <v>8</v>
      </c>
      <c r="G600" s="63" t="s">
        <v>2751</v>
      </c>
      <c r="H600" s="208">
        <v>45189</v>
      </c>
      <c r="I600" s="65" t="s">
        <v>73</v>
      </c>
      <c r="J600" s="65" t="s">
        <v>1219</v>
      </c>
      <c r="K600" s="63" t="s">
        <v>1321</v>
      </c>
      <c r="L600" s="63" t="s">
        <v>1406</v>
      </c>
      <c r="M600" s="63" t="s">
        <v>1028</v>
      </c>
      <c r="N600" s="63" t="s">
        <v>2840</v>
      </c>
      <c r="O600" s="63" t="str">
        <f ca="1">IF(H600&lt;&gt;"",IF(H600&lt;=TODAY(),"SI","NO"),"LIMBO")</f>
        <v>SI</v>
      </c>
      <c r="P600" s="63" t="str">
        <f>IF($P$1=H600,"DIASOL", "DIANOSOL")</f>
        <v>DIANOSOL</v>
      </c>
      <c r="Q600" s="63" t="s">
        <v>902</v>
      </c>
      <c r="R600" s="63" t="str">
        <f>VLOOKUP($Q600,Resultados!$A$1:$B$49,2,FALSE)</f>
        <v>Juicio Abreviado</v>
      </c>
      <c r="S600" s="70">
        <v>0.36944444444444446</v>
      </c>
      <c r="T600" s="72" t="str">
        <f>IF(G600=$J$1,"SI","NO")</f>
        <v>NO</v>
      </c>
      <c r="U600" s="72"/>
      <c r="V600" s="7" t="str">
        <f ca="1">IF(color_Celda(E600)=12106214,"ROSA",IF(color_Celda(E600)=65535,"AMARILLO",IF(color_Celda(E600)=5296274,"VERDE",IF(color_Celda(E600)=16777215,"BLANCO","NO SE"))))</f>
        <v>ROSA</v>
      </c>
      <c r="W600" s="70">
        <v>0.38611111111111113</v>
      </c>
      <c r="X600" s="63"/>
      <c r="Y600" s="63"/>
      <c r="Z600" s="118" t="s">
        <v>1038</v>
      </c>
      <c r="AA600" s="118" t="s">
        <v>2777</v>
      </c>
      <c r="AB600" s="118" t="s">
        <v>1171</v>
      </c>
      <c r="AC600" s="324"/>
    </row>
    <row r="601" spans="1:29" ht="60" customHeight="1">
      <c r="A601" s="63">
        <v>615</v>
      </c>
      <c r="B601" s="65">
        <v>45177</v>
      </c>
      <c r="C601" s="70">
        <v>0.5180555555555556</v>
      </c>
      <c r="D601" s="63" t="s">
        <v>2675</v>
      </c>
      <c r="E601" s="64" t="s">
        <v>2809</v>
      </c>
      <c r="F601" s="63">
        <v>6</v>
      </c>
      <c r="G601" s="63" t="s">
        <v>1433</v>
      </c>
      <c r="H601" s="208">
        <v>45189</v>
      </c>
      <c r="I601" s="65" t="s">
        <v>73</v>
      </c>
      <c r="J601" s="65" t="s">
        <v>31</v>
      </c>
      <c r="K601" s="63">
        <f>IFERROR(VLOOKUP(J601,Jueces!$A$1:$B$11,2,FALSE),"")</f>
        <v>2</v>
      </c>
      <c r="L601" s="63" t="s">
        <v>1301</v>
      </c>
      <c r="M601" s="63" t="s">
        <v>2679</v>
      </c>
      <c r="N601" s="63" t="s">
        <v>2838</v>
      </c>
      <c r="O601" s="63" t="str">
        <f ca="1">IF(H601&lt;&gt;"",IF(H601&lt;=TODAY(),"SI","NO"),"LIMBO")</f>
        <v>SI</v>
      </c>
      <c r="P601" s="63" t="str">
        <f>IF($P$1=H601,"DIASOL", "DIANOSOL")</f>
        <v>DIANOSOL</v>
      </c>
      <c r="Q601" s="63" t="s">
        <v>897</v>
      </c>
      <c r="R601" s="63" t="str">
        <f>VLOOKUP($Q601,Resultados!$A$1:$B$49,2,FALSE)</f>
        <v>Libertad</v>
      </c>
      <c r="S601" s="70">
        <v>0.37152777777777773</v>
      </c>
      <c r="T601" s="72" t="str">
        <f>IF(G601=$J$1,"SI","NO")</f>
        <v>NO</v>
      </c>
      <c r="U601" s="72"/>
      <c r="V601" s="7" t="str">
        <f ca="1">IF(color_Celda(E601)=12106214,"ROSA",IF(color_Celda(E601)=65535,"AMARILLO",IF(color_Celda(E601)=5296274,"VERDE",IF(color_Celda(E601)=16777215,"BLANCO","NO SE"))))</f>
        <v>ROSA</v>
      </c>
      <c r="W601" s="70">
        <v>0.37916666666666665</v>
      </c>
      <c r="X601" s="366" t="s">
        <v>2839</v>
      </c>
      <c r="Y601" s="63"/>
      <c r="Z601" s="118" t="s">
        <v>1039</v>
      </c>
      <c r="AA601" s="118" t="s">
        <v>1165</v>
      </c>
      <c r="AB601" s="118" t="s">
        <v>1173</v>
      </c>
      <c r="AC601" s="324"/>
    </row>
    <row r="602" spans="1:29" ht="60" customHeight="1">
      <c r="A602" s="63">
        <v>604</v>
      </c>
      <c r="B602" s="65">
        <v>45175</v>
      </c>
      <c r="C602" s="70">
        <v>0.50694444444444442</v>
      </c>
      <c r="D602" s="63" t="s">
        <v>2594</v>
      </c>
      <c r="E602" s="64" t="s">
        <v>2810</v>
      </c>
      <c r="F602" s="63">
        <v>7</v>
      </c>
      <c r="G602" s="63" t="s">
        <v>283</v>
      </c>
      <c r="H602" s="208">
        <v>45189</v>
      </c>
      <c r="I602" s="65" t="s">
        <v>749</v>
      </c>
      <c r="J602" s="65" t="s">
        <v>1221</v>
      </c>
      <c r="K602" s="63">
        <f>IFERROR(VLOOKUP(J602,Jueces!$A$1:$B$11,2,FALSE),"")</f>
        <v>6</v>
      </c>
      <c r="L602" s="63" t="s">
        <v>582</v>
      </c>
      <c r="M602" s="63" t="s">
        <v>767</v>
      </c>
      <c r="N602" s="63" t="s">
        <v>1744</v>
      </c>
      <c r="O602" s="63" t="str">
        <f ca="1">IF(H602&lt;&gt;"",IF(H602&lt;=TODAY(),"SI","NO"),"LIMBO")</f>
        <v>SI</v>
      </c>
      <c r="P602" s="63" t="str">
        <f>IF($P$1=H602,"DIASOL", "DIANOSOL")</f>
        <v>DIANOSOL</v>
      </c>
      <c r="Q602" s="63" t="s">
        <v>151</v>
      </c>
      <c r="R602" s="63" t="str">
        <f>VLOOKUP($Q602,Resultados!$A$1:$B$49,2,FALSE)</f>
        <v>Prisión Preventiva</v>
      </c>
      <c r="S602" s="70">
        <v>0.34861111111111115</v>
      </c>
      <c r="T602" s="72" t="str">
        <f>IF(G602=$J$1,"SI","NO")</f>
        <v>NO</v>
      </c>
      <c r="U602" s="72"/>
      <c r="V602" s="7" t="str">
        <f ca="1">IF(color_Celda(E602)=12106214,"ROSA",IF(color_Celda(E602)=65535,"AMARILLO",IF(color_Celda(E602)=5296274,"VERDE",IF(color_Celda(E602)=16777215,"BLANCO","NO SE"))))</f>
        <v>ROSA</v>
      </c>
      <c r="W602" s="70">
        <v>0.38194444444444442</v>
      </c>
      <c r="X602" s="366" t="s">
        <v>2835</v>
      </c>
      <c r="Y602" s="63"/>
      <c r="Z602" s="118" t="s">
        <v>748</v>
      </c>
      <c r="AA602" s="118" t="s">
        <v>2777</v>
      </c>
      <c r="AB602" s="118" t="s">
        <v>1170</v>
      </c>
      <c r="AC602" s="324"/>
    </row>
    <row r="603" spans="1:29" ht="60" customHeight="1">
      <c r="A603" s="63">
        <v>598</v>
      </c>
      <c r="B603" s="65">
        <v>45174</v>
      </c>
      <c r="C603" s="70">
        <v>0.47847222222222219</v>
      </c>
      <c r="D603" s="63" t="s">
        <v>2616</v>
      </c>
      <c r="E603" s="64" t="s">
        <v>2811</v>
      </c>
      <c r="F603" s="63">
        <v>8</v>
      </c>
      <c r="G603" s="63" t="s">
        <v>1434</v>
      </c>
      <c r="H603" s="208">
        <v>45189</v>
      </c>
      <c r="I603" s="65" t="s">
        <v>1083</v>
      </c>
      <c r="J603" s="65" t="s">
        <v>1219</v>
      </c>
      <c r="K603" s="63" t="s">
        <v>1321</v>
      </c>
      <c r="L603" s="63" t="s">
        <v>807</v>
      </c>
      <c r="M603" s="63" t="s">
        <v>767</v>
      </c>
      <c r="N603" s="63" t="s">
        <v>2832</v>
      </c>
      <c r="O603" s="63" t="str">
        <f ca="1">IF(H603&lt;&gt;"",IF(H603&lt;=TODAY(),"SI","NO"),"LIMBO")</f>
        <v>SI</v>
      </c>
      <c r="P603" s="63" t="str">
        <f>IF($P$1=H603,"DIASOL", "DIANOSOL")</f>
        <v>DIANOSOL</v>
      </c>
      <c r="Q603" s="63" t="s">
        <v>902</v>
      </c>
      <c r="R603" s="63" t="str">
        <f>VLOOKUP($Q603,Resultados!$A$1:$B$49,2,FALSE)</f>
        <v>Juicio Abreviado</v>
      </c>
      <c r="S603" s="70">
        <v>0.39027777777777778</v>
      </c>
      <c r="T603" s="72" t="str">
        <f>IF(G603=$J$1,"SI","NO")</f>
        <v>NO</v>
      </c>
      <c r="U603" s="72"/>
      <c r="V603" s="7" t="str">
        <f ca="1">IF(color_Celda(E603)=12106214,"ROSA",IF(color_Celda(E603)=65535,"AMARILLO",IF(color_Celda(E603)=5296274,"VERDE",IF(color_Celda(E603)=16777215,"BLANCO","NO SE"))))</f>
        <v>ROSA</v>
      </c>
      <c r="W603" s="70">
        <v>0.4055555555555555</v>
      </c>
      <c r="X603" s="63"/>
      <c r="Y603" s="63"/>
      <c r="Z603" s="118" t="s">
        <v>743</v>
      </c>
      <c r="AA603" s="118" t="s">
        <v>2777</v>
      </c>
      <c r="AB603" s="118" t="s">
        <v>1169</v>
      </c>
      <c r="AC603" s="324"/>
    </row>
    <row r="604" spans="1:29" ht="60" customHeight="1">
      <c r="A604" s="63">
        <v>607</v>
      </c>
      <c r="B604" s="65">
        <v>45176</v>
      </c>
      <c r="C604" s="70">
        <v>0.52638888888888891</v>
      </c>
      <c r="D604" s="63" t="s">
        <v>2708</v>
      </c>
      <c r="E604" s="64" t="s">
        <v>2812</v>
      </c>
      <c r="F604" s="63">
        <v>8</v>
      </c>
      <c r="G604" s="63" t="s">
        <v>29</v>
      </c>
      <c r="H604" s="208">
        <v>45189</v>
      </c>
      <c r="I604" s="65" t="s">
        <v>1083</v>
      </c>
      <c r="J604" s="65" t="s">
        <v>1217</v>
      </c>
      <c r="K604" s="63">
        <f>IFERROR(VLOOKUP(J604,Jueces!$A$1:$B$11,2,FALSE),"")</f>
        <v>7</v>
      </c>
      <c r="L604" s="63" t="s">
        <v>791</v>
      </c>
      <c r="M604" s="63" t="s">
        <v>885</v>
      </c>
      <c r="N604" s="63" t="s">
        <v>2833</v>
      </c>
      <c r="O604" s="63" t="str">
        <f ca="1">IF(H604&lt;&gt;"",IF(H604&lt;=TODAY(),"SI","NO"),"LIMBO")</f>
        <v>SI</v>
      </c>
      <c r="P604" s="63" t="str">
        <f>IF($P$1=H604,"DIASOL", "DIANOSOL")</f>
        <v>DIANOSOL</v>
      </c>
      <c r="Q604" s="63" t="s">
        <v>902</v>
      </c>
      <c r="R604" s="63" t="str">
        <f>VLOOKUP($Q604,Resultados!$A$1:$B$49,2,FALSE)</f>
        <v>Juicio Abreviado</v>
      </c>
      <c r="S604" s="70">
        <v>0.41111111111111115</v>
      </c>
      <c r="T604" s="72" t="str">
        <f>IF(G604=$J$1,"SI","NO")</f>
        <v>NO</v>
      </c>
      <c r="U604" s="72"/>
      <c r="V604" s="7" t="str">
        <f ca="1">IF(color_Celda(E604)=12106214,"ROSA",IF(color_Celda(E604)=65535,"AMARILLO",IF(color_Celda(E604)=5296274,"VERDE",IF(color_Celda(E604)=16777215,"BLANCO","NO SE"))))</f>
        <v>ROSA</v>
      </c>
      <c r="W604" s="70">
        <v>0.41666666666666669</v>
      </c>
      <c r="X604" s="259" t="s">
        <v>2834</v>
      </c>
      <c r="Y604" s="63"/>
      <c r="Z604" s="118" t="s">
        <v>770</v>
      </c>
      <c r="AA604" s="118" t="s">
        <v>1165</v>
      </c>
      <c r="AB604" s="118" t="s">
        <v>1171</v>
      </c>
      <c r="AC604" s="324"/>
    </row>
    <row r="605" spans="1:29" ht="60" customHeight="1">
      <c r="A605" s="63">
        <v>612</v>
      </c>
      <c r="B605" s="65">
        <v>45177</v>
      </c>
      <c r="C605" s="70">
        <v>0.40833333333333338</v>
      </c>
      <c r="D605" s="63" t="s">
        <v>2667</v>
      </c>
      <c r="E605" s="64" t="s">
        <v>2813</v>
      </c>
      <c r="F605" s="63">
        <v>7</v>
      </c>
      <c r="G605" s="63" t="s">
        <v>43</v>
      </c>
      <c r="H605" s="208">
        <v>45189</v>
      </c>
      <c r="I605" s="65" t="s">
        <v>2011</v>
      </c>
      <c r="J605" s="65" t="s">
        <v>33</v>
      </c>
      <c r="K605" s="63" t="s">
        <v>1341</v>
      </c>
      <c r="L605" s="63" t="s">
        <v>811</v>
      </c>
      <c r="M605" s="63" t="s">
        <v>767</v>
      </c>
      <c r="N605" s="63" t="s">
        <v>2844</v>
      </c>
      <c r="O605" s="63" t="str">
        <f ca="1">IF(H605&lt;&gt;"",IF(H605&lt;=TODAY(),"SI","NO"),"LIMBO")</f>
        <v>SI</v>
      </c>
      <c r="P605" s="63" t="str">
        <f>IF($P$1=H605,"DIASOL", "DIANOSOL")</f>
        <v>DIANOSOL</v>
      </c>
      <c r="Q605" s="63" t="s">
        <v>902</v>
      </c>
      <c r="R605" s="63" t="str">
        <f>VLOOKUP($Q605,Resultados!$A$1:$B$49,2,FALSE)</f>
        <v>Juicio Abreviado</v>
      </c>
      <c r="S605" s="70">
        <v>0.53055555555555556</v>
      </c>
      <c r="T605" s="72" t="str">
        <f>IF(G605=$J$1,"SI","NO")</f>
        <v>NO</v>
      </c>
      <c r="U605" s="72"/>
      <c r="V605" s="7" t="str">
        <f ca="1">IF(color_Celda(E605)=12106214,"ROSA",IF(color_Celda(E605)=65535,"AMARILLO",IF(color_Celda(E605)=5296274,"VERDE",IF(color_Celda(E605)=16777215,"BLANCO","NO SE"))))</f>
        <v>ROSA</v>
      </c>
      <c r="W605" s="70">
        <v>0.54513888888888895</v>
      </c>
      <c r="X605" s="63"/>
      <c r="Y605" s="63"/>
      <c r="Z605" s="118" t="s">
        <v>1038</v>
      </c>
      <c r="AA605" s="118" t="s">
        <v>2828</v>
      </c>
      <c r="AB605" s="118" t="s">
        <v>1173</v>
      </c>
      <c r="AC605" s="324"/>
    </row>
    <row r="606" spans="1:29" ht="60" customHeight="1">
      <c r="A606" s="63">
        <v>583</v>
      </c>
      <c r="B606" s="65">
        <v>45170</v>
      </c>
      <c r="C606" s="63" t="s">
        <v>73</v>
      </c>
      <c r="D606" s="63" t="s">
        <v>2555</v>
      </c>
      <c r="E606" s="64" t="s">
        <v>2556</v>
      </c>
      <c r="F606" s="63">
        <v>7</v>
      </c>
      <c r="G606" s="63" t="s">
        <v>568</v>
      </c>
      <c r="H606" s="208">
        <v>45190</v>
      </c>
      <c r="I606" s="65" t="s">
        <v>73</v>
      </c>
      <c r="J606" s="65" t="s">
        <v>1219</v>
      </c>
      <c r="K606" s="63" t="s">
        <v>1341</v>
      </c>
      <c r="L606" s="63" t="s">
        <v>801</v>
      </c>
      <c r="M606" s="63" t="s">
        <v>725</v>
      </c>
      <c r="N606" s="63" t="s">
        <v>2867</v>
      </c>
      <c r="O606" s="78" t="str">
        <f ca="1">IF(H606&lt;&gt;"",IF(H606&lt;=TODAY(),"SI","NO"),"LIMBO")</f>
        <v>SI</v>
      </c>
      <c r="P606" s="78" t="str">
        <f>IF($P$1=H606,"DIASOL", "DIANOSOL")</f>
        <v>DIANOSOL</v>
      </c>
      <c r="Q606" s="63" t="s">
        <v>902</v>
      </c>
      <c r="R606" s="63" t="str">
        <f>VLOOKUP($Q606,Resultados!$A$1:$B$49,2,FALSE)</f>
        <v>Juicio Abreviado</v>
      </c>
      <c r="S606" s="70">
        <v>0.38125000000000003</v>
      </c>
      <c r="T606" s="81" t="str">
        <f>IF(G606=$J$1,"SI","NO")</f>
        <v>NO</v>
      </c>
      <c r="U606" s="81"/>
      <c r="V606" s="7" t="str">
        <f ca="1">IF(color_Celda(E606)=12106214,"ROSA",IF(color_Celda(E606)=65535,"AMARILLO",IF(color_Celda(E606)=5296274,"VERDE",IF(color_Celda(E606)=16777215,"BLANCO","NO SE"))))</f>
        <v>ROSA</v>
      </c>
      <c r="W606" s="70">
        <v>0.40138888888888885</v>
      </c>
      <c r="X606" s="63"/>
      <c r="Y606" s="63"/>
      <c r="Z606" s="118" t="s">
        <v>2843</v>
      </c>
      <c r="AA606" s="118" t="s">
        <v>1165</v>
      </c>
      <c r="AB606" s="118" t="s">
        <v>1170</v>
      </c>
      <c r="AC606" s="324"/>
    </row>
    <row r="607" spans="1:29" ht="60" customHeight="1">
      <c r="A607" s="63">
        <v>599</v>
      </c>
      <c r="B607" s="65">
        <v>45174</v>
      </c>
      <c r="C607" s="70">
        <v>0.51944444444444449</v>
      </c>
      <c r="D607" s="63" t="s">
        <v>2617</v>
      </c>
      <c r="E607" s="64" t="s">
        <v>2618</v>
      </c>
      <c r="F607" s="63">
        <v>7</v>
      </c>
      <c r="G607" s="63" t="s">
        <v>1433</v>
      </c>
      <c r="H607" s="208">
        <v>45190</v>
      </c>
      <c r="I607" s="65" t="s">
        <v>73</v>
      </c>
      <c r="J607" s="65" t="s">
        <v>35</v>
      </c>
      <c r="K607" s="63">
        <f>IFERROR(VLOOKUP(J607,Jueces!$A$1:$B$11,2,FALSE),"")</f>
        <v>3</v>
      </c>
      <c r="L607" s="63" t="s">
        <v>806</v>
      </c>
      <c r="M607" s="63" t="s">
        <v>723</v>
      </c>
      <c r="N607" s="63" t="s">
        <v>2868</v>
      </c>
      <c r="O607" s="78" t="str">
        <f ca="1">IF(H607&lt;&gt;"",IF(H607&lt;=TODAY(),"SI","NO"),"LIMBO")</f>
        <v>SI</v>
      </c>
      <c r="P607" s="78" t="str">
        <f>IF($P$1=H607,"DIASOL", "DIANOSOL")</f>
        <v>DIANOSOL</v>
      </c>
      <c r="Q607" s="63" t="s">
        <v>907</v>
      </c>
      <c r="R607" s="63" t="str">
        <f>VLOOKUP($Q607,Resultados!$A$1:$B$49,2,FALSE)</f>
        <v>Suspensión de juicio a prueba</v>
      </c>
      <c r="S607" s="70">
        <v>0.3527777777777778</v>
      </c>
      <c r="T607" s="81" t="str">
        <f>IF(G607=$J$1,"SI","NO")</f>
        <v>NO</v>
      </c>
      <c r="U607" s="81"/>
      <c r="V607" s="7" t="str">
        <f ca="1">IF(color_Celda(E607)=12106214,"ROSA",IF(color_Celda(E607)=65535,"AMARILLO",IF(color_Celda(E607)=5296274,"VERDE",IF(color_Celda(E607)=16777215,"BLANCO","NO SE"))))</f>
        <v>ROSA</v>
      </c>
      <c r="W607" s="70">
        <v>0.35972222222222222</v>
      </c>
      <c r="X607" s="63"/>
      <c r="Y607" s="63"/>
      <c r="Z607" s="118" t="s">
        <v>1039</v>
      </c>
      <c r="AA607" s="118" t="s">
        <v>1165</v>
      </c>
      <c r="AB607" s="118" t="s">
        <v>1169</v>
      </c>
      <c r="AC607" s="324"/>
    </row>
    <row r="608" spans="1:29" ht="60" customHeight="1">
      <c r="A608" s="63">
        <v>610</v>
      </c>
      <c r="B608" s="65">
        <v>45177</v>
      </c>
      <c r="C608" s="70">
        <v>0.4513888888888889</v>
      </c>
      <c r="D608" s="63" t="s">
        <v>2665</v>
      </c>
      <c r="E608" s="64" t="s">
        <v>2778</v>
      </c>
      <c r="F608" s="63">
        <v>8</v>
      </c>
      <c r="G608" s="63" t="s">
        <v>2753</v>
      </c>
      <c r="H608" s="208">
        <v>45190</v>
      </c>
      <c r="I608" s="65" t="s">
        <v>73</v>
      </c>
      <c r="J608" s="65" t="s">
        <v>31</v>
      </c>
      <c r="K608" s="63">
        <f>IFERROR(VLOOKUP(J608,Jueces!$A$1:$B$11,2,FALSE),"")</f>
        <v>2</v>
      </c>
      <c r="L608" s="63" t="s">
        <v>791</v>
      </c>
      <c r="M608" s="63" t="s">
        <v>2672</v>
      </c>
      <c r="N608" s="63" t="s">
        <v>151</v>
      </c>
      <c r="O608" s="78" t="str">
        <f ca="1">IF(H608&lt;&gt;"",IF(H608&lt;=TODAY(),"SI","NO"),"LIMBO")</f>
        <v>SI</v>
      </c>
      <c r="P608" s="78" t="str">
        <f>IF($P$1=H608,"DIASOL", "DIANOSOL")</f>
        <v>DIANOSOL</v>
      </c>
      <c r="Q608" s="63" t="s">
        <v>151</v>
      </c>
      <c r="R608" s="63" t="str">
        <f>VLOOKUP($Q608,Resultados!$A$1:$B$49,2,FALSE)</f>
        <v>Prisión Preventiva</v>
      </c>
      <c r="S608" s="70">
        <v>0.3659722222222222</v>
      </c>
      <c r="T608" s="81" t="str">
        <f>IF(G608=$J$1,"SI","NO")</f>
        <v>NO</v>
      </c>
      <c r="U608" s="81"/>
      <c r="V608" s="7" t="str">
        <f ca="1">IF(color_Celda(E608)=12106214,"ROSA",IF(color_Celda(E608)=65535,"AMARILLO",IF(color_Celda(E608)=5296274,"VERDE",IF(color_Celda(E608)=16777215,"BLANCO","NO SE"))))</f>
        <v>ROSA</v>
      </c>
      <c r="W608" s="70">
        <v>0.37777777777777777</v>
      </c>
      <c r="X608" s="63"/>
      <c r="Y608" s="63"/>
      <c r="Z608" s="118" t="s">
        <v>748</v>
      </c>
      <c r="AA608" s="118" t="s">
        <v>2828</v>
      </c>
      <c r="AB608" s="118" t="s">
        <v>1171</v>
      </c>
      <c r="AC608" s="324"/>
    </row>
    <row r="609" spans="1:29" ht="60" customHeight="1">
      <c r="A609" s="63">
        <v>617</v>
      </c>
      <c r="B609" s="65">
        <v>45177</v>
      </c>
      <c r="C609" s="70">
        <v>0.5131944444444444</v>
      </c>
      <c r="D609" s="63" t="s">
        <v>2678</v>
      </c>
      <c r="E609" s="64" t="s">
        <v>2819</v>
      </c>
      <c r="F609" s="63">
        <v>6</v>
      </c>
      <c r="G609" s="63" t="s">
        <v>43</v>
      </c>
      <c r="H609" s="208">
        <v>45190</v>
      </c>
      <c r="I609" s="65" t="s">
        <v>73</v>
      </c>
      <c r="J609" s="65" t="s">
        <v>1217</v>
      </c>
      <c r="K609" s="63">
        <f>IFERROR(VLOOKUP(J609,Jueces!$A$1:$B$11,2,FALSE),"")</f>
        <v>7</v>
      </c>
      <c r="L609" s="63" t="s">
        <v>789</v>
      </c>
      <c r="M609" s="63" t="s">
        <v>2680</v>
      </c>
      <c r="N609" s="63" t="s">
        <v>151</v>
      </c>
      <c r="O609" s="78" t="str">
        <f ca="1">IF(H609&lt;&gt;"",IF(H609&lt;=TODAY(),"SI","NO"),"LIMBO")</f>
        <v>SI</v>
      </c>
      <c r="P609" s="78" t="str">
        <f>IF($P$1=H609,"DIASOL", "DIANOSOL")</f>
        <v>DIANOSOL</v>
      </c>
      <c r="Q609" s="63" t="s">
        <v>151</v>
      </c>
      <c r="R609" s="63" t="str">
        <f>VLOOKUP($Q609,Resultados!$A$1:$B$49,2,FALSE)</f>
        <v>Prisión Preventiva</v>
      </c>
      <c r="S609" s="70">
        <v>0.3527777777777778</v>
      </c>
      <c r="T609" s="81" t="str">
        <f>IF(G609=$J$1,"SI","NO")</f>
        <v>NO</v>
      </c>
      <c r="U609" s="81"/>
      <c r="V609" s="7" t="str">
        <f ca="1">IF(color_Celda(E609)=12106214,"ROSA",IF(color_Celda(E609)=65535,"AMARILLO",IF(color_Celda(E609)=5296274,"VERDE",IF(color_Celda(E609)=16777215,"BLANCO","NO SE"))))</f>
        <v>ROSA</v>
      </c>
      <c r="W609" s="70">
        <v>0.37986111111111115</v>
      </c>
      <c r="X609" s="63"/>
      <c r="Y609" s="63"/>
      <c r="Z609" s="118" t="s">
        <v>743</v>
      </c>
      <c r="AA609" s="118" t="s">
        <v>1165</v>
      </c>
      <c r="AB609" s="118" t="s">
        <v>1173</v>
      </c>
      <c r="AC609" s="324"/>
    </row>
    <row r="610" spans="1:29" ht="60" customHeight="1">
      <c r="A610" s="7">
        <v>608</v>
      </c>
      <c r="B610" s="297">
        <v>45176</v>
      </c>
      <c r="C610" s="15">
        <v>0.52361111111111114</v>
      </c>
      <c r="D610" s="7" t="s">
        <v>2653</v>
      </c>
      <c r="E610" s="40" t="s">
        <v>2845</v>
      </c>
      <c r="F610" s="69">
        <v>8</v>
      </c>
      <c r="G610" s="63" t="s">
        <v>1434</v>
      </c>
      <c r="H610" s="208">
        <v>45190</v>
      </c>
      <c r="I610" s="65" t="s">
        <v>749</v>
      </c>
      <c r="J610" s="65" t="s">
        <v>1221</v>
      </c>
      <c r="K610" s="63">
        <f>IFERROR(VLOOKUP(J610,Jueces!$A$1:$B$11,2,FALSE),"")</f>
        <v>6</v>
      </c>
      <c r="L610" s="63" t="s">
        <v>810</v>
      </c>
      <c r="M610" s="63" t="s">
        <v>885</v>
      </c>
      <c r="N610" s="63" t="s">
        <v>151</v>
      </c>
      <c r="O610" s="78" t="str">
        <f ca="1">IF(H610&lt;&gt;"",IF(H610&lt;=TODAY(),"SI","NO"),"LIMBO")</f>
        <v>SI</v>
      </c>
      <c r="P610" s="78" t="str">
        <f>IF($P$1=H610,"DIASOL", "DIANOSOL")</f>
        <v>DIANOSOL</v>
      </c>
      <c r="Q610" s="63" t="s">
        <v>151</v>
      </c>
      <c r="R610" s="63" t="str">
        <f>VLOOKUP($Q610,Resultados!$A$1:$B$49,2,FALSE)</f>
        <v>Prisión Preventiva</v>
      </c>
      <c r="S610" s="63"/>
      <c r="T610" s="81" t="str">
        <f>IF(G610=$J$1,"SI","NO")</f>
        <v>NO</v>
      </c>
      <c r="U610" s="81"/>
      <c r="V610" s="7" t="str">
        <f ca="1">IF(color_Celda(E610)=12106214,"ROSA",IF(color_Celda(E610)=65535,"AMARILLO",IF(color_Celda(E610)=5296274,"VERDE",IF(color_Celda(E610)=16777215,"BLANCO","NO SE"))))</f>
        <v>ROSA</v>
      </c>
      <c r="W610" s="63"/>
      <c r="X610" s="63"/>
      <c r="Y610" s="63"/>
      <c r="Z610" s="118" t="s">
        <v>770</v>
      </c>
      <c r="AA610" s="118" t="s">
        <v>2828</v>
      </c>
      <c r="AB610" s="118" t="s">
        <v>1170</v>
      </c>
      <c r="AC610" s="324"/>
    </row>
    <row r="611" spans="1:29" ht="60" customHeight="1">
      <c r="A611" s="107">
        <v>611</v>
      </c>
      <c r="B611" s="253">
        <v>45177</v>
      </c>
      <c r="C611" s="258">
        <v>0.43472222222222223</v>
      </c>
      <c r="D611" s="107" t="s">
        <v>2666</v>
      </c>
      <c r="E611" s="108" t="s">
        <v>2846</v>
      </c>
      <c r="F611" s="63">
        <v>7</v>
      </c>
      <c r="G611" s="63" t="s">
        <v>29</v>
      </c>
      <c r="H611" s="208">
        <v>45190</v>
      </c>
      <c r="I611" s="65" t="s">
        <v>1083</v>
      </c>
      <c r="J611" s="65" t="s">
        <v>78</v>
      </c>
      <c r="K611" s="63">
        <f>IFERROR(VLOOKUP(J611,Jueces!$A$1:$B$11,2,FALSE),"")</f>
        <v>8</v>
      </c>
      <c r="L611" s="63" t="s">
        <v>797</v>
      </c>
      <c r="M611" s="63" t="s">
        <v>723</v>
      </c>
      <c r="N611" s="63" t="s">
        <v>151</v>
      </c>
      <c r="O611" s="78" t="str">
        <f ca="1">IF(H611&lt;&gt;"",IF(H611&lt;=TODAY(),"SI","NO"),"LIMBO")</f>
        <v>SI</v>
      </c>
      <c r="P611" s="78" t="str">
        <f>IF($P$1=H611,"DIASOL", "DIANOSOL")</f>
        <v>DIANOSOL</v>
      </c>
      <c r="Q611" s="63" t="s">
        <v>151</v>
      </c>
      <c r="R611" s="63" t="str">
        <f>VLOOKUP($Q611,Resultados!$A$1:$B$49,2,FALSE)</f>
        <v>Prisión Preventiva</v>
      </c>
      <c r="S611" s="70">
        <v>0.37361111111111112</v>
      </c>
      <c r="T611" s="81" t="str">
        <f>IF(G611=$J$1,"SI","NO")</f>
        <v>NO</v>
      </c>
      <c r="U611" s="81"/>
      <c r="V611" s="7" t="str">
        <f ca="1">IF(color_Celda(E611)=12106214,"ROSA",IF(color_Celda(E611)=65535,"AMARILLO",IF(color_Celda(E611)=5296274,"VERDE",IF(color_Celda(E611)=16777215,"BLANCO","NO SE"))))</f>
        <v>ROSA</v>
      </c>
      <c r="W611" s="70">
        <v>0.39513888888888887</v>
      </c>
      <c r="X611" s="63"/>
      <c r="Y611" s="63"/>
      <c r="Z611" s="118" t="s">
        <v>2843</v>
      </c>
      <c r="AA611" s="118" t="s">
        <v>2828</v>
      </c>
      <c r="AB611" s="118" t="s">
        <v>1171</v>
      </c>
      <c r="AC611" s="324"/>
    </row>
    <row r="612" spans="1:29" ht="60" customHeight="1">
      <c r="A612" s="63">
        <v>606</v>
      </c>
      <c r="B612" s="65">
        <v>45180</v>
      </c>
      <c r="C612" s="70">
        <v>0.49374999999999997</v>
      </c>
      <c r="D612" s="63" t="s">
        <v>2652</v>
      </c>
      <c r="E612" s="64" t="s">
        <v>2706</v>
      </c>
      <c r="F612" s="63">
        <v>7</v>
      </c>
      <c r="G612" s="63" t="s">
        <v>1435</v>
      </c>
      <c r="H612" s="208">
        <v>45190</v>
      </c>
      <c r="I612" s="65" t="s">
        <v>1083</v>
      </c>
      <c r="J612" s="65" t="s">
        <v>33</v>
      </c>
      <c r="K612" s="63">
        <f>IFERROR(VLOOKUP(J612,Jueces!$A$1:$B$11,2,FALSE),"")</f>
        <v>4</v>
      </c>
      <c r="L612" s="63" t="s">
        <v>809</v>
      </c>
      <c r="M612" s="63" t="s">
        <v>725</v>
      </c>
      <c r="N612" s="63" t="s">
        <v>2877</v>
      </c>
      <c r="O612" s="78" t="str">
        <f ca="1">IF(H612&lt;&gt;"",IF(H612&lt;=TODAY(),"SI","NO"),"LIMBO")</f>
        <v>SI</v>
      </c>
      <c r="P612" s="78" t="str">
        <f>IF($P$1=H612,"DIASOL", "DIANOSOL")</f>
        <v>DIANOSOL</v>
      </c>
      <c r="Q612" s="63" t="s">
        <v>151</v>
      </c>
      <c r="R612" s="63" t="str">
        <f>VLOOKUP($Q612,Resultados!$A$1:$B$49,2,FALSE)</f>
        <v>Prisión Preventiva</v>
      </c>
      <c r="S612" s="70">
        <v>0.41805555555555557</v>
      </c>
      <c r="T612" s="81" t="str">
        <f>IF(G612=$J$1,"SI","NO")</f>
        <v>SI</v>
      </c>
      <c r="U612" s="81"/>
      <c r="V612" s="7" t="str">
        <f ca="1">IF(color_Celda(E612)=12106214,"ROSA",IF(color_Celda(E612)=65535,"AMARILLO",IF(color_Celda(E612)=5296274,"VERDE",IF(color_Celda(E612)=16777215,"BLANCO","NO SE"))))</f>
        <v>ROSA</v>
      </c>
      <c r="W612" s="70">
        <v>0.43472222222222223</v>
      </c>
      <c r="X612" s="63" t="s">
        <v>2866</v>
      </c>
      <c r="Y612" s="63"/>
      <c r="Z612" s="118" t="s">
        <v>1038</v>
      </c>
      <c r="AA612" s="118" t="s">
        <v>1165</v>
      </c>
      <c r="AB612" s="118" t="s">
        <v>1169</v>
      </c>
      <c r="AC612" s="324"/>
    </row>
    <row r="613" spans="1:29" ht="60" customHeight="1">
      <c r="A613" s="63">
        <v>609</v>
      </c>
      <c r="B613" s="65">
        <v>45176</v>
      </c>
      <c r="C613" s="70">
        <v>0.52222222222222225</v>
      </c>
      <c r="D613" s="63" t="s">
        <v>2654</v>
      </c>
      <c r="E613" s="64" t="s">
        <v>2671</v>
      </c>
      <c r="F613" s="63">
        <v>7</v>
      </c>
      <c r="G613" s="63" t="s">
        <v>2752</v>
      </c>
      <c r="H613" s="208">
        <v>45191</v>
      </c>
      <c r="I613" s="65" t="s">
        <v>73</v>
      </c>
      <c r="J613" s="65" t="s">
        <v>35</v>
      </c>
      <c r="K613" s="63">
        <f>IFERROR(VLOOKUP(J613,Jueces!$A$1:$B$11,2,FALSE),"")</f>
        <v>3</v>
      </c>
      <c r="L613" s="63" t="s">
        <v>792</v>
      </c>
      <c r="M613" s="63" t="s">
        <v>697</v>
      </c>
      <c r="N613" s="63" t="s">
        <v>2872</v>
      </c>
      <c r="O613" s="63" t="str">
        <f ca="1">IF(H613&lt;&gt;"",IF(H613&lt;=TODAY(),"SI","NO"),"LIMBO")</f>
        <v>SI</v>
      </c>
      <c r="P613" s="63" t="str">
        <f>IF($P$1=H613,"DIASOL", "DIANOSOL")</f>
        <v>DIANOSOL</v>
      </c>
      <c r="Q613" s="63" t="s">
        <v>902</v>
      </c>
      <c r="R613" s="63" t="str">
        <f>VLOOKUP($Q613,Resultados!$A$1:$B$49,2,FALSE)</f>
        <v>Juicio Abreviado</v>
      </c>
      <c r="S613" s="63" t="s">
        <v>1130</v>
      </c>
      <c r="T613" s="72" t="str">
        <f>IF(G613=$J$1,"SI","NO")</f>
        <v>NO</v>
      </c>
      <c r="U613" s="72"/>
      <c r="V613" s="7" t="str">
        <f ca="1">IF(color_Celda(E613)=12106214,"ROSA",IF(color_Celda(E613)=65535,"AMARILLO",IF(color_Celda(E613)=5296274,"VERDE",IF(color_Celda(E613)=16777215,"BLANCO","NO SE"))))</f>
        <v>ROSA</v>
      </c>
      <c r="W613" s="63" t="s">
        <v>1558</v>
      </c>
      <c r="X613" s="63" t="s">
        <v>2873</v>
      </c>
      <c r="Y613" s="63"/>
      <c r="Z613" s="118" t="s">
        <v>1038</v>
      </c>
      <c r="AA613" s="118" t="s">
        <v>1165</v>
      </c>
      <c r="AB613" s="118" t="s">
        <v>1173</v>
      </c>
      <c r="AC613" s="324"/>
    </row>
    <row r="614" spans="1:29" ht="60" customHeight="1">
      <c r="A614" s="63">
        <v>613</v>
      </c>
      <c r="B614" s="65">
        <v>45177</v>
      </c>
      <c r="C614" s="70">
        <v>0.37708333333333338</v>
      </c>
      <c r="D614" s="63" t="s">
        <v>2669</v>
      </c>
      <c r="E614" s="64" t="s">
        <v>2670</v>
      </c>
      <c r="F614" s="63">
        <v>7</v>
      </c>
      <c r="G614" s="63" t="s">
        <v>1435</v>
      </c>
      <c r="H614" s="208">
        <v>45191</v>
      </c>
      <c r="I614" s="65" t="s">
        <v>73</v>
      </c>
      <c r="J614" s="65" t="s">
        <v>1217</v>
      </c>
      <c r="K614" s="63">
        <f>IFERROR(VLOOKUP(J614,Jueces!$A$1:$B$11,2,FALSE),"")</f>
        <v>7</v>
      </c>
      <c r="L614" s="63" t="s">
        <v>805</v>
      </c>
      <c r="M614" s="63" t="s">
        <v>2713</v>
      </c>
      <c r="N614" s="63" t="s">
        <v>2874</v>
      </c>
      <c r="O614" s="63" t="str">
        <f ca="1">IF(H614&lt;&gt;"",IF(H614&lt;=TODAY(),"SI","NO"),"LIMBO")</f>
        <v>SI</v>
      </c>
      <c r="P614" s="63" t="str">
        <f>IF($P$1=H614,"DIASOL", "DIANOSOL")</f>
        <v>DIANOSOL</v>
      </c>
      <c r="Q614" s="63" t="s">
        <v>902</v>
      </c>
      <c r="R614" s="63" t="str">
        <f>VLOOKUP($Q614,Resultados!$A$1:$B$49,2,FALSE)</f>
        <v>Juicio Abreviado</v>
      </c>
      <c r="S614" s="63" t="s">
        <v>1062</v>
      </c>
      <c r="T614" s="72" t="str">
        <f>IF(G614=$J$1,"SI","NO")</f>
        <v>SI</v>
      </c>
      <c r="U614" s="72"/>
      <c r="V614" s="7" t="str">
        <f ca="1">IF(color_Celda(E614)=12106214,"ROSA",IF(color_Celda(E614)=65535,"AMARILLO",IF(color_Celda(E614)=5296274,"VERDE",IF(color_Celda(E614)=16777215,"BLANCO","NO SE"))))</f>
        <v>ROSA</v>
      </c>
      <c r="W614" s="63" t="s">
        <v>1601</v>
      </c>
      <c r="X614" s="63" t="s">
        <v>2363</v>
      </c>
      <c r="Y614" s="63"/>
      <c r="Z614" s="118" t="s">
        <v>2843</v>
      </c>
      <c r="AA614" s="118" t="s">
        <v>1165</v>
      </c>
      <c r="AB614" s="118" t="s">
        <v>1170</v>
      </c>
      <c r="AC614" s="324"/>
    </row>
    <row r="615" spans="1:29" ht="60" customHeight="1">
      <c r="A615" s="7">
        <v>616</v>
      </c>
      <c r="B615" s="19">
        <v>45177</v>
      </c>
      <c r="C615" s="15">
        <v>0.49444444444444446</v>
      </c>
      <c r="D615" s="7" t="s">
        <v>2676</v>
      </c>
      <c r="E615" s="40" t="s">
        <v>2677</v>
      </c>
      <c r="F615" s="7">
        <v>7</v>
      </c>
      <c r="G615" s="7" t="s">
        <v>2753</v>
      </c>
      <c r="H615" s="297">
        <v>45191</v>
      </c>
      <c r="I615" s="19" t="s">
        <v>73</v>
      </c>
      <c r="J615" s="19" t="s">
        <v>78</v>
      </c>
      <c r="K615" s="7">
        <f>IFERROR(VLOOKUP(J615,Jueces!$A$1:$B$11,2,FALSE),"")</f>
        <v>8</v>
      </c>
      <c r="L615" s="7" t="s">
        <v>807</v>
      </c>
      <c r="M615" s="7" t="s">
        <v>725</v>
      </c>
      <c r="N615" s="7" t="s">
        <v>2550</v>
      </c>
      <c r="O615" s="7" t="str">
        <f ca="1">IF(H615&lt;&gt;"",IF(H615&lt;=TODAY(),"SI","NO"),"LIMBO")</f>
        <v>SI</v>
      </c>
      <c r="P615" s="7" t="str">
        <f>IF($P$1=H615,"DIASOL", "DIANOSOL")</f>
        <v>DIANOSOL</v>
      </c>
      <c r="Q615" s="7" t="s">
        <v>897</v>
      </c>
      <c r="R615" s="7" t="str">
        <f>VLOOKUP($Q615,Resultados!$A$1:$B$49,2,FALSE)</f>
        <v>Libertad</v>
      </c>
      <c r="S615" s="7" t="s">
        <v>1231</v>
      </c>
      <c r="T615" s="68" t="str">
        <f>IF(G615=$J$1,"SI","NO")</f>
        <v>NO</v>
      </c>
      <c r="U615" s="68"/>
      <c r="V615" s="7" t="str">
        <f ca="1">IF(color_Celda(E615)=12106214,"ROSA",IF(color_Celda(E615)=65535,"AMARILLO",IF(color_Celda(E615)=5296274,"VERDE",IF(color_Celda(E615)=16777215,"BLANCO","NO SE"))))</f>
        <v>ROSA</v>
      </c>
      <c r="W615" s="7" t="s">
        <v>686</v>
      </c>
      <c r="X615" s="7"/>
      <c r="Y615" s="7"/>
      <c r="Z615" s="268" t="s">
        <v>2869</v>
      </c>
      <c r="AA615" s="118" t="s">
        <v>2828</v>
      </c>
      <c r="AB615" s="268" t="s">
        <v>1169</v>
      </c>
      <c r="AC615" s="324"/>
    </row>
    <row r="616" spans="1:29" ht="60" customHeight="1">
      <c r="A616" s="63">
        <v>618</v>
      </c>
      <c r="B616" s="65">
        <v>45180</v>
      </c>
      <c r="C616" s="70">
        <v>0.49861111111111112</v>
      </c>
      <c r="D616" s="63" t="s">
        <v>2027</v>
      </c>
      <c r="E616" s="64" t="s">
        <v>2028</v>
      </c>
      <c r="F616" s="63">
        <v>5</v>
      </c>
      <c r="G616" s="63" t="s">
        <v>1434</v>
      </c>
      <c r="H616" s="208">
        <v>45191</v>
      </c>
      <c r="I616" s="65" t="s">
        <v>73</v>
      </c>
      <c r="J616" s="65" t="s">
        <v>31</v>
      </c>
      <c r="K616" s="63">
        <f>IFERROR(VLOOKUP(J616,Jueces!$A$1:$B$11,2,FALSE),"")</f>
        <v>2</v>
      </c>
      <c r="L616" s="63" t="s">
        <v>811</v>
      </c>
      <c r="M616" s="63" t="s">
        <v>1956</v>
      </c>
      <c r="N616" s="63" t="s">
        <v>2881</v>
      </c>
      <c r="O616" s="63" t="str">
        <f ca="1">IF(H616&lt;&gt;"",IF(H616&lt;=TODAY(),"SI","NO"),"LIMBO")</f>
        <v>SI</v>
      </c>
      <c r="P616" s="63" t="str">
        <f>IF($P$1=H616,"DIASOL", "DIANOSOL")</f>
        <v>DIANOSOL</v>
      </c>
      <c r="Q616" s="63" t="s">
        <v>902</v>
      </c>
      <c r="R616" s="63" t="str">
        <f>VLOOKUP($Q616,Resultados!$A$1:$B$49,2,FALSE)</f>
        <v>Juicio Abreviado</v>
      </c>
      <c r="S616" s="63" t="s">
        <v>2366</v>
      </c>
      <c r="T616" s="72" t="str">
        <f>IF(G616=$J$1,"SI","NO")</f>
        <v>NO</v>
      </c>
      <c r="U616" s="72"/>
      <c r="V616" s="7" t="str">
        <f ca="1">IF(color_Celda(E616)=12106214,"ROSA",IF(color_Celda(E616)=65535,"AMARILLO",IF(color_Celda(E616)=5296274,"VERDE",IF(color_Celda(E616)=16777215,"BLANCO","NO SE"))))</f>
        <v>ROSA</v>
      </c>
      <c r="W616" s="63" t="s">
        <v>2882</v>
      </c>
      <c r="X616" s="63" t="s">
        <v>2883</v>
      </c>
      <c r="Y616" s="63"/>
      <c r="Z616" s="118" t="s">
        <v>1039</v>
      </c>
      <c r="AA616" s="118" t="s">
        <v>2828</v>
      </c>
      <c r="AB616" s="118" t="s">
        <v>2865</v>
      </c>
      <c r="AC616" s="324"/>
    </row>
    <row r="617" spans="1:29" ht="60" customHeight="1">
      <c r="A617" s="63">
        <v>635</v>
      </c>
      <c r="B617" s="65">
        <v>45181</v>
      </c>
      <c r="C617" s="70">
        <v>0.48333333333333334</v>
      </c>
      <c r="D617" s="63" t="s">
        <v>2729</v>
      </c>
      <c r="E617" s="64" t="s">
        <v>2730</v>
      </c>
      <c r="F617" s="63">
        <v>5</v>
      </c>
      <c r="G617" s="63" t="s">
        <v>1433</v>
      </c>
      <c r="H617" s="208">
        <v>45191</v>
      </c>
      <c r="I617" s="65" t="s">
        <v>73</v>
      </c>
      <c r="J617" s="65" t="s">
        <v>33</v>
      </c>
      <c r="K617" s="63">
        <f>IFERROR(VLOOKUP(J617,Jueces!$A$1:$B$11,2,FALSE),"")</f>
        <v>4</v>
      </c>
      <c r="L617" s="63" t="s">
        <v>802</v>
      </c>
      <c r="M617" s="63" t="s">
        <v>700</v>
      </c>
      <c r="N617" s="63" t="s">
        <v>577</v>
      </c>
      <c r="O617" s="63" t="str">
        <f ca="1">IF(H617&lt;&gt;"",IF(H617&lt;=TODAY(),"SI","NO"),"LIMBO")</f>
        <v>SI</v>
      </c>
      <c r="P617" s="63" t="str">
        <f>IF($P$1=H617,"DIASOL", "DIANOSOL")</f>
        <v>DIANOSOL</v>
      </c>
      <c r="Q617" s="63" t="s">
        <v>151</v>
      </c>
      <c r="R617" s="63" t="str">
        <f>VLOOKUP($Q617,Resultados!$A$1:$B$49,2,FALSE)</f>
        <v>Prisión Preventiva</v>
      </c>
      <c r="S617" s="70" t="s">
        <v>1291</v>
      </c>
      <c r="T617" s="72" t="str">
        <f>IF(G617=$J$1,"SI","NO")</f>
        <v>NO</v>
      </c>
      <c r="U617" s="72"/>
      <c r="V617" s="7" t="str">
        <f ca="1">IF(color_Celda(E617)=12106214,"ROSA",IF(color_Celda(E617)=65535,"AMARILLO",IF(color_Celda(E617)=5296274,"VERDE",IF(color_Celda(E617)=16777215,"BLANCO","NO SE"))))</f>
        <v>ROSA</v>
      </c>
      <c r="W617" s="63" t="s">
        <v>1227</v>
      </c>
      <c r="X617" s="63" t="s">
        <v>2870</v>
      </c>
      <c r="Y617" s="63"/>
      <c r="Z617" s="118" t="s">
        <v>748</v>
      </c>
      <c r="AA617" s="118" t="s">
        <v>2828</v>
      </c>
      <c r="AB617" s="118" t="s">
        <v>1173</v>
      </c>
      <c r="AC617" s="324"/>
    </row>
    <row r="618" spans="1:29" ht="60" customHeight="1">
      <c r="A618" s="63">
        <v>597</v>
      </c>
      <c r="B618" s="65">
        <v>45174</v>
      </c>
      <c r="C618" s="70">
        <v>0.41041666666666665</v>
      </c>
      <c r="D618" s="63" t="s">
        <v>2814</v>
      </c>
      <c r="E618" s="64" t="s">
        <v>2593</v>
      </c>
      <c r="F618" s="63">
        <v>4</v>
      </c>
      <c r="G618" s="63" t="s">
        <v>283</v>
      </c>
      <c r="H618" s="208">
        <v>45191</v>
      </c>
      <c r="I618" s="65" t="s">
        <v>1083</v>
      </c>
      <c r="J618" s="65" t="s">
        <v>33</v>
      </c>
      <c r="K618" s="63">
        <f>IFERROR(VLOOKUP(J618,Jueces!$A$1:$B$11,2,FALSE),"")</f>
        <v>4</v>
      </c>
      <c r="L618" s="63" t="s">
        <v>1693</v>
      </c>
      <c r="M618" s="63" t="s">
        <v>2627</v>
      </c>
      <c r="N618" s="63" t="s">
        <v>2879</v>
      </c>
      <c r="O618" s="63" t="str">
        <f ca="1">IF(H618&lt;&gt;"",IF(H618&lt;=TODAY(),"SI","NO"),"LIMBO")</f>
        <v>SI</v>
      </c>
      <c r="P618" s="63" t="str">
        <f>IF($P$1=H618,"DIASOL", "DIANOSOL")</f>
        <v>DIANOSOL</v>
      </c>
      <c r="Q618" s="63" t="s">
        <v>897</v>
      </c>
      <c r="R618" s="63" t="str">
        <f>VLOOKUP($Q618,Resultados!$A$1:$B$49,2,FALSE)</f>
        <v>Libertad</v>
      </c>
      <c r="S618" s="63" t="s">
        <v>1491</v>
      </c>
      <c r="T618" s="72" t="str">
        <f>IF(G618=$J$1,"SI","NO")</f>
        <v>NO</v>
      </c>
      <c r="U618" s="72"/>
      <c r="V618" s="7" t="str">
        <f ca="1">IF(color_Celda(E618)=12106214,"ROSA",IF(color_Celda(E618)=65535,"AMARILLO",IF(color_Celda(E618)=5296274,"VERDE",IF(color_Celda(E618)=16777215,"BLANCO","NO SE"))))</f>
        <v>ROSA</v>
      </c>
      <c r="W618" s="63" t="s">
        <v>2878</v>
      </c>
      <c r="X618" s="63" t="s">
        <v>2880</v>
      </c>
      <c r="Y618" s="63"/>
      <c r="Z618" s="118" t="s">
        <v>743</v>
      </c>
      <c r="AA618" s="118" t="s">
        <v>1165</v>
      </c>
      <c r="AB618" s="118" t="s">
        <v>1170</v>
      </c>
      <c r="AC618" s="324"/>
    </row>
    <row r="619" spans="1:29" ht="60" customHeight="1">
      <c r="A619" s="63">
        <v>621</v>
      </c>
      <c r="B619" s="65">
        <v>45180</v>
      </c>
      <c r="C619" s="70">
        <v>0.3520833333333333</v>
      </c>
      <c r="D619" s="63" t="s">
        <v>2694</v>
      </c>
      <c r="E619" s="64" t="s">
        <v>2695</v>
      </c>
      <c r="F619" s="63">
        <v>7</v>
      </c>
      <c r="G619" s="63" t="s">
        <v>568</v>
      </c>
      <c r="H619" s="208">
        <v>45191</v>
      </c>
      <c r="I619" s="65" t="s">
        <v>1083</v>
      </c>
      <c r="J619" s="65" t="s">
        <v>31</v>
      </c>
      <c r="K619" s="63" t="s">
        <v>1341</v>
      </c>
      <c r="L619" s="63" t="s">
        <v>688</v>
      </c>
      <c r="M619" s="63" t="s">
        <v>885</v>
      </c>
      <c r="N619" s="63" t="s">
        <v>577</v>
      </c>
      <c r="O619" s="63" t="str">
        <f ca="1">IF(H619&lt;&gt;"",IF(H619&lt;=TODAY(),"SI","NO"),"LIMBO")</f>
        <v>SI</v>
      </c>
      <c r="P619" s="63" t="str">
        <f>IF($P$1=H619,"DIASOL", "DIANOSOL")</f>
        <v>DIANOSOL</v>
      </c>
      <c r="Q619" s="63" t="s">
        <v>151</v>
      </c>
      <c r="R619" s="63" t="str">
        <f>VLOOKUP($Q619,Resultados!$A$1:$B$49,2,FALSE)</f>
        <v>Prisión Preventiva</v>
      </c>
      <c r="S619" s="63" t="s">
        <v>76</v>
      </c>
      <c r="T619" s="72" t="str">
        <f>IF(G619=$J$1,"SI","NO")</f>
        <v>NO</v>
      </c>
      <c r="U619" s="72"/>
      <c r="V619" s="7" t="str">
        <f ca="1">IF(color_Celda(E619)=12106214,"ROSA",IF(color_Celda(E619)=65535,"AMARILLO",IF(color_Celda(E619)=5296274,"VERDE",IF(color_Celda(E619)=16777215,"BLANCO","NO SE"))))</f>
        <v>ROSA</v>
      </c>
      <c r="W619" s="63" t="s">
        <v>1388</v>
      </c>
      <c r="X619" s="63"/>
      <c r="Y619" s="63"/>
      <c r="Z619" s="118" t="s">
        <v>770</v>
      </c>
      <c r="AA619" s="118" t="s">
        <v>1165</v>
      </c>
      <c r="AB619" s="118" t="s">
        <v>1169</v>
      </c>
      <c r="AC619" s="324"/>
    </row>
    <row r="620" spans="1:29" ht="60" customHeight="1">
      <c r="A620" s="63">
        <v>614</v>
      </c>
      <c r="B620" s="65">
        <v>45177</v>
      </c>
      <c r="C620" s="70">
        <v>0.55694444444444446</v>
      </c>
      <c r="D620" s="63" t="s">
        <v>2042</v>
      </c>
      <c r="E620" s="64" t="s">
        <v>2674</v>
      </c>
      <c r="F620" s="63">
        <v>1</v>
      </c>
      <c r="G620" s="63" t="s">
        <v>43</v>
      </c>
      <c r="H620" s="208">
        <v>45194</v>
      </c>
      <c r="I620" s="65" t="s">
        <v>73</v>
      </c>
      <c r="J620" s="65" t="s">
        <v>31</v>
      </c>
      <c r="K620" s="63">
        <f>IFERROR(VLOOKUP(J620,Jueces!$A$1:$B$11,2,FALSE),"")</f>
        <v>2</v>
      </c>
      <c r="L620" s="63" t="s">
        <v>791</v>
      </c>
      <c r="M620" s="63" t="s">
        <v>2681</v>
      </c>
      <c r="N620" s="63" t="s">
        <v>2928</v>
      </c>
      <c r="O620" s="63" t="str">
        <f ca="1">IF(H620&lt;&gt;"",IF(H620&lt;=TODAY(),"SI","NO"),"LIMBO")</f>
        <v>SI</v>
      </c>
      <c r="P620" s="63" t="str">
        <f>IF($P$1=H620,"DIASOL", "DIANOSOL")</f>
        <v>DIANOSOL</v>
      </c>
      <c r="Q620" s="63" t="s">
        <v>902</v>
      </c>
      <c r="R620" s="63" t="str">
        <f>VLOOKUP($Q620,Resultados!$A$1:$B$49,2,FALSE)</f>
        <v>Juicio Abreviado</v>
      </c>
      <c r="S620" s="63" t="s">
        <v>2685</v>
      </c>
      <c r="T620" s="72" t="str">
        <f>IF(G620=$J$1,"SI","NO")</f>
        <v>NO</v>
      </c>
      <c r="U620" s="72"/>
      <c r="V620" s="7" t="str">
        <f ca="1">IF(color_Celda(E620)=12106214,"ROSA",IF(color_Celda(E620)=65535,"AMARILLO",IF(color_Celda(E620)=5296274,"VERDE",IF(color_Celda(E620)=16777215,"BLANCO","NO SE"))))</f>
        <v>ROSA</v>
      </c>
      <c r="W620" s="63" t="s">
        <v>2929</v>
      </c>
      <c r="X620" s="63" t="s">
        <v>2363</v>
      </c>
      <c r="Y620" s="63"/>
      <c r="Z620" s="118" t="s">
        <v>1038</v>
      </c>
      <c r="AA620" s="118" t="s">
        <v>1167</v>
      </c>
      <c r="AB620" s="118" t="s">
        <v>1171</v>
      </c>
      <c r="AC620" s="324"/>
    </row>
    <row r="621" spans="1:29" ht="60" customHeight="1">
      <c r="A621" s="63">
        <v>619</v>
      </c>
      <c r="B621" s="65">
        <v>45180</v>
      </c>
      <c r="C621" s="63" t="s">
        <v>2689</v>
      </c>
      <c r="D621" s="63" t="s">
        <v>2690</v>
      </c>
      <c r="E621" s="64" t="s">
        <v>2691</v>
      </c>
      <c r="F621" s="63">
        <v>7</v>
      </c>
      <c r="G621" s="63" t="s">
        <v>283</v>
      </c>
      <c r="H621" s="208">
        <v>45194</v>
      </c>
      <c r="I621" s="65" t="s">
        <v>73</v>
      </c>
      <c r="J621" s="65" t="s">
        <v>33</v>
      </c>
      <c r="K621" s="63">
        <f>IFERROR(VLOOKUP(J621,Jueces!$A$1:$B$11,2,FALSE),"")</f>
        <v>4</v>
      </c>
      <c r="L621" s="63" t="s">
        <v>807</v>
      </c>
      <c r="M621" s="63" t="s">
        <v>700</v>
      </c>
      <c r="N621" s="63" t="s">
        <v>577</v>
      </c>
      <c r="O621" s="63" t="str">
        <f ca="1">IF(H621&lt;&gt;"",IF(H621&lt;=TODAY(),"SI","NO"),"LIMBO")</f>
        <v>SI</v>
      </c>
      <c r="P621" s="63" t="str">
        <f>IF($P$1=H621,"DIASOL", "DIANOSOL")</f>
        <v>DIANOSOL</v>
      </c>
      <c r="Q621" s="63" t="s">
        <v>151</v>
      </c>
      <c r="R621" s="63" t="str">
        <f>VLOOKUP($Q621,Resultados!$A$1:$B$49,2,FALSE)</f>
        <v>Prisión Preventiva</v>
      </c>
      <c r="S621" s="70" t="s">
        <v>1579</v>
      </c>
      <c r="T621" s="72" t="str">
        <f>IF(G621=$J$1,"SI","NO")</f>
        <v>NO</v>
      </c>
      <c r="U621" s="72"/>
      <c r="V621" s="7" t="str">
        <f ca="1">IF(color_Celda(E621)=12106214,"ROSA",IF(color_Celda(E621)=65535,"AMARILLO",IF(color_Celda(E621)=5296274,"VERDE",IF(color_Celda(E621)=16777215,"BLANCO","NO SE"))))</f>
        <v>ROSA</v>
      </c>
      <c r="W621" s="63" t="s">
        <v>1570</v>
      </c>
      <c r="X621" s="63" t="s">
        <v>2920</v>
      </c>
      <c r="Y621" s="63"/>
      <c r="Z621" s="118" t="s">
        <v>2843</v>
      </c>
      <c r="AA621" s="118" t="s">
        <v>2828</v>
      </c>
      <c r="AB621" s="118" t="s">
        <v>1173</v>
      </c>
      <c r="AC621" s="324"/>
    </row>
    <row r="622" spans="1:29" ht="60" customHeight="1">
      <c r="A622" s="63">
        <v>623</v>
      </c>
      <c r="B622" s="65">
        <v>45180</v>
      </c>
      <c r="C622" s="70">
        <v>0.36041666666666666</v>
      </c>
      <c r="D622" s="63" t="s">
        <v>2697</v>
      </c>
      <c r="E622" s="64" t="s">
        <v>2698</v>
      </c>
      <c r="F622" s="63">
        <v>7</v>
      </c>
      <c r="G622" s="63" t="s">
        <v>1433</v>
      </c>
      <c r="H622" s="208">
        <v>45194</v>
      </c>
      <c r="I622" s="65" t="s">
        <v>73</v>
      </c>
      <c r="J622" s="65" t="s">
        <v>35</v>
      </c>
      <c r="K622" s="63">
        <f>IFERROR(VLOOKUP(J622,Jueces!$A$1:$B$11,2,FALSE),"")</f>
        <v>3</v>
      </c>
      <c r="L622" s="63" t="s">
        <v>326</v>
      </c>
      <c r="M622" s="63" t="s">
        <v>723</v>
      </c>
      <c r="N622" s="63" t="s">
        <v>577</v>
      </c>
      <c r="O622" s="63" t="str">
        <f ca="1">IF(H622&lt;&gt;"",IF(H622&lt;=TODAY(),"SI","NO"),"LIMBO")</f>
        <v>SI</v>
      </c>
      <c r="P622" s="63" t="str">
        <f>IF($P$1=H622,"DIASOL", "DIANOSOL")</f>
        <v>DIANOSOL</v>
      </c>
      <c r="Q622" s="63" t="s">
        <v>151</v>
      </c>
      <c r="R622" s="63" t="str">
        <f>VLOOKUP($Q622,Resultados!$A$1:$B$49,2,FALSE)</f>
        <v>Prisión Preventiva</v>
      </c>
      <c r="S622" s="63" t="s">
        <v>686</v>
      </c>
      <c r="T622" s="72" t="str">
        <f>IF(G622=$J$1,"SI","NO")</f>
        <v>NO</v>
      </c>
      <c r="U622" s="72"/>
      <c r="V622" s="7" t="str">
        <f ca="1">IF(color_Celda(E622)=12106214,"ROSA",IF(color_Celda(E622)=65535,"AMARILLO",IF(color_Celda(E622)=5296274,"VERDE",IF(color_Celda(E622)=16777215,"BLANCO","NO SE"))))</f>
        <v>ROSA</v>
      </c>
      <c r="W622" s="63" t="s">
        <v>1206</v>
      </c>
      <c r="X622" s="63" t="s">
        <v>2931</v>
      </c>
      <c r="Y622" s="63"/>
      <c r="Z622" s="268" t="s">
        <v>2869</v>
      </c>
      <c r="AA622" s="118" t="s">
        <v>1165</v>
      </c>
      <c r="AB622" s="118" t="s">
        <v>1170</v>
      </c>
      <c r="AC622" s="324"/>
    </row>
    <row r="623" spans="1:29" ht="60" customHeight="1">
      <c r="A623" s="63">
        <v>625</v>
      </c>
      <c r="B623" s="65">
        <v>45180</v>
      </c>
      <c r="C623" s="70">
        <v>0.4145833333333333</v>
      </c>
      <c r="D623" s="63" t="s">
        <v>2700</v>
      </c>
      <c r="E623" s="64" t="s">
        <v>2701</v>
      </c>
      <c r="F623" s="63">
        <v>5</v>
      </c>
      <c r="G623" s="63" t="s">
        <v>1435</v>
      </c>
      <c r="H623" s="208">
        <v>45194</v>
      </c>
      <c r="I623" s="65" t="s">
        <v>73</v>
      </c>
      <c r="J623" s="65" t="s">
        <v>78</v>
      </c>
      <c r="K623" s="63">
        <f>IFERROR(VLOOKUP(J623,Jueces!$A$1:$B$11,2,FALSE),"")</f>
        <v>8</v>
      </c>
      <c r="L623" s="63" t="s">
        <v>811</v>
      </c>
      <c r="M623" s="63" t="s">
        <v>783</v>
      </c>
      <c r="N623" s="63" t="s">
        <v>2932</v>
      </c>
      <c r="O623" s="63" t="str">
        <f ca="1">IF(H623&lt;&gt;"",IF(H623&lt;=TODAY(),"SI","NO"),"LIMBO")</f>
        <v>SI</v>
      </c>
      <c r="P623" s="63" t="str">
        <f>IF($P$1=H623,"DIASOL", "DIANOSOL")</f>
        <v>DIANOSOL</v>
      </c>
      <c r="Q623" s="63" t="s">
        <v>907</v>
      </c>
      <c r="R623" s="63" t="str">
        <f>VLOOKUP($Q623,Resultados!$A$1:$B$49,2,FALSE)</f>
        <v>Suspensión de juicio a prueba</v>
      </c>
      <c r="S623" s="63" t="s">
        <v>1601</v>
      </c>
      <c r="T623" s="72" t="str">
        <f>IF(G623=$J$1,"SI","NO")</f>
        <v>SI</v>
      </c>
      <c r="U623" s="72"/>
      <c r="V623" s="7" t="str">
        <f ca="1">IF(color_Celda(E623)=12106214,"ROSA",IF(color_Celda(E623)=65535,"AMARILLO",IF(color_Celda(E623)=5296274,"VERDE",IF(color_Celda(E623)=16777215,"BLANCO","NO SE"))))</f>
        <v>ROSA</v>
      </c>
      <c r="W623" s="63" t="s">
        <v>1225</v>
      </c>
      <c r="X623" s="63" t="s">
        <v>2933</v>
      </c>
      <c r="Y623" s="63"/>
      <c r="Z623" s="118" t="s">
        <v>1039</v>
      </c>
      <c r="AA623" s="118" t="s">
        <v>2828</v>
      </c>
      <c r="AB623" s="118" t="s">
        <v>1169</v>
      </c>
      <c r="AC623" s="324"/>
    </row>
    <row r="624" spans="1:29" ht="60" customHeight="1">
      <c r="A624" s="63">
        <v>628</v>
      </c>
      <c r="B624" s="65">
        <v>45180</v>
      </c>
      <c r="C624" s="70">
        <v>0.5180555555555556</v>
      </c>
      <c r="D624" s="63" t="s">
        <v>2709</v>
      </c>
      <c r="E624" s="64" t="s">
        <v>2710</v>
      </c>
      <c r="F624" s="63">
        <v>8</v>
      </c>
      <c r="G624" s="63" t="s">
        <v>2751</v>
      </c>
      <c r="H624" s="208">
        <v>45194</v>
      </c>
      <c r="I624" s="65" t="s">
        <v>73</v>
      </c>
      <c r="J624" s="65" t="s">
        <v>1217</v>
      </c>
      <c r="K624" s="205" t="s">
        <v>1916</v>
      </c>
      <c r="L624" s="63" t="s">
        <v>798</v>
      </c>
      <c r="M624" s="63" t="s">
        <v>885</v>
      </c>
      <c r="N624" s="63" t="s">
        <v>2921</v>
      </c>
      <c r="O624" s="63" t="str">
        <f ca="1">IF(H624&lt;&gt;"",IF(H624&lt;=TODAY(),"SI","NO"),"LIMBO")</f>
        <v>SI</v>
      </c>
      <c r="P624" s="63" t="str">
        <f>IF($P$1=H624,"DIASOL", "DIANOSOL")</f>
        <v>DIANOSOL</v>
      </c>
      <c r="Q624" s="63" t="s">
        <v>902</v>
      </c>
      <c r="R624" s="63" t="str">
        <f>VLOOKUP($Q624,Resultados!$A$1:$B$49,2,FALSE)</f>
        <v>Juicio Abreviado</v>
      </c>
      <c r="S624" s="63" t="s">
        <v>1083</v>
      </c>
      <c r="T624" s="72" t="str">
        <f>IF(G624=$J$1,"SI","NO")</f>
        <v>NO</v>
      </c>
      <c r="U624" s="72"/>
      <c r="V624" s="7" t="str">
        <f ca="1">IF(color_Celda(E624)=12106214,"ROSA",IF(color_Celda(E624)=65535,"AMARILLO",IF(color_Celda(E624)=5296274,"VERDE",IF(color_Celda(E624)=16777215,"BLANCO","NO SE"))))</f>
        <v>ROSA</v>
      </c>
      <c r="W624" s="63" t="s">
        <v>1234</v>
      </c>
      <c r="X624" s="63" t="s">
        <v>2927</v>
      </c>
      <c r="Y624" s="63"/>
      <c r="Z624" s="118" t="s">
        <v>748</v>
      </c>
      <c r="AA624" s="118" t="s">
        <v>1167</v>
      </c>
      <c r="AB624" s="118" t="s">
        <v>1171</v>
      </c>
      <c r="AC624" s="324"/>
    </row>
    <row r="625" spans="1:29" ht="60" customHeight="1">
      <c r="A625" s="63">
        <v>636</v>
      </c>
      <c r="B625" s="65">
        <v>45181</v>
      </c>
      <c r="C625" s="70">
        <v>0.45416666666666666</v>
      </c>
      <c r="D625" s="63" t="s">
        <v>2731</v>
      </c>
      <c r="E625" s="64" t="s">
        <v>2732</v>
      </c>
      <c r="F625" s="63">
        <v>8</v>
      </c>
      <c r="G625" s="63" t="s">
        <v>29</v>
      </c>
      <c r="H625" s="208">
        <v>45194</v>
      </c>
      <c r="I625" s="65" t="s">
        <v>1083</v>
      </c>
      <c r="J625" s="65" t="s">
        <v>1217</v>
      </c>
      <c r="K625" s="205" t="s">
        <v>1916</v>
      </c>
      <c r="L625" s="63" t="s">
        <v>810</v>
      </c>
      <c r="M625" s="63" t="s">
        <v>1084</v>
      </c>
      <c r="N625" s="63" t="s">
        <v>2918</v>
      </c>
      <c r="O625" s="63" t="str">
        <f ca="1">IF(H625&lt;&gt;"",IF(H625&lt;=TODAY(),"SI","NO"),"LIMBO")</f>
        <v>SI</v>
      </c>
      <c r="P625" s="63" t="str">
        <f>IF($P$1=H625,"DIASOL", "DIANOSOL")</f>
        <v>DIANOSOL</v>
      </c>
      <c r="Q625" s="63" t="s">
        <v>897</v>
      </c>
      <c r="R625" s="63" t="str">
        <f>VLOOKUP($Q625,Resultados!$A$1:$B$49,2,FALSE)</f>
        <v>Libertad</v>
      </c>
      <c r="S625" s="63" t="s">
        <v>1081</v>
      </c>
      <c r="T625" s="72" t="str">
        <f>IF(G625=$J$1,"SI","NO")</f>
        <v>NO</v>
      </c>
      <c r="U625" s="72"/>
      <c r="V625" s="7" t="str">
        <f ca="1">IF(color_Celda(E625)=12106214,"ROSA",IF(color_Celda(E625)=65535,"AMARILLO",IF(color_Celda(E625)=5296274,"VERDE",IF(color_Celda(E625)=16777215,"BLANCO","NO SE"))))</f>
        <v>ROSA</v>
      </c>
      <c r="W625" s="63" t="s">
        <v>1272</v>
      </c>
      <c r="X625" s="63" t="s">
        <v>2919</v>
      </c>
      <c r="Y625" s="63"/>
      <c r="Z625" s="118" t="s">
        <v>770</v>
      </c>
      <c r="AA625" s="118" t="s">
        <v>2828</v>
      </c>
      <c r="AB625" s="118" t="s">
        <v>1170</v>
      </c>
      <c r="AC625" s="324"/>
    </row>
    <row r="626" spans="1:29" ht="60" customHeight="1">
      <c r="A626" s="63">
        <v>641</v>
      </c>
      <c r="B626" s="65">
        <v>45187</v>
      </c>
      <c r="C626" s="70">
        <v>0.37708333333333338</v>
      </c>
      <c r="D626" s="63" t="s">
        <v>2747</v>
      </c>
      <c r="E626" s="64" t="s">
        <v>2748</v>
      </c>
      <c r="F626" s="63">
        <v>7</v>
      </c>
      <c r="G626" s="63" t="s">
        <v>2766</v>
      </c>
      <c r="H626" s="208">
        <v>45194</v>
      </c>
      <c r="I626" s="65" t="s">
        <v>1083</v>
      </c>
      <c r="J626" s="65" t="s">
        <v>33</v>
      </c>
      <c r="K626" s="63">
        <f>IFERROR(VLOOKUP(J626,Jueces!$A$1:$B$11,2,FALSE),"")</f>
        <v>4</v>
      </c>
      <c r="L626" s="63" t="s">
        <v>805</v>
      </c>
      <c r="M626" s="63" t="s">
        <v>767</v>
      </c>
      <c r="N626" s="63" t="s">
        <v>2934</v>
      </c>
      <c r="O626" s="63" t="str">
        <f ca="1">IF(H626&lt;&gt;"",IF(H626&lt;=TODAY(),"SI","NO"),"LIMBO")</f>
        <v>SI</v>
      </c>
      <c r="P626" s="63" t="str">
        <f>IF($P$1=H626,"DIASOL", "DIANOSOL")</f>
        <v>DIANOSOL</v>
      </c>
      <c r="Q626" s="63" t="s">
        <v>902</v>
      </c>
      <c r="R626" s="63" t="str">
        <f>VLOOKUP($Q626,Resultados!$A$1:$B$49,2,FALSE)</f>
        <v>Juicio Abreviado</v>
      </c>
      <c r="S626" s="63" t="s">
        <v>2935</v>
      </c>
      <c r="T626" s="72" t="str">
        <f>IF(G626=$J$1,"SI","NO")</f>
        <v>NO</v>
      </c>
      <c r="U626" s="72"/>
      <c r="V626" s="7" t="str">
        <f ca="1">IF(color_Celda(E626)=12106214,"ROSA",IF(color_Celda(E626)=65535,"AMARILLO",IF(color_Celda(E626)=5296274,"VERDE",IF(color_Celda(E626)=16777215,"BLANCO","NO SE"))))</f>
        <v>ROSA</v>
      </c>
      <c r="W626" s="63" t="s">
        <v>1502</v>
      </c>
      <c r="X626" s="63"/>
      <c r="Y626" s="63"/>
      <c r="Z626" s="118" t="s">
        <v>2843</v>
      </c>
      <c r="AA626" s="118" t="s">
        <v>1165</v>
      </c>
      <c r="AB626" s="118" t="s">
        <v>1169</v>
      </c>
      <c r="AC626" s="324"/>
    </row>
    <row r="627" spans="1:29" ht="60" customHeight="1">
      <c r="A627" s="63">
        <v>643</v>
      </c>
      <c r="B627" s="65">
        <v>45187</v>
      </c>
      <c r="C627" s="70">
        <v>0.37222222222222223</v>
      </c>
      <c r="D627" s="63" t="s">
        <v>2350</v>
      </c>
      <c r="E627" s="64" t="s">
        <v>2900</v>
      </c>
      <c r="F627" s="63">
        <v>5</v>
      </c>
      <c r="G627" s="63" t="s">
        <v>2815</v>
      </c>
      <c r="H627" s="208">
        <v>45194</v>
      </c>
      <c r="I627" s="65" t="s">
        <v>1083</v>
      </c>
      <c r="J627" s="65" t="s">
        <v>31</v>
      </c>
      <c r="K627" s="63">
        <f>IFERROR(VLOOKUP(J627,Jueces!$A$1:$B$11,2,FALSE),"")</f>
        <v>2</v>
      </c>
      <c r="L627" s="63" t="s">
        <v>405</v>
      </c>
      <c r="M627" s="63" t="s">
        <v>1956</v>
      </c>
      <c r="N627" s="63" t="s">
        <v>2180</v>
      </c>
      <c r="O627" s="63" t="str">
        <f ca="1">IF(H627&lt;&gt;"",IF(H627&lt;=TODAY(),"SI","NO"),"LIMBO")</f>
        <v>SI</v>
      </c>
      <c r="P627" s="63" t="str">
        <f>IF($P$1=H627,"DIASOL", "DIANOSOL")</f>
        <v>DIANOSOL</v>
      </c>
      <c r="Q627" s="63" t="s">
        <v>902</v>
      </c>
      <c r="R627" s="63" t="str">
        <f>VLOOKUP($Q627,Resultados!$A$1:$B$49,2,FALSE)</f>
        <v>Juicio Abreviado</v>
      </c>
      <c r="S627" s="63" t="s">
        <v>1798</v>
      </c>
      <c r="T627" s="72" t="str">
        <f>IF(G627=$J$1,"SI","NO")</f>
        <v>NO</v>
      </c>
      <c r="U627" s="72"/>
      <c r="V627" s="7" t="str">
        <f ca="1">IF(color_Celda(E627)=12106214,"ROSA",IF(color_Celda(E627)=65535,"AMARILLO",IF(color_Celda(E627)=5296274,"VERDE",IF(color_Celda(E627)=16777215,"BLANCO","NO SE"))))</f>
        <v>ROSA</v>
      </c>
      <c r="W627" s="63" t="s">
        <v>1305</v>
      </c>
      <c r="X627" s="63" t="s">
        <v>2919</v>
      </c>
      <c r="Y627" s="63"/>
      <c r="Z627" s="118" t="s">
        <v>1038</v>
      </c>
      <c r="AA627" s="118" t="s">
        <v>1167</v>
      </c>
      <c r="AB627" s="118" t="s">
        <v>1171</v>
      </c>
      <c r="AC627" s="324"/>
    </row>
    <row r="628" spans="1:29" ht="60" customHeight="1">
      <c r="A628" s="63">
        <v>620</v>
      </c>
      <c r="B628" s="65">
        <v>45180</v>
      </c>
      <c r="C628" s="63" t="s">
        <v>73</v>
      </c>
      <c r="D628" s="63" t="s">
        <v>2692</v>
      </c>
      <c r="E628" s="64" t="s">
        <v>2693</v>
      </c>
      <c r="F628" s="63">
        <v>7</v>
      </c>
      <c r="G628" s="63" t="s">
        <v>1435</v>
      </c>
      <c r="H628" s="208">
        <v>45195</v>
      </c>
      <c r="I628" s="65" t="s">
        <v>73</v>
      </c>
      <c r="J628" s="65" t="s">
        <v>78</v>
      </c>
      <c r="K628" s="63">
        <f>IFERROR(VLOOKUP(J628,Jueces!$A$1:$B$11,2,FALSE),"")</f>
        <v>8</v>
      </c>
      <c r="L628" s="63" t="s">
        <v>688</v>
      </c>
      <c r="M628" s="63" t="s">
        <v>2755</v>
      </c>
      <c r="N628" s="63" t="s">
        <v>2952</v>
      </c>
      <c r="O628" s="63" t="str">
        <f ca="1">IF(H628&lt;&gt;"",IF(H628&lt;=TODAY(),"SI","NO"),"LIMBO")</f>
        <v>SI</v>
      </c>
      <c r="P628" s="63" t="str">
        <f>IF($P$1=H628,"DIASOL", "DIANOSOL")</f>
        <v>DIANOSOL</v>
      </c>
      <c r="Q628" s="63" t="s">
        <v>903</v>
      </c>
      <c r="R628" s="63" t="str">
        <f>VLOOKUP($Q628,Resultados!$A$1:$B$49,2,FALSE)</f>
        <v>Juicio Abreviado</v>
      </c>
      <c r="S628" s="63" t="s">
        <v>1421</v>
      </c>
      <c r="T628" s="72" t="str">
        <f>IF(G628=$J$1,"SI","NO")</f>
        <v>SI</v>
      </c>
      <c r="U628" s="72"/>
      <c r="V628" s="7" t="str">
        <f ca="1">IF(color_Celda(E628)=12106214,"ROSA",IF(color_Celda(E628)=65535,"AMARILLO",IF(color_Celda(E628)=5296274,"VERDE",IF(color_Celda(E628)=16777215,"BLANCO","NO SE"))))</f>
        <v>ROSA</v>
      </c>
      <c r="W628" s="63" t="s">
        <v>1230</v>
      </c>
      <c r="X628" s="63" t="s">
        <v>2363</v>
      </c>
      <c r="Y628" s="63"/>
      <c r="Z628" s="118" t="s">
        <v>2869</v>
      </c>
      <c r="AA628" s="118" t="s">
        <v>1165</v>
      </c>
      <c r="AB628" s="118" t="s">
        <v>1173</v>
      </c>
      <c r="AC628" s="324"/>
    </row>
    <row r="629" spans="1:29" ht="60" customHeight="1">
      <c r="A629" s="63">
        <v>627</v>
      </c>
      <c r="B629" s="65">
        <v>45180</v>
      </c>
      <c r="C629" s="70">
        <v>0.43472222222222223</v>
      </c>
      <c r="D629" s="63" t="s">
        <v>2704</v>
      </c>
      <c r="E629" s="64" t="s">
        <v>2891</v>
      </c>
      <c r="F629" s="63">
        <v>7</v>
      </c>
      <c r="G629" s="63" t="s">
        <v>1433</v>
      </c>
      <c r="H629" s="208">
        <v>45195</v>
      </c>
      <c r="I629" s="65" t="s">
        <v>73</v>
      </c>
      <c r="J629" s="65" t="s">
        <v>31</v>
      </c>
      <c r="K629" s="63">
        <f>IFERROR(VLOOKUP(J629,Jueces!$A$1:$B$11,2,FALSE),"")</f>
        <v>2</v>
      </c>
      <c r="L629" s="63" t="s">
        <v>789</v>
      </c>
      <c r="M629" s="63" t="s">
        <v>711</v>
      </c>
      <c r="N629" s="63" t="s">
        <v>2950</v>
      </c>
      <c r="O629" s="63" t="str">
        <f ca="1">IF(H629&lt;&gt;"",IF(H629&lt;=TODAY(),"SI","NO"),"LIMBO")</f>
        <v>SI</v>
      </c>
      <c r="P629" s="63" t="str">
        <f>IF($P$1=H629,"DIASOL", "DIANOSOL")</f>
        <v>DIANOSOL</v>
      </c>
      <c r="Q629" s="63" t="s">
        <v>903</v>
      </c>
      <c r="R629" s="63" t="str">
        <f>VLOOKUP($Q629,Resultados!$A$1:$B$49,2,FALSE)</f>
        <v>Juicio Abreviado</v>
      </c>
      <c r="S629" s="63" t="s">
        <v>1287</v>
      </c>
      <c r="T629" s="72" t="str">
        <f>IF(G629=$J$1,"SI","NO")</f>
        <v>NO</v>
      </c>
      <c r="U629" s="72"/>
      <c r="V629" s="7" t="str">
        <f ca="1">IF(color_Celda(E629)=12106214,"ROSA",IF(color_Celda(E629)=65535,"AMARILLO",IF(color_Celda(E629)=5296274,"VERDE",IF(color_Celda(E629)=16777215,"BLANCO","NO SE"))))</f>
        <v>ROSA</v>
      </c>
      <c r="W629" s="63" t="s">
        <v>1491</v>
      </c>
      <c r="X629" s="63" t="s">
        <v>2951</v>
      </c>
      <c r="Y629" s="63"/>
      <c r="Z629" s="268" t="s">
        <v>1039</v>
      </c>
      <c r="AA629" s="118" t="s">
        <v>1165</v>
      </c>
      <c r="AB629" s="118" t="s">
        <v>1170</v>
      </c>
      <c r="AC629" s="324"/>
    </row>
    <row r="630" spans="1:29" ht="60" customHeight="1">
      <c r="A630" s="63">
        <v>629</v>
      </c>
      <c r="B630" s="65">
        <v>45181</v>
      </c>
      <c r="C630" s="70">
        <v>0.35000000000000003</v>
      </c>
      <c r="D630" s="63" t="s">
        <v>2717</v>
      </c>
      <c r="E630" s="64" t="s">
        <v>2718</v>
      </c>
      <c r="F630" s="63">
        <v>7</v>
      </c>
      <c r="G630" s="63" t="s">
        <v>29</v>
      </c>
      <c r="H630" s="208">
        <v>45195</v>
      </c>
      <c r="I630" s="65" t="s">
        <v>73</v>
      </c>
      <c r="J630" s="65" t="s">
        <v>33</v>
      </c>
      <c r="K630" s="63">
        <f>IFERROR(VLOOKUP(J630,Jueces!$A$1:$B$11,2,FALSE),"")</f>
        <v>4</v>
      </c>
      <c r="L630" s="63" t="s">
        <v>806</v>
      </c>
      <c r="M630" s="63" t="s">
        <v>767</v>
      </c>
      <c r="N630" s="63" t="s">
        <v>2953</v>
      </c>
      <c r="O630" s="63" t="str">
        <f ca="1">IF(H630&lt;&gt;"",IF(H630&lt;=TODAY(),"SI","NO"),"LIMBO")</f>
        <v>SI</v>
      </c>
      <c r="P630" s="63" t="str">
        <f>IF($P$1=H630,"DIASOL", "DIANOSOL")</f>
        <v>DIANOSOL</v>
      </c>
      <c r="Q630" s="63" t="s">
        <v>902</v>
      </c>
      <c r="R630" s="63" t="str">
        <f>VLOOKUP($Q630,Resultados!$A$1:$B$49,2,FALSE)</f>
        <v>Juicio Abreviado</v>
      </c>
      <c r="S630" s="63" t="s">
        <v>1015</v>
      </c>
      <c r="T630" s="72" t="str">
        <f>IF(G630=$J$1,"SI","NO")</f>
        <v>NO</v>
      </c>
      <c r="U630" s="72"/>
      <c r="V630" s="7" t="str">
        <f ca="1">IF(color_Celda(E630)=12106214,"ROSA",IF(color_Celda(E630)=65535,"AMARILLO",IF(color_Celda(E630)=5296274,"VERDE",IF(color_Celda(E630)=16777215,"BLANCO","NO SE"))))</f>
        <v>ROSA</v>
      </c>
      <c r="W630" s="63" t="s">
        <v>1062</v>
      </c>
      <c r="X630" s="63" t="s">
        <v>2954</v>
      </c>
      <c r="Y630" s="63"/>
      <c r="Z630" s="118" t="s">
        <v>748</v>
      </c>
      <c r="AA630" s="118" t="s">
        <v>2828</v>
      </c>
      <c r="AB630" s="118" t="s">
        <v>1169</v>
      </c>
      <c r="AC630" s="324"/>
    </row>
    <row r="631" spans="1:29" ht="60" customHeight="1">
      <c r="A631" s="63">
        <v>630</v>
      </c>
      <c r="B631" s="65">
        <v>45181</v>
      </c>
      <c r="C631" s="70">
        <v>0.35972222222222222</v>
      </c>
      <c r="D631" s="63" t="s">
        <v>2719</v>
      </c>
      <c r="E631" s="64" t="s">
        <v>2720</v>
      </c>
      <c r="F631" s="63">
        <v>5</v>
      </c>
      <c r="G631" s="63" t="s">
        <v>43</v>
      </c>
      <c r="H631" s="208">
        <v>45195</v>
      </c>
      <c r="I631" s="65" t="s">
        <v>73</v>
      </c>
      <c r="J631" s="65" t="s">
        <v>1217</v>
      </c>
      <c r="K631" s="205" t="s">
        <v>1916</v>
      </c>
      <c r="L631" s="63" t="s">
        <v>827</v>
      </c>
      <c r="M631" s="63" t="s">
        <v>2681</v>
      </c>
      <c r="N631" s="63" t="s">
        <v>2956</v>
      </c>
      <c r="O631" s="63" t="str">
        <f ca="1">IF(H631&lt;&gt;"",IF(H631&lt;=TODAY(),"SI","NO"),"LIMBO")</f>
        <v>SI</v>
      </c>
      <c r="P631" s="63" t="str">
        <f>IF($P$1=H631,"DIASOL", "DIANOSOL")</f>
        <v>DIANOSOL</v>
      </c>
      <c r="Q631" s="63" t="s">
        <v>151</v>
      </c>
      <c r="R631" s="63" t="str">
        <f>VLOOKUP($Q631,Resultados!$A$1:$B$49,2,FALSE)</f>
        <v>Prisión Preventiva</v>
      </c>
      <c r="S631" s="63" t="s">
        <v>2957</v>
      </c>
      <c r="T631" s="72" t="str">
        <f>IF(G631=$J$1,"SI","NO")</f>
        <v>NO</v>
      </c>
      <c r="U631" s="72"/>
      <c r="V631" s="7" t="str">
        <f ca="1">IF(color_Celda(E631)=12106214,"ROSA",IF(color_Celda(E631)=65535,"AMARILLO",IF(color_Celda(E631)=5296274,"VERDE",IF(color_Celda(E631)=16777215,"BLANCO","NO SE"))))</f>
        <v>ROSA</v>
      </c>
      <c r="W631" s="63" t="s">
        <v>686</v>
      </c>
      <c r="X631" s="63" t="s">
        <v>2958</v>
      </c>
      <c r="Y631" s="63"/>
      <c r="Z631" s="118" t="s">
        <v>743</v>
      </c>
      <c r="AA631" s="118" t="s">
        <v>2828</v>
      </c>
      <c r="AB631" s="118" t="s">
        <v>1171</v>
      </c>
      <c r="AC631" s="324"/>
    </row>
    <row r="632" spans="1:29" ht="60" customHeight="1">
      <c r="A632" s="63">
        <v>651</v>
      </c>
      <c r="B632" s="65">
        <v>45188</v>
      </c>
      <c r="C632" s="70">
        <v>0.39513888888888887</v>
      </c>
      <c r="D632" s="63" t="s">
        <v>2767</v>
      </c>
      <c r="E632" s="64" t="s">
        <v>2871</v>
      </c>
      <c r="F632" s="63">
        <v>8</v>
      </c>
      <c r="G632" s="63" t="s">
        <v>1434</v>
      </c>
      <c r="H632" s="208">
        <v>45195</v>
      </c>
      <c r="I632" s="65" t="s">
        <v>73</v>
      </c>
      <c r="J632" s="65" t="s">
        <v>35</v>
      </c>
      <c r="K632" s="63">
        <f>IFERROR(VLOOKUP(J632,Jueces!$A$1:$B$11,2,FALSE),"")</f>
        <v>3</v>
      </c>
      <c r="L632" s="63" t="s">
        <v>2075</v>
      </c>
      <c r="M632" s="63" t="s">
        <v>885</v>
      </c>
      <c r="N632" s="63" t="s">
        <v>577</v>
      </c>
      <c r="O632" s="63" t="str">
        <f ca="1">IF(H632&lt;&gt;"",IF(H632&lt;=TODAY(),"SI","NO"),"LIMBO")</f>
        <v>SI</v>
      </c>
      <c r="P632" s="63" t="str">
        <f>IF($P$1=H632,"DIASOL", "DIANOSOL")</f>
        <v>DIANOSOL</v>
      </c>
      <c r="Q632" s="63" t="s">
        <v>151</v>
      </c>
      <c r="R632" s="63" t="str">
        <f>VLOOKUP($Q632,Resultados!$A$1:$B$49,2,FALSE)</f>
        <v>Prisión Preventiva</v>
      </c>
      <c r="S632" s="63" t="s">
        <v>1227</v>
      </c>
      <c r="T632" s="72" t="str">
        <f>IF(G632=$J$1,"SI","NO")</f>
        <v>NO</v>
      </c>
      <c r="U632" s="72"/>
      <c r="V632" s="7" t="str">
        <f ca="1">IF(color_Celda(E632)=12106214,"ROSA",IF(color_Celda(E632)=65535,"AMARILLO",IF(color_Celda(E632)=5296274,"VERDE",IF(color_Celda(E632)=16777215,"BLANCO","NO SE"))))</f>
        <v>ROSA</v>
      </c>
      <c r="W632" s="63" t="s">
        <v>1206</v>
      </c>
      <c r="X632" s="63"/>
      <c r="Y632" s="63"/>
      <c r="Z632" s="118" t="s">
        <v>770</v>
      </c>
      <c r="AA632" s="118" t="s">
        <v>1167</v>
      </c>
      <c r="AB632" s="118" t="s">
        <v>1173</v>
      </c>
      <c r="AC632" s="324"/>
    </row>
    <row r="633" spans="1:29" ht="60" customHeight="1">
      <c r="A633" s="63">
        <v>631</v>
      </c>
      <c r="B633" s="65">
        <v>45181</v>
      </c>
      <c r="C633" s="70">
        <v>0.42083333333333334</v>
      </c>
      <c r="D633" s="63" t="s">
        <v>2722</v>
      </c>
      <c r="E633" s="64" t="s">
        <v>2776</v>
      </c>
      <c r="F633" s="63">
        <v>8</v>
      </c>
      <c r="G633" s="63" t="s">
        <v>2753</v>
      </c>
      <c r="H633" s="208">
        <v>45195</v>
      </c>
      <c r="I633" s="65" t="s">
        <v>1083</v>
      </c>
      <c r="J633" s="65" t="s">
        <v>1217</v>
      </c>
      <c r="K633" s="205" t="s">
        <v>1916</v>
      </c>
      <c r="L633" s="63" t="s">
        <v>790</v>
      </c>
      <c r="M633" s="63" t="s">
        <v>1084</v>
      </c>
      <c r="N633" s="63" t="s">
        <v>577</v>
      </c>
      <c r="O633" s="63" t="str">
        <f ca="1">IF(H633&lt;&gt;"",IF(H633&lt;=TODAY(),"SI","NO"),"LIMBO")</f>
        <v>SI</v>
      </c>
      <c r="P633" s="63" t="str">
        <f>IF($P$1=H633,"DIASOL", "DIANOSOL")</f>
        <v>DIANOSOL</v>
      </c>
      <c r="Q633" s="63" t="s">
        <v>151</v>
      </c>
      <c r="R633" s="63" t="str">
        <f>VLOOKUP($Q633,Resultados!$A$1:$B$49,2,FALSE)</f>
        <v>Prisión Preventiva</v>
      </c>
      <c r="S633" s="63" t="s">
        <v>1437</v>
      </c>
      <c r="T633" s="72" t="str">
        <f>IF(G633=$J$1,"SI","NO")</f>
        <v>NO</v>
      </c>
      <c r="U633" s="72"/>
      <c r="V633" s="7" t="str">
        <f ca="1">IF(color_Celda(E633)=12106214,"ROSA",IF(color_Celda(E633)=65535,"AMARILLO",IF(color_Celda(E633)=5296274,"VERDE",IF(color_Celda(E633)=16777215,"BLANCO","NO SE"))))</f>
        <v>ROSA</v>
      </c>
      <c r="W633" s="63" t="s">
        <v>1793</v>
      </c>
      <c r="X633" s="63" t="s">
        <v>2960</v>
      </c>
      <c r="Y633" s="63"/>
      <c r="Z633" s="118" t="s">
        <v>1038</v>
      </c>
      <c r="AA633" s="118" t="s">
        <v>1165</v>
      </c>
      <c r="AB633" s="118" t="s">
        <v>1170</v>
      </c>
      <c r="AC633" s="324"/>
    </row>
    <row r="634" spans="1:29" ht="60" customHeight="1">
      <c r="A634" s="63">
        <v>637</v>
      </c>
      <c r="B634" s="65">
        <v>45181</v>
      </c>
      <c r="C634" s="63" t="s">
        <v>2739</v>
      </c>
      <c r="D634" s="63" t="s">
        <v>2740</v>
      </c>
      <c r="E634" s="64" t="s">
        <v>2741</v>
      </c>
      <c r="F634" s="63">
        <v>8</v>
      </c>
      <c r="G634" s="63" t="s">
        <v>283</v>
      </c>
      <c r="H634" s="208">
        <v>45195</v>
      </c>
      <c r="I634" s="65" t="s">
        <v>1083</v>
      </c>
      <c r="J634" s="65" t="s">
        <v>33</v>
      </c>
      <c r="K634" s="63">
        <f>IFERROR(VLOOKUP(J634,Jueces!$A$1:$B$11,2,FALSE),"")</f>
        <v>4</v>
      </c>
      <c r="L634" s="63" t="s">
        <v>805</v>
      </c>
      <c r="M634" s="63" t="s">
        <v>885</v>
      </c>
      <c r="N634" s="63" t="s">
        <v>2959</v>
      </c>
      <c r="O634" s="63" t="str">
        <f ca="1">IF(H634&lt;&gt;"",IF(H634&lt;=TODAY(),"SI","NO"),"LIMBO")</f>
        <v>SI</v>
      </c>
      <c r="P634" s="63" t="str">
        <f>IF($P$1=H634,"DIASOL", "DIANOSOL")</f>
        <v>DIANOSOL</v>
      </c>
      <c r="Q634" s="63" t="s">
        <v>902</v>
      </c>
      <c r="R634" s="63" t="str">
        <f>VLOOKUP($Q634,Resultados!$A$1:$B$49,2,FALSE)</f>
        <v>Juicio Abreviado</v>
      </c>
      <c r="S634" s="63" t="s">
        <v>2663</v>
      </c>
      <c r="T634" s="72" t="str">
        <f>IF(G634=$J$1,"SI","NO")</f>
        <v>NO</v>
      </c>
      <c r="U634" s="72"/>
      <c r="V634" s="7" t="str">
        <f ca="1">IF(color_Celda(E634)=12106214,"ROSA",IF(color_Celda(E634)=65535,"AMARILLO",IF(color_Celda(E634)=5296274,"VERDE",IF(color_Celda(E634)=16777215,"BLANCO","NO SE"))))</f>
        <v>ROSA</v>
      </c>
      <c r="W634" s="63" t="s">
        <v>1793</v>
      </c>
      <c r="X634" s="63" t="s">
        <v>2954</v>
      </c>
      <c r="Y634" s="63"/>
      <c r="Z634" s="118" t="s">
        <v>2869</v>
      </c>
      <c r="AA634" s="118" t="s">
        <v>1167</v>
      </c>
      <c r="AB634" s="118" t="s">
        <v>1169</v>
      </c>
      <c r="AC634" s="324"/>
    </row>
    <row r="635" spans="1:29" ht="60" customHeight="1">
      <c r="A635" s="63">
        <v>644</v>
      </c>
      <c r="B635" s="65">
        <v>45187</v>
      </c>
      <c r="C635" s="70">
        <v>0.35972222222222222</v>
      </c>
      <c r="D635" s="63" t="s">
        <v>2756</v>
      </c>
      <c r="E635" s="64" t="s">
        <v>2757</v>
      </c>
      <c r="F635" s="63">
        <v>7</v>
      </c>
      <c r="G635" s="63" t="s">
        <v>2752</v>
      </c>
      <c r="H635" s="208">
        <v>45195</v>
      </c>
      <c r="I635" s="65" t="s">
        <v>1083</v>
      </c>
      <c r="J635" s="65" t="s">
        <v>31</v>
      </c>
      <c r="K635" s="63">
        <f>IFERROR(VLOOKUP(J635,Jueces!$A$1:$B$11,2,FALSE),"")</f>
        <v>2</v>
      </c>
      <c r="L635" s="63" t="s">
        <v>405</v>
      </c>
      <c r="M635" s="63" t="s">
        <v>725</v>
      </c>
      <c r="N635" s="63" t="s">
        <v>2955</v>
      </c>
      <c r="O635" s="63" t="str">
        <f ca="1">IF(H635&lt;&gt;"",IF(H635&lt;=TODAY(),"SI","NO"),"LIMBO")</f>
        <v>SI</v>
      </c>
      <c r="P635" s="63" t="str">
        <f>IF($P$1=H635,"DIASOL", "DIANOSOL")</f>
        <v>DIANOSOL</v>
      </c>
      <c r="Q635" s="63" t="s">
        <v>903</v>
      </c>
      <c r="R635" s="63" t="str">
        <f>VLOOKUP($Q635,Resultados!$A$1:$B$49,2,FALSE)</f>
        <v>Juicio Abreviado</v>
      </c>
      <c r="S635" s="63" t="s">
        <v>1530</v>
      </c>
      <c r="T635" s="72" t="str">
        <f>IF(G635=$J$1,"SI","NO")</f>
        <v>NO</v>
      </c>
      <c r="U635" s="72"/>
      <c r="V635" s="7" t="str">
        <f ca="1">IF(color_Celda(E635)=12106214,"ROSA",IF(color_Celda(E635)=65535,"AMARILLO",IF(color_Celda(E635)=5296274,"VERDE",IF(color_Celda(E635)=16777215,"BLANCO","NO SE"))))</f>
        <v>ROSA</v>
      </c>
      <c r="W635" s="63" t="s">
        <v>1562</v>
      </c>
      <c r="X635" s="63"/>
      <c r="Y635" s="63"/>
      <c r="Z635" s="118" t="s">
        <v>1039</v>
      </c>
      <c r="AA635" s="118" t="s">
        <v>2828</v>
      </c>
      <c r="AB635" s="118" t="s">
        <v>1171</v>
      </c>
      <c r="AC635" s="324"/>
    </row>
    <row r="636" spans="1:29" ht="60" customHeight="1">
      <c r="A636" s="63">
        <v>633</v>
      </c>
      <c r="B636" s="65">
        <v>45181</v>
      </c>
      <c r="C636" s="70">
        <v>0.38472222222222219</v>
      </c>
      <c r="D636" s="63" t="s">
        <v>2724</v>
      </c>
      <c r="E636" s="64" t="s">
        <v>2737</v>
      </c>
      <c r="F636" s="63">
        <v>7</v>
      </c>
      <c r="G636" s="63" t="s">
        <v>1433</v>
      </c>
      <c r="H636" s="208">
        <v>45196</v>
      </c>
      <c r="I636" s="65" t="s">
        <v>73</v>
      </c>
      <c r="J636" s="65" t="s">
        <v>1217</v>
      </c>
      <c r="K636" s="63" t="s">
        <v>2375</v>
      </c>
      <c r="L636" s="63" t="s">
        <v>688</v>
      </c>
      <c r="M636" s="63" t="s">
        <v>2736</v>
      </c>
      <c r="N636" s="63" t="s">
        <v>577</v>
      </c>
      <c r="O636" s="63" t="str">
        <f ca="1">IF(H636&lt;&gt;"",IF(H636&lt;=TODAY(),"SI","NO"),"LIMBO")</f>
        <v>SI</v>
      </c>
      <c r="P636" s="63" t="str">
        <f>IF($P$1=H636,"DIASOL", "DIANOSOL")</f>
        <v>DIANOSOL</v>
      </c>
      <c r="Q636" s="63" t="s">
        <v>151</v>
      </c>
      <c r="R636" s="63" t="str">
        <f>VLOOKUP($Q636,Resultados!$A$1:$B$49,2,FALSE)</f>
        <v>Prisión Preventiva</v>
      </c>
      <c r="S636" s="63" t="s">
        <v>2978</v>
      </c>
      <c r="T636" s="72" t="str">
        <f>IF(G636=$J$1,"SI","NO")</f>
        <v>NO</v>
      </c>
      <c r="U636" s="72"/>
      <c r="V636" s="7" t="str">
        <f ca="1">IF(color_Celda(E636)=12106214,"ROSA",IF(color_Celda(E636)=65535,"AMARILLO",IF(color_Celda(E636)=5296274,"VERDE",IF(color_Celda(E636)=16777215,"BLANCO","NO SE"))))</f>
        <v>ROSA</v>
      </c>
      <c r="W636" s="63" t="s">
        <v>1015</v>
      </c>
      <c r="X636" s="63"/>
      <c r="Y636" s="63"/>
      <c r="Z636" s="118" t="s">
        <v>1038</v>
      </c>
      <c r="AA636" s="118" t="s">
        <v>1167</v>
      </c>
      <c r="AB636" s="118" t="s">
        <v>1173</v>
      </c>
      <c r="AC636" s="324"/>
    </row>
    <row r="637" spans="1:29" ht="60" customHeight="1">
      <c r="A637" s="63">
        <v>646</v>
      </c>
      <c r="B637" s="65">
        <v>45187</v>
      </c>
      <c r="C637" s="70">
        <v>0.33333333333333331</v>
      </c>
      <c r="D637" s="63" t="s">
        <v>2759</v>
      </c>
      <c r="E637" s="64" t="s">
        <v>2775</v>
      </c>
      <c r="F637" s="63">
        <v>8</v>
      </c>
      <c r="G637" s="63" t="s">
        <v>2766</v>
      </c>
      <c r="H637" s="208">
        <v>45196</v>
      </c>
      <c r="I637" s="65" t="s">
        <v>73</v>
      </c>
      <c r="J637" s="65" t="s">
        <v>31</v>
      </c>
      <c r="K637" s="63">
        <f>IFERROR(VLOOKUP(J637,Jueces!$A$1:$B$11,2,FALSE),"")</f>
        <v>2</v>
      </c>
      <c r="L637" s="63" t="s">
        <v>2988</v>
      </c>
      <c r="M637" s="63" t="s">
        <v>2987</v>
      </c>
      <c r="N637" s="63" t="s">
        <v>235</v>
      </c>
      <c r="O637" s="78" t="str">
        <f ca="1">IF(H637&lt;&gt;"",IF(H637&lt;=TODAY(),"SI","NO"),"LIMBO")</f>
        <v>SI</v>
      </c>
      <c r="P637" s="78" t="str">
        <f>IF($P$1=H637,"DIASOL", "DIANOSOL")</f>
        <v>DIANOSOL</v>
      </c>
      <c r="Q637" s="63" t="s">
        <v>151</v>
      </c>
      <c r="R637" s="63" t="str">
        <f>VLOOKUP($Q637,Resultados!$A$1:$B$49,2,FALSE)</f>
        <v>Prisión Preventiva</v>
      </c>
      <c r="S637" s="70">
        <v>0.36180555555555555</v>
      </c>
      <c r="T637" s="81" t="str">
        <f>IF(G637=$J$1,"SI","NO")</f>
        <v>NO</v>
      </c>
      <c r="U637" s="81"/>
      <c r="V637" s="7" t="str">
        <f ca="1">IF(color_Celda(E637)=12106214,"ROSA",IF(color_Celda(E637)=65535,"AMARILLO",IF(color_Celda(E637)=5296274,"VERDE",IF(color_Celda(E637)=16777215,"BLANCO","NO SE"))))</f>
        <v>ROSA</v>
      </c>
      <c r="W637" s="70">
        <v>0.3743055555555555</v>
      </c>
      <c r="X637" s="366" t="s">
        <v>2989</v>
      </c>
      <c r="Y637" s="63"/>
      <c r="Z637" s="118" t="s">
        <v>748</v>
      </c>
      <c r="AA637" s="118" t="s">
        <v>1165</v>
      </c>
      <c r="AB637" s="118" t="s">
        <v>1170</v>
      </c>
      <c r="AC637" s="324"/>
    </row>
    <row r="638" spans="1:29" ht="60" customHeight="1">
      <c r="A638" s="63">
        <v>654</v>
      </c>
      <c r="B638" s="65">
        <v>45187</v>
      </c>
      <c r="C638" s="70">
        <v>0.48333333333333334</v>
      </c>
      <c r="D638" s="63" t="s">
        <v>2781</v>
      </c>
      <c r="E638" s="64" t="s">
        <v>2782</v>
      </c>
      <c r="F638" s="63">
        <v>7</v>
      </c>
      <c r="G638" s="63" t="s">
        <v>43</v>
      </c>
      <c r="H638" s="208">
        <v>45196</v>
      </c>
      <c r="I638" s="65" t="s">
        <v>73</v>
      </c>
      <c r="J638" s="65" t="s">
        <v>78</v>
      </c>
      <c r="K638" s="63">
        <f>IFERROR(VLOOKUP(J638,Jueces!$A$1:$B$11,2,FALSE),"")</f>
        <v>8</v>
      </c>
      <c r="L638" s="63" t="s">
        <v>806</v>
      </c>
      <c r="M638" s="63" t="s">
        <v>767</v>
      </c>
      <c r="N638" s="366" t="s">
        <v>2990</v>
      </c>
      <c r="O638" s="78" t="str">
        <f ca="1">IF(H638&lt;&gt;"",IF(H638&lt;=TODAY(),"SI","NO"),"LIMBO")</f>
        <v>SI</v>
      </c>
      <c r="P638" s="78" t="str">
        <f>IF($P$1=H638,"DIASOL", "DIANOSOL")</f>
        <v>DIANOSOL</v>
      </c>
      <c r="Q638" s="63" t="s">
        <v>902</v>
      </c>
      <c r="R638" s="63" t="str">
        <f>VLOOKUP($Q638,Resultados!$A$1:$B$49,2,FALSE)</f>
        <v>Juicio Abreviado</v>
      </c>
      <c r="S638" s="70">
        <v>0.36041666666666666</v>
      </c>
      <c r="T638" s="81" t="str">
        <f>IF(G638=$J$1,"SI","NO")</f>
        <v>NO</v>
      </c>
      <c r="U638" s="81"/>
      <c r="V638" s="7" t="str">
        <f ca="1">IF(color_Celda(E638)=12106214,"ROSA",IF(color_Celda(E638)=65535,"AMARILLO",IF(color_Celda(E638)=5296274,"VERDE",IF(color_Celda(E638)=16777215,"BLANCO","NO SE"))))</f>
        <v>ROSA</v>
      </c>
      <c r="W638" s="70">
        <v>0.37222222222222223</v>
      </c>
      <c r="X638" s="63"/>
      <c r="Y638" s="63"/>
      <c r="Z638" s="118" t="s">
        <v>770</v>
      </c>
      <c r="AA638" s="118" t="s">
        <v>2828</v>
      </c>
      <c r="AB638" s="118" t="s">
        <v>1169</v>
      </c>
      <c r="AC638" s="324"/>
    </row>
    <row r="639" spans="1:29" ht="60" customHeight="1">
      <c r="A639" s="63">
        <v>662</v>
      </c>
      <c r="B639" s="65">
        <v>45188</v>
      </c>
      <c r="C639" s="70">
        <v>0.52569444444444446</v>
      </c>
      <c r="D639" s="63" t="s">
        <v>2802</v>
      </c>
      <c r="E639" s="64" t="s">
        <v>2803</v>
      </c>
      <c r="F639" s="63">
        <v>7</v>
      </c>
      <c r="G639" s="63" t="s">
        <v>2753</v>
      </c>
      <c r="H639" s="208">
        <v>45196</v>
      </c>
      <c r="I639" s="65" t="s">
        <v>73</v>
      </c>
      <c r="J639" s="65" t="s">
        <v>2922</v>
      </c>
      <c r="K639" s="63" t="s">
        <v>1916</v>
      </c>
      <c r="L639" s="63" t="s">
        <v>2715</v>
      </c>
      <c r="M639" s="63" t="s">
        <v>1024</v>
      </c>
      <c r="N639" s="205" t="s">
        <v>235</v>
      </c>
      <c r="O639" s="78" t="str">
        <f ca="1">IF(H639&lt;&gt;"",IF(H639&lt;=TODAY(),"SI","NO"),"LIMBO")</f>
        <v>SI</v>
      </c>
      <c r="P639" s="78" t="str">
        <f>IF($P$1=H639,"DIASOL", "DIANOSOL")</f>
        <v>DIANOSOL</v>
      </c>
      <c r="Q639" s="63" t="s">
        <v>151</v>
      </c>
      <c r="R639" s="63" t="str">
        <f>VLOOKUP($Q639,Resultados!$A$1:$B$49,2,FALSE)</f>
        <v>Prisión Preventiva</v>
      </c>
      <c r="S639" s="70">
        <v>0.34583333333333338</v>
      </c>
      <c r="T639" s="81" t="str">
        <f>IF(G639=$J$1,"SI","NO")</f>
        <v>NO</v>
      </c>
      <c r="U639" s="81"/>
      <c r="V639" s="7" t="str">
        <f ca="1">IF(color_Celda(E639)=12106214,"ROSA",IF(color_Celda(E639)=65535,"AMARILLO",IF(color_Celda(E639)=5296274,"VERDE",IF(color_Celda(E639)=16777215,"BLANCO","NO SE"))))</f>
        <v>ROSA</v>
      </c>
      <c r="W639" s="70">
        <v>0.3756944444444445</v>
      </c>
      <c r="X639" s="63" t="s">
        <v>2986</v>
      </c>
      <c r="Y639" s="63"/>
      <c r="Z639" s="118" t="s">
        <v>743</v>
      </c>
      <c r="AA639" s="118" t="s">
        <v>1167</v>
      </c>
      <c r="AB639" s="118" t="s">
        <v>2949</v>
      </c>
      <c r="AC639" s="324"/>
    </row>
    <row r="640" spans="1:29" ht="60" customHeight="1">
      <c r="A640" s="63">
        <v>645</v>
      </c>
      <c r="B640" s="65">
        <v>45187</v>
      </c>
      <c r="C640" s="70">
        <v>0.34375</v>
      </c>
      <c r="D640" s="63" t="s">
        <v>2758</v>
      </c>
      <c r="E640" s="64" t="s">
        <v>2792</v>
      </c>
      <c r="F640" s="63">
        <v>8</v>
      </c>
      <c r="G640" s="63" t="s">
        <v>2751</v>
      </c>
      <c r="H640" s="208">
        <v>45196</v>
      </c>
      <c r="I640" s="65" t="s">
        <v>1083</v>
      </c>
      <c r="J640" s="65" t="s">
        <v>33</v>
      </c>
      <c r="K640" s="63">
        <f>IFERROR(VLOOKUP(J640,Jueces!$A$1:$B$11,2,FALSE),"")</f>
        <v>4</v>
      </c>
      <c r="L640" s="63" t="s">
        <v>807</v>
      </c>
      <c r="M640" s="63" t="s">
        <v>1084</v>
      </c>
      <c r="N640" s="63" t="s">
        <v>3023</v>
      </c>
      <c r="O640" s="78" t="str">
        <f ca="1">IF(H640&lt;&gt;"",IF(H640&lt;=TODAY(),"SI","NO"),"LIMBO")</f>
        <v>SI</v>
      </c>
      <c r="P640" s="78" t="str">
        <f>IF($P$1=H640,"DIASOL", "DIANOSOL")</f>
        <v>DIANOSOL</v>
      </c>
      <c r="Q640" s="63" t="s">
        <v>903</v>
      </c>
      <c r="R640" s="63" t="str">
        <f>VLOOKUP($Q640,Resultados!$A$1:$B$49,2,FALSE)</f>
        <v>Juicio Abreviado</v>
      </c>
      <c r="S640" s="70">
        <v>0.38541666666666669</v>
      </c>
      <c r="T640" s="81" t="str">
        <f>IF(G640=$J$1,"SI","NO")</f>
        <v>NO</v>
      </c>
      <c r="U640" s="81"/>
      <c r="V640" s="7" t="str">
        <f ca="1">IF(color_Celda(E640)=12106214,"ROSA",IF(color_Celda(E640)=65535,"AMARILLO",IF(color_Celda(E640)=5296274,"VERDE",IF(color_Celda(E640)=16777215,"BLANCO","NO SE"))))</f>
        <v>ROSA</v>
      </c>
      <c r="W640" s="70">
        <v>0.3972222222222222</v>
      </c>
      <c r="X640" s="259" t="s">
        <v>2985</v>
      </c>
      <c r="Y640" s="63"/>
      <c r="Z640" s="118" t="s">
        <v>2869</v>
      </c>
      <c r="AA640" s="118" t="s">
        <v>2828</v>
      </c>
      <c r="AB640" s="118" t="s">
        <v>1173</v>
      </c>
      <c r="AC640" s="324"/>
    </row>
    <row r="641" spans="1:29" ht="60" customHeight="1">
      <c r="A641" s="63">
        <v>649</v>
      </c>
      <c r="B641" s="65">
        <v>45187</v>
      </c>
      <c r="C641" s="70">
        <v>0.43611111111111112</v>
      </c>
      <c r="D641" s="63" t="s">
        <v>2762</v>
      </c>
      <c r="E641" s="64" t="s">
        <v>2763</v>
      </c>
      <c r="F641" s="63">
        <v>7</v>
      </c>
      <c r="G641" s="63" t="s">
        <v>568</v>
      </c>
      <c r="H641" s="208">
        <v>45196</v>
      </c>
      <c r="I641" s="65" t="s">
        <v>1083</v>
      </c>
      <c r="J641" s="65" t="s">
        <v>31</v>
      </c>
      <c r="K641" s="63">
        <f>IFERROR(VLOOKUP(J641,Jueces!$A$1:$B$11,2,FALSE),"")</f>
        <v>2</v>
      </c>
      <c r="L641" s="63" t="s">
        <v>805</v>
      </c>
      <c r="M641" s="63" t="s">
        <v>2755</v>
      </c>
      <c r="N641" s="205" t="s">
        <v>2982</v>
      </c>
      <c r="O641" s="78" t="str">
        <f ca="1">IF(H641&lt;&gt;"",IF(H641&lt;=TODAY(),"SI","NO"),"LIMBO")</f>
        <v>SI</v>
      </c>
      <c r="P641" s="78" t="str">
        <f>IF($P$1=H641,"DIASOL", "DIANOSOL")</f>
        <v>DIANOSOL</v>
      </c>
      <c r="Q641" s="63" t="s">
        <v>1892</v>
      </c>
      <c r="R641" s="63" t="str">
        <f>VLOOKUP($Q641,Resultados!$A$1:$B$49,2,FALSE)</f>
        <v>Sobreseimiento</v>
      </c>
      <c r="S641" s="70">
        <v>0.44444444444444442</v>
      </c>
      <c r="T641" s="81" t="str">
        <f>IF(G641=$J$1,"SI","NO")</f>
        <v>NO</v>
      </c>
      <c r="U641" s="81"/>
      <c r="V641" s="7" t="str">
        <f ca="1">IF(color_Celda(E641)=12106214,"ROSA",IF(color_Celda(E641)=65535,"AMARILLO",IF(color_Celda(E641)=5296274,"VERDE",IF(color_Celda(E641)=16777215,"BLANCO","NO SE"))))</f>
        <v>ROSA</v>
      </c>
      <c r="W641" s="70">
        <v>0.4368055555555555</v>
      </c>
      <c r="X641" s="63"/>
      <c r="Y641" s="63"/>
      <c r="Z641" s="118" t="s">
        <v>748</v>
      </c>
      <c r="AA641" s="118" t="s">
        <v>1165</v>
      </c>
      <c r="AB641" s="118" t="s">
        <v>1170</v>
      </c>
      <c r="AC641" s="324"/>
    </row>
    <row r="642" spans="1:29" ht="60" customHeight="1">
      <c r="A642" s="63">
        <v>661</v>
      </c>
      <c r="B642" s="65">
        <v>45188</v>
      </c>
      <c r="C642" s="70">
        <v>0.53055555555555556</v>
      </c>
      <c r="D642" s="63" t="s">
        <v>2800</v>
      </c>
      <c r="E642" s="64" t="s">
        <v>2801</v>
      </c>
      <c r="F642" s="63">
        <v>7</v>
      </c>
      <c r="G642" s="63" t="s">
        <v>2752</v>
      </c>
      <c r="H642" s="208">
        <v>45196</v>
      </c>
      <c r="I642" s="65" t="s">
        <v>1083</v>
      </c>
      <c r="J642" s="65" t="s">
        <v>35</v>
      </c>
      <c r="K642" s="63">
        <f>IFERROR(VLOOKUP(J642,Jueces!$A$1:$B$11,2,FALSE),"")</f>
        <v>3</v>
      </c>
      <c r="L642" s="63" t="s">
        <v>810</v>
      </c>
      <c r="M642" s="63" t="s">
        <v>767</v>
      </c>
      <c r="N642" s="63" t="s">
        <v>2984</v>
      </c>
      <c r="O642" s="78" t="str">
        <f ca="1">IF(H642&lt;&gt;"",IF(H642&lt;=TODAY(),"SI","NO"),"LIMBO")</f>
        <v>SI</v>
      </c>
      <c r="P642" s="78" t="str">
        <f>IF($P$1=H642,"DIASOL", "DIANOSOL")</f>
        <v>DIANOSOL</v>
      </c>
      <c r="Q642" s="63" t="s">
        <v>897</v>
      </c>
      <c r="R642" s="63" t="str">
        <f>VLOOKUP($Q642,Resultados!$A$1:$B$49,2,FALSE)</f>
        <v>Libertad</v>
      </c>
      <c r="S642" s="70">
        <v>0.38472222222222219</v>
      </c>
      <c r="T642" s="81" t="str">
        <f>IF(G642=$J$1,"SI","NO")</f>
        <v>NO</v>
      </c>
      <c r="U642" s="81"/>
      <c r="V642" s="7" t="str">
        <f ca="1">IF(color_Celda(E642)=12106214,"ROSA",IF(color_Celda(E642)=65535,"AMARILLO",IF(color_Celda(E642)=5296274,"VERDE",IF(color_Celda(E642)=16777215,"BLANCO","NO SE"))))</f>
        <v>ROSA</v>
      </c>
      <c r="W642" s="70">
        <v>0.41736111111111113</v>
      </c>
      <c r="X642" s="63" t="s">
        <v>2983</v>
      </c>
      <c r="Y642" s="63"/>
      <c r="Z642" s="118" t="s">
        <v>1039</v>
      </c>
      <c r="AA642" s="118" t="s">
        <v>1167</v>
      </c>
      <c r="AB642" s="118" t="s">
        <v>1169</v>
      </c>
      <c r="AC642" s="324"/>
    </row>
    <row r="643" spans="1:29" ht="60" customHeight="1">
      <c r="A643" s="63">
        <v>640</v>
      </c>
      <c r="B643" s="65">
        <v>45187</v>
      </c>
      <c r="C643" s="70">
        <v>0.33333333333333331</v>
      </c>
      <c r="D643" s="63" t="s">
        <v>2744</v>
      </c>
      <c r="E643" s="64" t="s">
        <v>2745</v>
      </c>
      <c r="F643" s="63">
        <v>8</v>
      </c>
      <c r="G643" s="63" t="s">
        <v>29</v>
      </c>
      <c r="H643" s="208">
        <v>45196</v>
      </c>
      <c r="I643" s="65" t="s">
        <v>987</v>
      </c>
      <c r="J643" s="65" t="s">
        <v>1217</v>
      </c>
      <c r="K643" s="63" t="s">
        <v>1916</v>
      </c>
      <c r="L643" s="63" t="s">
        <v>2076</v>
      </c>
      <c r="M643" s="63" t="s">
        <v>1084</v>
      </c>
      <c r="N643" s="674" t="s">
        <v>2998</v>
      </c>
      <c r="O643" s="78" t="str">
        <f ca="1">IF(H643&lt;&gt;"",IF(H643&lt;=TODAY(),"SI","NO"),"LIMBO")</f>
        <v>SI</v>
      </c>
      <c r="P643" s="78" t="str">
        <f>IF($P$1=H643,"DIASOL", "DIANOSOL")</f>
        <v>DIANOSOL</v>
      </c>
      <c r="Q643" s="63" t="s">
        <v>902</v>
      </c>
      <c r="R643" s="63" t="str">
        <f>VLOOKUP($Q643,Resultados!$A$1:$B$49,2,FALSE)</f>
        <v>Juicio Abreviado</v>
      </c>
      <c r="S643" s="70">
        <v>0.52430555555555558</v>
      </c>
      <c r="T643" s="81" t="str">
        <f>IF(G643=$J$1,"SI","NO")</f>
        <v>NO</v>
      </c>
      <c r="U643" s="81"/>
      <c r="V643" s="7" t="str">
        <f ca="1">IF(color_Celda(E643)=12106214,"ROSA",IF(color_Celda(E643)=65535,"AMARILLO",IF(color_Celda(E643)=5296274,"VERDE",IF(color_Celda(E643)=16777215,"BLANCO","NO SE"))))</f>
        <v>ROSA</v>
      </c>
      <c r="W643" s="70">
        <v>0.54097222222222219</v>
      </c>
      <c r="X643" s="366" t="s">
        <v>2997</v>
      </c>
      <c r="Y643" s="63"/>
      <c r="Z643" s="118" t="s">
        <v>743</v>
      </c>
      <c r="AA643" s="118" t="s">
        <v>1167</v>
      </c>
      <c r="AB643" s="118" t="s">
        <v>2949</v>
      </c>
      <c r="AC643" s="324"/>
    </row>
    <row r="644" spans="1:29" ht="60" customHeight="1">
      <c r="A644" s="63">
        <v>648</v>
      </c>
      <c r="B644" s="65">
        <v>45187</v>
      </c>
      <c r="C644" s="70">
        <v>0.44513888888888892</v>
      </c>
      <c r="D644" s="63" t="s">
        <v>2761</v>
      </c>
      <c r="E644" s="64" t="s">
        <v>2804</v>
      </c>
      <c r="F644" s="63">
        <v>8</v>
      </c>
      <c r="G644" s="63" t="s">
        <v>2815</v>
      </c>
      <c r="H644" s="208">
        <v>45197</v>
      </c>
      <c r="I644" s="65" t="s">
        <v>73</v>
      </c>
      <c r="J644" s="65" t="s">
        <v>78</v>
      </c>
      <c r="K644" s="63">
        <f>IFERROR(VLOOKUP(J644,Jueces!$A$1:$B$11,2,FALSE),"")</f>
        <v>8</v>
      </c>
      <c r="L644" s="63" t="s">
        <v>810</v>
      </c>
      <c r="M644" s="63" t="s">
        <v>2987</v>
      </c>
      <c r="N644" s="205" t="s">
        <v>3007</v>
      </c>
      <c r="O644" s="63" t="str">
        <f ca="1">IF(H644&lt;&gt;"",IF(H644&lt;=TODAY(),"SI","NO"),"LIMBO")</f>
        <v>SI</v>
      </c>
      <c r="P644" s="63" t="str">
        <f>IF($P$1=H644,"DIASOL", "DIANOSOL")</f>
        <v>DIANOSOL</v>
      </c>
      <c r="Q644" s="63" t="s">
        <v>902</v>
      </c>
      <c r="R644" s="63" t="str">
        <f>VLOOKUP($Q644,Resultados!$A$1:$B$49,2,FALSE)</f>
        <v>Juicio Abreviado</v>
      </c>
      <c r="S644" s="63" t="s">
        <v>1125</v>
      </c>
      <c r="T644" s="72" t="str">
        <f>IF(G644=$J$1,"SI","NO")</f>
        <v>NO</v>
      </c>
      <c r="U644" s="72"/>
      <c r="V644" s="7" t="str">
        <f ca="1">IF(color_Celda(E644)=12106214,"ROSA",IF(color_Celda(E644)=65535,"AMARILLO",IF(color_Celda(E644)=5296274,"VERDE",IF(color_Celda(E644)=16777215,"BLANCO","NO SE"))))</f>
        <v>ROSA</v>
      </c>
      <c r="W644" s="63" t="s">
        <v>1373</v>
      </c>
      <c r="X644" s="63" t="s">
        <v>2954</v>
      </c>
      <c r="Y644" s="63"/>
      <c r="Z644" s="118" t="s">
        <v>743</v>
      </c>
      <c r="AA644" s="118" t="s">
        <v>1167</v>
      </c>
      <c r="AB644" s="118" t="s">
        <v>1170</v>
      </c>
      <c r="AC644" s="324"/>
    </row>
    <row r="645" spans="1:29" ht="60" customHeight="1">
      <c r="A645" s="63">
        <v>632</v>
      </c>
      <c r="B645" s="65">
        <v>45181</v>
      </c>
      <c r="C645" s="70">
        <v>0.39930555555555558</v>
      </c>
      <c r="D645" s="63" t="s">
        <v>2723</v>
      </c>
      <c r="E645" s="64" t="s">
        <v>2768</v>
      </c>
      <c r="F645" s="63">
        <v>8</v>
      </c>
      <c r="G645" s="63" t="s">
        <v>1433</v>
      </c>
      <c r="H645" s="208">
        <v>45197</v>
      </c>
      <c r="I645" s="65" t="s">
        <v>1083</v>
      </c>
      <c r="J645" s="65" t="s">
        <v>1221</v>
      </c>
      <c r="K645" s="63">
        <f>IFERROR(VLOOKUP(J645,Jueces!$A$1:$B$11,2,FALSE),"")</f>
        <v>6</v>
      </c>
      <c r="L645" s="63" t="s">
        <v>811</v>
      </c>
      <c r="M645" s="63" t="s">
        <v>1084</v>
      </c>
      <c r="N645" s="205" t="s">
        <v>235</v>
      </c>
      <c r="O645" s="78" t="str">
        <f ca="1">IF(H645&lt;&gt;"",IF(H645&lt;=TODAY(),"SI","NO"),"LIMBO")</f>
        <v>SI</v>
      </c>
      <c r="P645" s="78" t="str">
        <f>IF($P$1=H645,"DIASOL", "DIANOSOL")</f>
        <v>DIANOSOL</v>
      </c>
      <c r="Q645" s="63" t="s">
        <v>151</v>
      </c>
      <c r="R645" s="63" t="str">
        <f>VLOOKUP($Q645,Resultados!$A$1:$B$49,2,FALSE)</f>
        <v>Prisión Preventiva</v>
      </c>
      <c r="S645" s="70">
        <v>0.38194444444444442</v>
      </c>
      <c r="T645" s="81" t="str">
        <f>IF(G645=$J$1,"SI","NO")</f>
        <v>NO</v>
      </c>
      <c r="U645" s="81"/>
      <c r="V645" s="7" t="str">
        <f ca="1">IF(color_Celda(E645)=12106214,"ROSA",IF(color_Celda(E645)=65535,"AMARILLO",IF(color_Celda(E645)=5296274,"VERDE",IF(color_Celda(E645)=16777215,"BLANCO","NO SE"))))</f>
        <v>ROSA</v>
      </c>
      <c r="W645" s="70">
        <v>0.40138888888888885</v>
      </c>
      <c r="X645" s="63" t="s">
        <v>3037</v>
      </c>
      <c r="Y645" s="63"/>
      <c r="Z645" s="118" t="s">
        <v>2843</v>
      </c>
      <c r="AA645" s="118" t="s">
        <v>2828</v>
      </c>
      <c r="AB645" s="118" t="s">
        <v>1171</v>
      </c>
      <c r="AC645" s="324"/>
    </row>
    <row r="646" spans="1:29" ht="60" customHeight="1">
      <c r="A646" s="63">
        <v>682</v>
      </c>
      <c r="B646" s="65">
        <v>45190</v>
      </c>
      <c r="C646" s="70">
        <v>0.52361111111111114</v>
      </c>
      <c r="D646" s="63" t="s">
        <v>2888</v>
      </c>
      <c r="E646" s="64" t="s">
        <v>2899</v>
      </c>
      <c r="F646" s="63">
        <v>1</v>
      </c>
      <c r="G646" s="63" t="s">
        <v>43</v>
      </c>
      <c r="H646" s="208">
        <v>45197</v>
      </c>
      <c r="I646" s="65" t="s">
        <v>1083</v>
      </c>
      <c r="J646" s="65" t="s">
        <v>31</v>
      </c>
      <c r="K646" s="63">
        <f>IFERROR(VLOOKUP(J646,Jueces!$A$1:$B$11,2,FALSE),"")</f>
        <v>2</v>
      </c>
      <c r="L646" s="63" t="s">
        <v>2715</v>
      </c>
      <c r="M646" s="63" t="s">
        <v>711</v>
      </c>
      <c r="N646" s="205" t="s">
        <v>3035</v>
      </c>
      <c r="O646" s="78" t="str">
        <f ca="1">IF(H646&lt;&gt;"",IF(H646&lt;=TODAY(),"SI","NO"),"LIMBO")</f>
        <v>SI</v>
      </c>
      <c r="P646" s="78" t="str">
        <f>IF($P$1=H646,"DIASOL", "DIANOSOL")</f>
        <v>DIANOSOL</v>
      </c>
      <c r="Q646" s="63" t="s">
        <v>902</v>
      </c>
      <c r="R646" s="63" t="str">
        <f>VLOOKUP($Q646,Resultados!$A$1:$B$49,2,FALSE)</f>
        <v>Juicio Abreviado</v>
      </c>
      <c r="S646" s="70">
        <v>0.41041666666666665</v>
      </c>
      <c r="T646" s="81" t="str">
        <f>IF(G646=$J$1,"SI","NO")</f>
        <v>NO</v>
      </c>
      <c r="U646" s="81"/>
      <c r="V646" s="7" t="str">
        <f ca="1">IF(color_Celda(E646)=12106214,"ROSA",IF(color_Celda(E646)=65535,"AMARILLO",IF(color_Celda(E646)=5296274,"VERDE",IF(color_Celda(E646)=16777215,"BLANCO","NO SE"))))</f>
        <v>ROSA</v>
      </c>
      <c r="W646" s="70">
        <v>0.42499999999999999</v>
      </c>
      <c r="X646" s="63" t="s">
        <v>3036</v>
      </c>
      <c r="Y646" s="63"/>
      <c r="Z646" s="118" t="s">
        <v>748</v>
      </c>
      <c r="AA646" s="118" t="s">
        <v>1165</v>
      </c>
      <c r="AB646" s="118" t="s">
        <v>1173</v>
      </c>
      <c r="AC646" s="324"/>
    </row>
    <row r="647" spans="1:29" ht="60" customHeight="1">
      <c r="A647" s="63">
        <v>656</v>
      </c>
      <c r="B647" s="65">
        <v>45187</v>
      </c>
      <c r="C647" s="70">
        <v>0.53888888888888886</v>
      </c>
      <c r="D647" s="63" t="s">
        <v>2784</v>
      </c>
      <c r="E647" s="64" t="s">
        <v>2785</v>
      </c>
      <c r="F647" s="63">
        <v>8</v>
      </c>
      <c r="G647" s="63" t="s">
        <v>283</v>
      </c>
      <c r="H647" s="208">
        <v>45197</v>
      </c>
      <c r="I647" s="65" t="s">
        <v>1206</v>
      </c>
      <c r="J647" s="65" t="s">
        <v>78</v>
      </c>
      <c r="K647" s="63">
        <f>IFERROR(VLOOKUP(J647,Jueces!$A$1:$B$11,2,FALSE),"")</f>
        <v>8</v>
      </c>
      <c r="L647" s="63" t="s">
        <v>811</v>
      </c>
      <c r="M647" s="63" t="s">
        <v>2905</v>
      </c>
      <c r="N647" s="63" t="s">
        <v>2714</v>
      </c>
      <c r="O647" s="63" t="str">
        <f ca="1">IF(H647&lt;&gt;"",IF(H647&lt;=TODAY(),"SI","NO"),"LIMBO")</f>
        <v>SI</v>
      </c>
      <c r="P647" s="63" t="str">
        <f>IF($P$1=H647,"DIASOL", "DIANOSOL")</f>
        <v>DIANOSOL</v>
      </c>
      <c r="Q647" s="63" t="s">
        <v>902</v>
      </c>
      <c r="R647" s="63" t="str">
        <f>VLOOKUP($Q647,Resultados!$A$1:$B$49,2,FALSE)</f>
        <v>Juicio Abreviado</v>
      </c>
      <c r="S647" s="63" t="s">
        <v>1226</v>
      </c>
      <c r="T647" s="72" t="str">
        <f>IF(G647=$J$1,"SI","NO")</f>
        <v>NO</v>
      </c>
      <c r="U647" s="72"/>
      <c r="V647" s="7" t="str">
        <f ca="1">IF(color_Celda(E647)=12106214,"ROSA",IF(color_Celda(E647)=65535,"AMARILLO",IF(color_Celda(E647)=5296274,"VERDE",IF(color_Celda(E647)=16777215,"BLANCO","NO SE"))))</f>
        <v>ROSA</v>
      </c>
      <c r="W647" s="63" t="s">
        <v>2663</v>
      </c>
      <c r="X647" s="63"/>
      <c r="Y647" s="63"/>
      <c r="Z647" s="118" t="s">
        <v>2869</v>
      </c>
      <c r="AA647" s="118" t="s">
        <v>1167</v>
      </c>
      <c r="AB647" s="118" t="s">
        <v>1170</v>
      </c>
      <c r="AC647" s="328"/>
    </row>
    <row r="648" spans="1:29" ht="60" customHeight="1">
      <c r="A648" s="63">
        <v>652</v>
      </c>
      <c r="B648" s="65">
        <v>45187</v>
      </c>
      <c r="C648" s="70">
        <v>0.49722222222222223</v>
      </c>
      <c r="D648" s="63" t="s">
        <v>2779</v>
      </c>
      <c r="E648" s="64" t="s">
        <v>2930</v>
      </c>
      <c r="F648" s="63">
        <v>8</v>
      </c>
      <c r="G648" s="63" t="s">
        <v>1435</v>
      </c>
      <c r="H648" s="208">
        <v>45197</v>
      </c>
      <c r="I648" s="65" t="s">
        <v>987</v>
      </c>
      <c r="J648" s="65" t="s">
        <v>1217</v>
      </c>
      <c r="K648" s="63">
        <f>IFERROR(VLOOKUP(J648,Jueces!$A$1:$B$11,2,FALSE),"")</f>
        <v>7</v>
      </c>
      <c r="L648" s="63" t="s">
        <v>3034</v>
      </c>
      <c r="M648" s="63" t="s">
        <v>1084</v>
      </c>
      <c r="N648" s="205" t="s">
        <v>235</v>
      </c>
      <c r="O648" s="78" t="str">
        <f ca="1">IF(H648&lt;&gt;"",IF(H648&lt;=TODAY(),"SI","NO"),"LIMBO")</f>
        <v>SI</v>
      </c>
      <c r="P648" s="78" t="str">
        <f>IF($P$1=H648,"DIASOL", "DIANOSOL")</f>
        <v>DIANOSOL</v>
      </c>
      <c r="Q648" s="63" t="s">
        <v>151</v>
      </c>
      <c r="R648" s="63" t="str">
        <f>VLOOKUP($Q648,Resultados!$A$1:$B$49,2,FALSE)</f>
        <v>Prisión Preventiva</v>
      </c>
      <c r="S648" s="70">
        <v>0.49652777777777773</v>
      </c>
      <c r="T648" s="81" t="str">
        <f>IF(G648=$J$1,"SI","NO")</f>
        <v>SI</v>
      </c>
      <c r="U648" s="81"/>
      <c r="V648" s="7" t="str">
        <f ca="1">IF(color_Celda(E648)=12106214,"ROSA",IF(color_Celda(E648)=65535,"AMARILLO",IF(color_Celda(E648)=5296274,"VERDE",IF(color_Celda(E648)=16777215,"BLANCO","NO SE"))))</f>
        <v>ROSA</v>
      </c>
      <c r="W648" s="70">
        <v>0.51736111111111105</v>
      </c>
      <c r="X648" s="63"/>
      <c r="Y648" s="63"/>
      <c r="Z648" s="118" t="s">
        <v>770</v>
      </c>
      <c r="AA648" s="118" t="s">
        <v>1165</v>
      </c>
      <c r="AB648" s="118" t="s">
        <v>1169</v>
      </c>
      <c r="AC648" s="324"/>
    </row>
    <row r="649" spans="1:29" ht="60" customHeight="1">
      <c r="A649" s="63">
        <v>593</v>
      </c>
      <c r="B649" s="65">
        <v>45174</v>
      </c>
      <c r="C649" s="70">
        <v>0.40347222222222223</v>
      </c>
      <c r="D649" s="63" t="s">
        <v>2738</v>
      </c>
      <c r="E649" s="64" t="s">
        <v>2612</v>
      </c>
      <c r="F649" s="63">
        <v>8</v>
      </c>
      <c r="G649" s="63" t="s">
        <v>2751</v>
      </c>
      <c r="H649" s="208">
        <v>45198</v>
      </c>
      <c r="I649" s="65" t="s">
        <v>73</v>
      </c>
      <c r="J649" s="65" t="s">
        <v>33</v>
      </c>
      <c r="K649" s="63">
        <f>IFERROR(VLOOKUP(J649,Jueces!$A$1:$B$11,2,FALSE),"")</f>
        <v>4</v>
      </c>
      <c r="L649" s="63" t="s">
        <v>811</v>
      </c>
      <c r="M649" s="63" t="s">
        <v>1029</v>
      </c>
      <c r="N649" s="63" t="s">
        <v>3043</v>
      </c>
      <c r="O649" s="63" t="str">
        <f ca="1">IF(H649&lt;&gt;"",IF(H649&lt;=TODAY(),"SI","NO"),"LIMBO")</f>
        <v>SI</v>
      </c>
      <c r="P649" s="63" t="str">
        <f>IF($P$1=H649,"DIASOL", "DIANOSOL")</f>
        <v>DIANOSOL</v>
      </c>
      <c r="Q649" s="63" t="s">
        <v>903</v>
      </c>
      <c r="R649" s="63" t="str">
        <f>VLOOKUP($Q649,Resultados!$A$1:$B$49,2,FALSE)</f>
        <v>Juicio Abreviado</v>
      </c>
      <c r="S649" s="63" t="s">
        <v>1012</v>
      </c>
      <c r="T649" s="72" t="str">
        <f>IF(G649=$J$1,"SI","NO")</f>
        <v>NO</v>
      </c>
      <c r="U649" s="72"/>
      <c r="V649" s="7" t="str">
        <f ca="1">IF(color_Celda(E649)=12106214,"ROSA",IF(color_Celda(E649)=65535,"AMARILLO",IF(color_Celda(E649)=5296274,"VERDE",IF(color_Celda(E649)=16777215,"BLANCO","NO SE"))))</f>
        <v>ROSA</v>
      </c>
      <c r="W649" s="63" t="s">
        <v>1015</v>
      </c>
      <c r="X649" s="63" t="s">
        <v>3044</v>
      </c>
      <c r="Y649" s="63"/>
      <c r="Z649" s="304" t="s">
        <v>1038</v>
      </c>
      <c r="AA649" s="118" t="s">
        <v>1165</v>
      </c>
      <c r="AB649" s="118" t="s">
        <v>1171</v>
      </c>
      <c r="AC649" s="324"/>
    </row>
    <row r="650" spans="1:29" ht="60" customHeight="1">
      <c r="A650" s="63">
        <v>622</v>
      </c>
      <c r="B650" s="65">
        <v>45180</v>
      </c>
      <c r="C650" s="70">
        <v>0.38611111111111113</v>
      </c>
      <c r="D650" s="63" t="s">
        <v>2696</v>
      </c>
      <c r="E650" s="64" t="s">
        <v>2711</v>
      </c>
      <c r="F650" s="63">
        <v>3</v>
      </c>
      <c r="G650" s="63" t="s">
        <v>2766</v>
      </c>
      <c r="H650" s="208">
        <v>45198</v>
      </c>
      <c r="I650" s="65" t="s">
        <v>73</v>
      </c>
      <c r="J650" s="65" t="s">
        <v>35</v>
      </c>
      <c r="K650" s="63">
        <f>IFERROR(VLOOKUP(J650,Jueces!$A$1:$B$11,2,FALSE),"")</f>
        <v>3</v>
      </c>
      <c r="L650" s="63" t="s">
        <v>801</v>
      </c>
      <c r="M650" s="63" t="s">
        <v>2712</v>
      </c>
      <c r="N650" s="63" t="s">
        <v>577</v>
      </c>
      <c r="O650" s="63" t="str">
        <f ca="1">IF(H650&lt;&gt;"",IF(H650&lt;=TODAY(),"SI","NO"),"LIMBO")</f>
        <v>SI</v>
      </c>
      <c r="P650" s="63" t="str">
        <f>IF($P$1=H650,"DIASOL", "DIANOSOL")</f>
        <v>DIANOSOL</v>
      </c>
      <c r="Q650" s="63" t="s">
        <v>151</v>
      </c>
      <c r="R650" s="63" t="str">
        <f>VLOOKUP($Q650,Resultados!$A$1:$B$49,2,FALSE)</f>
        <v>Prisión Preventiva</v>
      </c>
      <c r="S650" s="63" t="s">
        <v>1579</v>
      </c>
      <c r="T650" s="72" t="str">
        <f>IF(G650=$J$1,"SI","NO")</f>
        <v>NO</v>
      </c>
      <c r="U650" s="72"/>
      <c r="V650" s="7" t="str">
        <f ca="1">IF(color_Celda(E650)=12106214,"ROSA",IF(color_Celda(E650)=65535,"AMARILLO",IF(color_Celda(E650)=5296274,"VERDE",IF(color_Celda(E650)=16777215,"BLANCO","NO SE"))))</f>
        <v>ROSA</v>
      </c>
      <c r="W650" s="63" t="s">
        <v>1013</v>
      </c>
      <c r="X650" s="63" t="s">
        <v>2870</v>
      </c>
      <c r="Y650" s="63"/>
      <c r="Z650" s="304" t="s">
        <v>2869</v>
      </c>
      <c r="AA650" s="118" t="s">
        <v>1165</v>
      </c>
      <c r="AB650" s="118" t="s">
        <v>1173</v>
      </c>
      <c r="AC650" s="324"/>
    </row>
    <row r="651" spans="1:29" ht="60" customHeight="1">
      <c r="A651" s="63">
        <v>658</v>
      </c>
      <c r="B651" s="65">
        <v>45188</v>
      </c>
      <c r="C651" s="70">
        <v>0.37986111111111115</v>
      </c>
      <c r="D651" s="63" t="s">
        <v>2787</v>
      </c>
      <c r="E651" s="64" t="s">
        <v>2847</v>
      </c>
      <c r="F651" s="63">
        <v>4</v>
      </c>
      <c r="G651" s="63" t="s">
        <v>283</v>
      </c>
      <c r="H651" s="208">
        <v>45198</v>
      </c>
      <c r="I651" s="65" t="s">
        <v>73</v>
      </c>
      <c r="J651" s="65" t="s">
        <v>31</v>
      </c>
      <c r="K651" s="63">
        <f>IFERROR(VLOOKUP(J651,Jueces!$A$1:$B$11,2,FALSE),"")</f>
        <v>2</v>
      </c>
      <c r="L651" s="63" t="s">
        <v>797</v>
      </c>
      <c r="M651" s="63" t="s">
        <v>885</v>
      </c>
      <c r="N651" s="63" t="s">
        <v>577</v>
      </c>
      <c r="O651" s="63" t="str">
        <f ca="1">IF(H651&lt;&gt;"",IF(H651&lt;=TODAY(),"SI","NO"),"LIMBO")</f>
        <v>SI</v>
      </c>
      <c r="P651" s="63" t="str">
        <f>IF($P$1=H651,"DIASOL", "DIANOSOL")</f>
        <v>DIANOSOL</v>
      </c>
      <c r="Q651" s="63" t="s">
        <v>151</v>
      </c>
      <c r="R651" s="63" t="str">
        <f>VLOOKUP($Q651,Resultados!$A$1:$B$49,2,FALSE)</f>
        <v>Prisión Preventiva</v>
      </c>
      <c r="S651" s="63" t="s">
        <v>1242</v>
      </c>
      <c r="T651" s="72" t="str">
        <f>IF(G651=$J$1,"SI","NO")</f>
        <v>NO</v>
      </c>
      <c r="U651" s="72"/>
      <c r="V651" s="7" t="str">
        <f ca="1">IF(color_Celda(E651)=12106214,"ROSA",IF(color_Celda(E651)=65535,"AMARILLO",IF(color_Celda(E651)=5296274,"VERDE",IF(color_Celda(E651)=16777215,"BLANCO","NO SE"))))</f>
        <v>ROSA</v>
      </c>
      <c r="W651" s="63" t="s">
        <v>1062</v>
      </c>
      <c r="X651" s="63"/>
      <c r="Y651" s="63"/>
      <c r="Z651" s="304" t="s">
        <v>2843</v>
      </c>
      <c r="AA651" s="118" t="s">
        <v>1167</v>
      </c>
      <c r="AB651" s="118" t="s">
        <v>1170</v>
      </c>
      <c r="AC651" s="324"/>
    </row>
    <row r="652" spans="1:29" ht="60" customHeight="1">
      <c r="A652" s="63">
        <v>668</v>
      </c>
      <c r="B652" s="65">
        <v>45189</v>
      </c>
      <c r="C652" s="70">
        <v>0.4381944444444445</v>
      </c>
      <c r="D652" s="63" t="s">
        <v>2823</v>
      </c>
      <c r="E652" s="64" t="s">
        <v>3026</v>
      </c>
      <c r="F652" s="63">
        <v>8</v>
      </c>
      <c r="G652" s="63" t="s">
        <v>29</v>
      </c>
      <c r="H652" s="208">
        <v>45198</v>
      </c>
      <c r="I652" s="65" t="s">
        <v>73</v>
      </c>
      <c r="J652" s="65" t="s">
        <v>78</v>
      </c>
      <c r="K652" s="63">
        <f>IFERROR(VLOOKUP(J652,Jueces!$A$1:$B$11,2,FALSE),"")</f>
        <v>8</v>
      </c>
      <c r="L652" s="63" t="s">
        <v>791</v>
      </c>
      <c r="M652" s="63" t="s">
        <v>1084</v>
      </c>
      <c r="N652" s="63" t="s">
        <v>3045</v>
      </c>
      <c r="O652" s="63" t="str">
        <f ca="1">IF(H652&lt;&gt;"",IF(H652&lt;=TODAY(),"SI","NO"),"LIMBO")</f>
        <v>SI</v>
      </c>
      <c r="P652" s="63" t="str">
        <f>IF($P$1=H652,"DIASOL", "DIANOSOL")</f>
        <v>DIANOSOL</v>
      </c>
      <c r="Q652" s="63" t="s">
        <v>903</v>
      </c>
      <c r="R652" s="63" t="str">
        <f>VLOOKUP($Q652,Resultados!$A$1:$B$49,2,FALSE)</f>
        <v>Juicio Abreviado</v>
      </c>
      <c r="S652" s="63" t="s">
        <v>1130</v>
      </c>
      <c r="T652" s="72" t="str">
        <f>IF(G652=$J$1,"SI","NO")</f>
        <v>NO</v>
      </c>
      <c r="U652" s="72"/>
      <c r="V652" s="7" t="str">
        <f ca="1">IF(color_Celda(E652)=12106214,"ROSA",IF(color_Celda(E652)=65535,"AMARILLO",IF(color_Celda(E652)=5296274,"VERDE",IF(color_Celda(E652)=16777215,"BLANCO","NO SE"))))</f>
        <v>ROSA</v>
      </c>
      <c r="W652" s="63" t="s">
        <v>1083</v>
      </c>
      <c r="X652" s="63" t="s">
        <v>2552</v>
      </c>
      <c r="Y652" s="63"/>
      <c r="Z652" s="304" t="s">
        <v>1039</v>
      </c>
      <c r="AA652" s="118" t="s">
        <v>1165</v>
      </c>
      <c r="AB652" s="118" t="s">
        <v>1169</v>
      </c>
      <c r="AC652" s="324"/>
    </row>
    <row r="653" spans="1:29" ht="60" customHeight="1">
      <c r="A653" s="63">
        <v>650</v>
      </c>
      <c r="B653" s="65">
        <v>45187</v>
      </c>
      <c r="C653" s="70">
        <v>0.43333333333333335</v>
      </c>
      <c r="D653" s="63" t="s">
        <v>2764</v>
      </c>
      <c r="E653" s="64" t="s">
        <v>2765</v>
      </c>
      <c r="F653" s="63">
        <v>8</v>
      </c>
      <c r="G653" s="63" t="s">
        <v>1435</v>
      </c>
      <c r="H653" s="208">
        <v>45198</v>
      </c>
      <c r="I653" s="65" t="s">
        <v>1083</v>
      </c>
      <c r="J653" s="65" t="s">
        <v>1221</v>
      </c>
      <c r="K653" s="63">
        <f>IFERROR(VLOOKUP(J653,Jueces!$A$1:$B$11,2,FALSE),"")</f>
        <v>6</v>
      </c>
      <c r="L653" s="63" t="s">
        <v>2077</v>
      </c>
      <c r="M653" s="63" t="s">
        <v>2805</v>
      </c>
      <c r="N653" s="63" t="s">
        <v>577</v>
      </c>
      <c r="O653" s="63" t="str">
        <f ca="1">IF(H653&lt;&gt;"",IF(H653&lt;=TODAY(),"SI","NO"),"LIMBO")</f>
        <v>SI</v>
      </c>
      <c r="P653" s="63" t="str">
        <f>IF($P$1=H653,"DIASOL", "DIANOSOL")</f>
        <v>DIANOSOL</v>
      </c>
      <c r="Q653" s="63" t="s">
        <v>151</v>
      </c>
      <c r="R653" s="63" t="str">
        <f>VLOOKUP($Q653,Resultados!$A$1:$B$49,2,FALSE)</f>
        <v>Prisión Preventiva</v>
      </c>
      <c r="S653" s="63" t="s">
        <v>1489</v>
      </c>
      <c r="T653" s="72" t="str">
        <f>IF(G653=$J$1,"SI","NO")</f>
        <v>SI</v>
      </c>
      <c r="U653" s="72"/>
      <c r="V653" s="7" t="str">
        <f ca="1">IF(color_Celda(E653)=12106214,"ROSA",IF(color_Celda(E653)=65535,"AMARILLO",IF(color_Celda(E653)=5296274,"VERDE",IF(color_Celda(E653)=16777215,"BLANCO","NO SE"))))</f>
        <v>ROSA</v>
      </c>
      <c r="W653" s="63" t="s">
        <v>1797</v>
      </c>
      <c r="X653" s="63"/>
      <c r="Y653" s="63"/>
      <c r="Z653" s="304" t="s">
        <v>770</v>
      </c>
      <c r="AA653" s="118" t="s">
        <v>2828</v>
      </c>
      <c r="AB653" s="118" t="s">
        <v>1171</v>
      </c>
      <c r="AC653" s="324"/>
    </row>
    <row r="654" spans="1:29" ht="60" customHeight="1">
      <c r="A654" s="63">
        <v>657</v>
      </c>
      <c r="B654" s="65">
        <v>45187</v>
      </c>
      <c r="C654" s="70">
        <v>0.54513888888888895</v>
      </c>
      <c r="D654" s="63" t="s">
        <v>2786</v>
      </c>
      <c r="E654" s="64" t="s">
        <v>2864</v>
      </c>
      <c r="F654" s="63">
        <v>8</v>
      </c>
      <c r="G654" s="63" t="s">
        <v>43</v>
      </c>
      <c r="H654" s="208">
        <v>45198</v>
      </c>
      <c r="I654" s="65" t="s">
        <v>1083</v>
      </c>
      <c r="J654" s="65" t="s">
        <v>2922</v>
      </c>
      <c r="K654" s="63" t="s">
        <v>1512</v>
      </c>
      <c r="L654" s="63" t="s">
        <v>789</v>
      </c>
      <c r="M654" s="63" t="s">
        <v>767</v>
      </c>
      <c r="N654" s="63" t="s">
        <v>577</v>
      </c>
      <c r="O654" s="63" t="str">
        <f ca="1">IF(H654&lt;&gt;"",IF(H654&lt;=TODAY(),"SI","NO"),"LIMBO")</f>
        <v>SI</v>
      </c>
      <c r="P654" s="63" t="str">
        <f>IF($P$1=H654,"DIASOL", "DIANOSOL")</f>
        <v>DIANOSOL</v>
      </c>
      <c r="Q654" s="63" t="s">
        <v>151</v>
      </c>
      <c r="R654" s="63" t="str">
        <f>VLOOKUP($Q654,Resultados!$A$1:$B$49,2,FALSE)</f>
        <v>Prisión Preventiva</v>
      </c>
      <c r="S654" s="63" t="s">
        <v>1530</v>
      </c>
      <c r="T654" s="72" t="str">
        <f>IF(G654=$J$1,"SI","NO")</f>
        <v>NO</v>
      </c>
      <c r="U654" s="72"/>
      <c r="V654" s="7" t="str">
        <f ca="1">IF(color_Celda(E654)=12106214,"ROSA",IF(color_Celda(E654)=65535,"AMARILLO",IF(color_Celda(E654)=5296274,"VERDE",IF(color_Celda(E654)=16777215,"BLANCO","NO SE"))))</f>
        <v>ROSA</v>
      </c>
      <c r="W654" s="63" t="s">
        <v>75</v>
      </c>
      <c r="X654" s="63"/>
      <c r="Y654" s="63"/>
      <c r="Z654" s="304" t="s">
        <v>2843</v>
      </c>
      <c r="AA654" s="118" t="s">
        <v>1167</v>
      </c>
      <c r="AB654" s="118" t="s">
        <v>1173</v>
      </c>
      <c r="AC654" s="698"/>
    </row>
    <row r="655" spans="1:29" ht="60" customHeight="1">
      <c r="A655" s="63">
        <v>671</v>
      </c>
      <c r="B655" s="65">
        <v>45188</v>
      </c>
      <c r="C655" s="70">
        <v>0.53819444444444442</v>
      </c>
      <c r="D655" s="63" t="s">
        <v>2827</v>
      </c>
      <c r="E655" s="64" t="s">
        <v>2829</v>
      </c>
      <c r="F655" s="63">
        <v>8</v>
      </c>
      <c r="G655" s="63" t="s">
        <v>2815</v>
      </c>
      <c r="H655" s="208">
        <v>45198</v>
      </c>
      <c r="I655" s="65" t="s">
        <v>1083</v>
      </c>
      <c r="J655" s="65" t="s">
        <v>1723</v>
      </c>
      <c r="K655" s="63" t="s">
        <v>2285</v>
      </c>
      <c r="L655" s="63" t="s">
        <v>2715</v>
      </c>
      <c r="M655" s="63" t="s">
        <v>885</v>
      </c>
      <c r="N655" s="63" t="s">
        <v>3046</v>
      </c>
      <c r="O655" s="63" t="str">
        <f ca="1">IF(H655&lt;&gt;"",IF(H655&lt;=TODAY(),"SI","NO"),"LIMBO")</f>
        <v>SI</v>
      </c>
      <c r="P655" s="63" t="str">
        <f>IF($P$1=H655,"DIASOL", "DIANOSOL")</f>
        <v>DIANOSOL</v>
      </c>
      <c r="Q655" s="63" t="s">
        <v>903</v>
      </c>
      <c r="R655" s="63" t="str">
        <f>VLOOKUP($Q655,Resultados!$A$1:$B$49,2,FALSE)</f>
        <v>Juicio Abreviado</v>
      </c>
      <c r="S655" s="63" t="s">
        <v>1601</v>
      </c>
      <c r="T655" s="72" t="str">
        <f>IF(G655=$J$1,"SI","NO")</f>
        <v>NO</v>
      </c>
      <c r="U655" s="72"/>
      <c r="V655" s="7" t="str">
        <f ca="1">IF(color_Celda(E655)=12106214,"ROSA",IF(color_Celda(E655)=65535,"AMARILLO",IF(color_Celda(E655)=5296274,"VERDE",IF(color_Celda(E655)=16777215,"BLANCO","NO SE"))))</f>
        <v>ROSA</v>
      </c>
      <c r="W655" s="63" t="s">
        <v>1332</v>
      </c>
      <c r="X655" s="63" t="s">
        <v>2235</v>
      </c>
      <c r="Y655" s="63"/>
      <c r="Z655" s="304" t="s">
        <v>1038</v>
      </c>
      <c r="AA655" s="118" t="s">
        <v>2828</v>
      </c>
      <c r="AB655" s="118" t="s">
        <v>1170</v>
      </c>
      <c r="AC655" s="324"/>
    </row>
    <row r="656" spans="1:29" ht="60" customHeight="1">
      <c r="A656" s="63">
        <v>659</v>
      </c>
      <c r="B656" s="65">
        <v>45188</v>
      </c>
      <c r="C656" s="70">
        <v>0.48194444444444445</v>
      </c>
      <c r="D656" s="63" t="s">
        <v>2794</v>
      </c>
      <c r="E656" s="64" t="s">
        <v>2863</v>
      </c>
      <c r="F656" s="63">
        <v>8</v>
      </c>
      <c r="G656" s="63" t="s">
        <v>1434</v>
      </c>
      <c r="H656" s="208">
        <v>45198</v>
      </c>
      <c r="I656" s="65" t="s">
        <v>987</v>
      </c>
      <c r="J656" s="65" t="s">
        <v>31</v>
      </c>
      <c r="K656" s="63">
        <f>IFERROR(VLOOKUP(J656,Jueces!$A$1:$B$11,2,FALSE),"")</f>
        <v>2</v>
      </c>
      <c r="L656" s="63" t="s">
        <v>806</v>
      </c>
      <c r="M656" s="63" t="s">
        <v>885</v>
      </c>
      <c r="N656" s="63" t="s">
        <v>3060</v>
      </c>
      <c r="O656" s="63" t="str">
        <f ca="1">IF(H656&lt;&gt;"",IF(H656&lt;=TODAY(),"SI","NO"),"LIMBO")</f>
        <v>SI</v>
      </c>
      <c r="P656" s="63" t="str">
        <f>IF($P$1=H656,"DIASOL", "DIANOSOL")</f>
        <v>DIANOSOL</v>
      </c>
      <c r="Q656" s="63" t="s">
        <v>902</v>
      </c>
      <c r="R656" s="63" t="str">
        <f>VLOOKUP($Q656,Resultados!$A$1:$B$49,2,FALSE)</f>
        <v>Juicio Abreviado</v>
      </c>
      <c r="S656" s="63" t="s">
        <v>228</v>
      </c>
      <c r="T656" s="72" t="str">
        <f>IF(G656=$J$1,"SI","NO")</f>
        <v>NO</v>
      </c>
      <c r="U656" s="72"/>
      <c r="V656" s="7" t="str">
        <f ca="1">IF(color_Celda(E656)=12106214,"ROSA",IF(color_Celda(E656)=65535,"AMARILLO",IF(color_Celda(E656)=5296274,"VERDE",IF(color_Celda(E656)=16777215,"BLANCO","NO SE"))))</f>
        <v>ROSA</v>
      </c>
      <c r="W656" s="63" t="s">
        <v>2192</v>
      </c>
      <c r="X656" s="63"/>
      <c r="Y656" s="63"/>
      <c r="Z656" s="304" t="s">
        <v>770</v>
      </c>
      <c r="AA656" s="118" t="s">
        <v>1167</v>
      </c>
      <c r="AB656" s="118" t="s">
        <v>1169</v>
      </c>
      <c r="AC656" s="324"/>
    </row>
    <row r="657" spans="1:29" ht="60" customHeight="1">
      <c r="A657" s="63">
        <v>669</v>
      </c>
      <c r="B657" s="65">
        <v>45189</v>
      </c>
      <c r="C657" s="70">
        <v>0.4368055555555555</v>
      </c>
      <c r="D657" s="63" t="s">
        <v>2824</v>
      </c>
      <c r="E657" s="64" t="s">
        <v>2825</v>
      </c>
      <c r="F657" s="63">
        <v>8</v>
      </c>
      <c r="G657" s="63" t="s">
        <v>2753</v>
      </c>
      <c r="H657" s="208">
        <v>45198</v>
      </c>
      <c r="I657" s="65" t="s">
        <v>2011</v>
      </c>
      <c r="J657" s="65" t="s">
        <v>33</v>
      </c>
      <c r="K657" s="63">
        <f>IFERROR(VLOOKUP(J657,Jueces!$A$1:$B$11,2,FALSE),"")</f>
        <v>4</v>
      </c>
      <c r="L657" s="63" t="s">
        <v>799</v>
      </c>
      <c r="M657" s="63" t="s">
        <v>2961</v>
      </c>
      <c r="N657" s="63" t="s">
        <v>3058</v>
      </c>
      <c r="O657" s="63" t="str">
        <f ca="1">IF(H657&lt;&gt;"",IF(H657&lt;=TODAY(),"SI","NO"),"LIMBO")</f>
        <v>SI</v>
      </c>
      <c r="P657" s="63" t="str">
        <f>IF($P$1=H657,"DIASOL", "DIANOSOL")</f>
        <v>DIANOSOL</v>
      </c>
      <c r="Q657" s="63" t="s">
        <v>151</v>
      </c>
      <c r="R657" s="63" t="str">
        <f>VLOOKUP($Q657,Resultados!$A$1:$B$49,2,FALSE)</f>
        <v>Prisión Preventiva</v>
      </c>
      <c r="S657" s="63" t="s">
        <v>3059</v>
      </c>
      <c r="T657" s="72" t="str">
        <f>IF(G657=$J$1,"SI","NO")</f>
        <v>NO</v>
      </c>
      <c r="U657" s="72"/>
      <c r="V657" s="7" t="str">
        <f ca="1">IF(color_Celda(E657)=12106214,"ROSA",IF(color_Celda(E657)=65535,"AMARILLO",IF(color_Celda(E657)=5296274,"VERDE",IF(color_Celda(E657)=16777215,"BLANCO","NO SE"))))</f>
        <v>ROSA</v>
      </c>
      <c r="W657" s="70">
        <v>0.48194444444444445</v>
      </c>
      <c r="X657" s="63"/>
      <c r="Y657" s="63"/>
      <c r="Z657" s="304" t="s">
        <v>2843</v>
      </c>
      <c r="AA657" s="118" t="s">
        <v>2828</v>
      </c>
      <c r="AB657" s="118" t="s">
        <v>1171</v>
      </c>
      <c r="AC657" s="324"/>
    </row>
    <row r="658" spans="1:29" ht="60" customHeight="1">
      <c r="A658" s="63">
        <v>626</v>
      </c>
      <c r="B658" s="65">
        <v>45180</v>
      </c>
      <c r="C658" s="70">
        <v>0.44236111111111115</v>
      </c>
      <c r="D658" s="63" t="s">
        <v>2702</v>
      </c>
      <c r="E658" s="64" t="s">
        <v>2703</v>
      </c>
      <c r="F658" s="63">
        <v>7</v>
      </c>
      <c r="G658" s="63" t="s">
        <v>2753</v>
      </c>
      <c r="H658" s="208">
        <v>45201</v>
      </c>
      <c r="I658" s="65" t="s">
        <v>73</v>
      </c>
      <c r="J658" s="65" t="s">
        <v>35</v>
      </c>
      <c r="K658" s="63">
        <f>IFERROR(VLOOKUP(J658,Jueces!$A$1:$B$11,2,FALSE),"")</f>
        <v>3</v>
      </c>
      <c r="L658" s="63" t="s">
        <v>808</v>
      </c>
      <c r="M658" s="63" t="s">
        <v>2746</v>
      </c>
      <c r="N658" s="63" t="s">
        <v>235</v>
      </c>
      <c r="O658" s="78" t="str">
        <f ca="1">IF(H658&lt;&gt;"",IF(H658&lt;=TODAY(),"SI","NO"),"LIMBO")</f>
        <v>SI</v>
      </c>
      <c r="P658" s="78" t="str">
        <f>IF($P$1=H658,"DIASOL", "DIANOSOL")</f>
        <v>DIANOSOL</v>
      </c>
      <c r="Q658" s="63" t="s">
        <v>151</v>
      </c>
      <c r="R658" s="63" t="str">
        <f>VLOOKUP($Q658,Resultados!$A$1:$B$49,2,FALSE)</f>
        <v>Prisión Preventiva</v>
      </c>
      <c r="S658" s="70">
        <v>0.51180555555555551</v>
      </c>
      <c r="T658" s="81" t="str">
        <f>IF(G658=$J$1,"SI","NO")</f>
        <v>NO</v>
      </c>
      <c r="U658" s="81"/>
      <c r="V658" s="7" t="str">
        <f ca="1">IF(color_Celda(E658)=12106214,"ROSA",IF(color_Celda(E658)=65535,"AMARILLO",IF(color_Celda(E658)=5296274,"VERDE",IF(color_Celda(E658)=16777215,"BLANCO","NO SE"))))</f>
        <v>ROSA</v>
      </c>
      <c r="W658" s="70">
        <v>0.52986111111111112</v>
      </c>
      <c r="X658" s="366" t="s">
        <v>3080</v>
      </c>
      <c r="Y658" s="63"/>
      <c r="Z658" s="304" t="s">
        <v>1038</v>
      </c>
      <c r="AA658" s="118" t="s">
        <v>1165</v>
      </c>
      <c r="AB658" s="118" t="s">
        <v>1173</v>
      </c>
      <c r="AC658" s="324"/>
    </row>
    <row r="659" spans="1:29" ht="60" customHeight="1">
      <c r="A659" s="63">
        <v>667</v>
      </c>
      <c r="B659" s="65">
        <v>45189</v>
      </c>
      <c r="C659" s="70">
        <v>0.47430555555555554</v>
      </c>
      <c r="D659" s="63" t="s">
        <v>2822</v>
      </c>
      <c r="E659" s="64" t="s">
        <v>2862</v>
      </c>
      <c r="F659" s="63">
        <v>1</v>
      </c>
      <c r="G659" s="63" t="s">
        <v>2751</v>
      </c>
      <c r="H659" s="208">
        <v>45201</v>
      </c>
      <c r="I659" s="65" t="s">
        <v>73</v>
      </c>
      <c r="J659" s="65" t="s">
        <v>33</v>
      </c>
      <c r="K659" s="63">
        <f>IFERROR(VLOOKUP(J659,Jueces!$A$1:$B$11,2,FALSE),"")</f>
        <v>4</v>
      </c>
      <c r="L659" s="63" t="s">
        <v>807</v>
      </c>
      <c r="M659" s="63" t="s">
        <v>2987</v>
      </c>
      <c r="N659" s="63" t="s">
        <v>3084</v>
      </c>
      <c r="O659" s="78" t="str">
        <f ca="1">IF(H659&lt;&gt;"",IF(H659&lt;=TODAY(),"SI","NO"),"LIMBO")</f>
        <v>SI</v>
      </c>
      <c r="P659" s="78" t="str">
        <f>IF($P$1=H659,"DIASOL", "DIANOSOL")</f>
        <v>DIANOSOL</v>
      </c>
      <c r="Q659" s="63" t="s">
        <v>902</v>
      </c>
      <c r="R659" s="63" t="str">
        <f>VLOOKUP($Q659,Resultados!$A$1:$B$49,2,FALSE)</f>
        <v>Juicio Abreviado</v>
      </c>
      <c r="S659" s="70">
        <v>0.42499999999999999</v>
      </c>
      <c r="T659" s="81" t="str">
        <f>IF(G659=$J$1,"SI","NO")</f>
        <v>NO</v>
      </c>
      <c r="U659" s="81"/>
      <c r="V659" s="7" t="str">
        <f ca="1">IF(color_Celda(E659)=12106214,"ROSA",IF(color_Celda(E659)=65535,"AMARILLO",IF(color_Celda(E659)=5296274,"VERDE",IF(color_Celda(E659)=16777215,"BLANCO","NO SE"))))</f>
        <v>ROSA</v>
      </c>
      <c r="W659" s="70">
        <v>0.43402777777777773</v>
      </c>
      <c r="X659" s="366" t="s">
        <v>3085</v>
      </c>
      <c r="Y659" s="63"/>
      <c r="Z659" s="304" t="s">
        <v>2843</v>
      </c>
      <c r="AA659" s="118" t="s">
        <v>1167</v>
      </c>
      <c r="AB659" s="118" t="s">
        <v>1170</v>
      </c>
      <c r="AC659" s="324"/>
    </row>
    <row r="660" spans="1:29" ht="60" customHeight="1">
      <c r="A660" s="63">
        <v>688</v>
      </c>
      <c r="B660" s="65">
        <v>45191</v>
      </c>
      <c r="C660" s="70">
        <v>0.48749999999999999</v>
      </c>
      <c r="D660" s="63" t="s">
        <v>2902</v>
      </c>
      <c r="E660" s="64" t="s">
        <v>2993</v>
      </c>
      <c r="F660" s="63">
        <v>5</v>
      </c>
      <c r="G660" s="63" t="s">
        <v>1435</v>
      </c>
      <c r="H660" s="208">
        <v>45201</v>
      </c>
      <c r="I660" s="65" t="s">
        <v>73</v>
      </c>
      <c r="J660" s="65" t="s">
        <v>78</v>
      </c>
      <c r="K660" s="63">
        <f>IFERROR(VLOOKUP(J660,Jueces!$A$1:$B$11,2,FALSE),"")</f>
        <v>8</v>
      </c>
      <c r="L660" s="63" t="s">
        <v>1301</v>
      </c>
      <c r="M660" s="63" t="s">
        <v>767</v>
      </c>
      <c r="N660" s="365" t="s">
        <v>2550</v>
      </c>
      <c r="O660" s="78" t="str">
        <f ca="1">IF(H660&lt;&gt;"",IF(H660&lt;=TODAY(),"SI","NO"),"LIMBO")</f>
        <v>SI</v>
      </c>
      <c r="P660" s="78" t="str">
        <f>IF($P$1=H660,"DIASOL", "DIANOSOL")</f>
        <v>DIANOSOL</v>
      </c>
      <c r="Q660" s="63" t="s">
        <v>897</v>
      </c>
      <c r="R660" s="63" t="str">
        <f>VLOOKUP($Q660,Resultados!$A$1:$B$49,2,FALSE)</f>
        <v>Libertad</v>
      </c>
      <c r="S660" s="70">
        <v>0.3576388888888889</v>
      </c>
      <c r="T660" s="81" t="str">
        <f>IF(G660=$J$1,"SI","NO")</f>
        <v>SI</v>
      </c>
      <c r="U660" s="81"/>
      <c r="V660" s="7" t="str">
        <f ca="1">IF(color_Celda(E660)=12106214,"ROSA",IF(color_Celda(E660)=65535,"AMARILLO",IF(color_Celda(E660)=5296274,"VERDE",IF(color_Celda(E660)=16777215,"BLANCO","NO SE"))))</f>
        <v>ROSA</v>
      </c>
      <c r="W660" s="70">
        <v>0.38611111111111113</v>
      </c>
      <c r="X660" s="63" t="s">
        <v>3087</v>
      </c>
      <c r="Y660" s="63"/>
      <c r="Z660" s="304" t="s">
        <v>2869</v>
      </c>
      <c r="AA660" s="118" t="s">
        <v>2828</v>
      </c>
      <c r="AB660" s="118" t="s">
        <v>1171</v>
      </c>
      <c r="AC660" s="645"/>
    </row>
    <row r="661" spans="1:29" ht="60" customHeight="1">
      <c r="A661" s="63">
        <v>697</v>
      </c>
      <c r="B661" s="65">
        <v>45194</v>
      </c>
      <c r="C661" s="70">
        <v>0.47152777777777777</v>
      </c>
      <c r="D661" s="63" t="s">
        <v>2942</v>
      </c>
      <c r="E661" s="64" t="s">
        <v>3067</v>
      </c>
      <c r="F661" s="63">
        <v>7</v>
      </c>
      <c r="G661" s="63" t="s">
        <v>43</v>
      </c>
      <c r="H661" s="208">
        <v>45201</v>
      </c>
      <c r="I661" s="65" t="s">
        <v>73</v>
      </c>
      <c r="J661" s="65" t="s">
        <v>1723</v>
      </c>
      <c r="K661" s="63" t="s">
        <v>1341</v>
      </c>
      <c r="L661" s="63" t="s">
        <v>1494</v>
      </c>
      <c r="M661" s="63" t="s">
        <v>2549</v>
      </c>
      <c r="N661" s="63" t="s">
        <v>235</v>
      </c>
      <c r="O661" s="78" t="str">
        <f ca="1">IF(H661&lt;&gt;"",IF(H661&lt;=TODAY(),"SI","NO"),"LIMBO")</f>
        <v>SI</v>
      </c>
      <c r="P661" s="78" t="str">
        <f>IF($P$1=H661,"DIASOL", "DIANOSOL")</f>
        <v>DIANOSOL</v>
      </c>
      <c r="Q661" s="63" t="s">
        <v>151</v>
      </c>
      <c r="R661" s="63" t="str">
        <f>VLOOKUP($Q661,Resultados!$A$1:$B$49,2,FALSE)</f>
        <v>Prisión Preventiva</v>
      </c>
      <c r="S661" s="70">
        <v>0.35347222222222219</v>
      </c>
      <c r="T661" s="81" t="str">
        <f>IF(G661=$J$1,"SI","NO")</f>
        <v>NO</v>
      </c>
      <c r="U661" s="81"/>
      <c r="V661" s="7" t="str">
        <f ca="1">IF(color_Celda(E661)=12106214,"ROSA",IF(color_Celda(E661)=65535,"AMARILLO",IF(color_Celda(E661)=5296274,"VERDE",IF(color_Celda(E661)=16777215,"BLANCO","NO SE"))))</f>
        <v>ROSA</v>
      </c>
      <c r="W661" s="70">
        <v>0.37291666666666662</v>
      </c>
      <c r="X661" s="63"/>
      <c r="Y661" s="63"/>
      <c r="Z661" s="304" t="s">
        <v>748</v>
      </c>
      <c r="AA661" s="118" t="s">
        <v>1167</v>
      </c>
      <c r="AB661" s="118" t="s">
        <v>1173</v>
      </c>
      <c r="AC661" s="324"/>
    </row>
    <row r="662" spans="1:29" ht="60" customHeight="1">
      <c r="A662" s="63">
        <v>638</v>
      </c>
      <c r="B662" s="65">
        <v>45181</v>
      </c>
      <c r="C662" s="70">
        <v>0.46666666666666662</v>
      </c>
      <c r="D662" s="63" t="s">
        <v>2733</v>
      </c>
      <c r="E662" s="64" t="s">
        <v>2734</v>
      </c>
      <c r="F662" s="63">
        <v>8</v>
      </c>
      <c r="G662" s="63" t="s">
        <v>2766</v>
      </c>
      <c r="H662" s="208">
        <v>45201</v>
      </c>
      <c r="I662" s="65" t="s">
        <v>1083</v>
      </c>
      <c r="J662" s="65" t="s">
        <v>33</v>
      </c>
      <c r="K662" s="63">
        <f>IFERROR(VLOOKUP(J662,Jueces!$A$1:$B$11,2,FALSE),"")</f>
        <v>4</v>
      </c>
      <c r="L662" s="63" t="s">
        <v>799</v>
      </c>
      <c r="M662" s="63" t="s">
        <v>697</v>
      </c>
      <c r="N662" s="365" t="s">
        <v>3086</v>
      </c>
      <c r="O662" s="78" t="str">
        <f ca="1">IF(H662&lt;&gt;"",IF(H662&lt;=TODAY(),"SI","NO"),"LIMBO")</f>
        <v>SI</v>
      </c>
      <c r="P662" s="78" t="str">
        <f>IF($P$1=H662,"DIASOL", "DIANOSOL")</f>
        <v>DIANOSOL</v>
      </c>
      <c r="Q662" s="63" t="s">
        <v>903</v>
      </c>
      <c r="R662" s="63" t="str">
        <f>VLOOKUP($Q662,Resultados!$A$1:$B$49,2,FALSE)</f>
        <v>Juicio Abreviado</v>
      </c>
      <c r="S662" s="70">
        <v>0.38125000000000003</v>
      </c>
      <c r="T662" s="81" t="str">
        <f>IF(G662=$J$1,"SI","NO")</f>
        <v>NO</v>
      </c>
      <c r="U662" s="81"/>
      <c r="V662" s="7" t="str">
        <f ca="1">IF(color_Celda(E662)=12106214,"ROSA",IF(color_Celda(E662)=65535,"AMARILLO",IF(color_Celda(E662)=5296274,"VERDE",IF(color_Celda(E662)=16777215,"BLANCO","NO SE"))))</f>
        <v>ROSA</v>
      </c>
      <c r="W662" s="70">
        <v>0.3972222222222222</v>
      </c>
      <c r="X662" s="63" t="s">
        <v>1757</v>
      </c>
      <c r="Y662" s="63"/>
      <c r="Z662" s="304" t="s">
        <v>770</v>
      </c>
      <c r="AA662" s="118" t="s">
        <v>1165</v>
      </c>
      <c r="AB662" s="118" t="s">
        <v>1169</v>
      </c>
      <c r="AC662" s="324"/>
    </row>
    <row r="663" spans="1:29" ht="60" customHeight="1">
      <c r="A663" s="63">
        <v>675</v>
      </c>
      <c r="B663" s="65">
        <v>45190</v>
      </c>
      <c r="C663" s="70">
        <v>0.33333333333333331</v>
      </c>
      <c r="D663" s="63" t="s">
        <v>2901</v>
      </c>
      <c r="E663" s="64" t="s">
        <v>2854</v>
      </c>
      <c r="F663" s="63">
        <v>1</v>
      </c>
      <c r="G663" s="63" t="s">
        <v>2815</v>
      </c>
      <c r="H663" s="208">
        <v>45201</v>
      </c>
      <c r="I663" s="65" t="s">
        <v>1083</v>
      </c>
      <c r="J663" s="65" t="s">
        <v>35</v>
      </c>
      <c r="K663" s="63">
        <f>IFERROR(VLOOKUP(J663,Jueces!$A$1:$B$11,2,FALSE),"")</f>
        <v>3</v>
      </c>
      <c r="L663" s="63" t="s">
        <v>3081</v>
      </c>
      <c r="M663" s="63" t="s">
        <v>711</v>
      </c>
      <c r="N663" s="63" t="s">
        <v>3082</v>
      </c>
      <c r="O663" s="78" t="str">
        <f ca="1">IF(H663&lt;&gt;"",IF(H663&lt;=TODAY(),"SI","NO"),"LIMBO")</f>
        <v>SI</v>
      </c>
      <c r="P663" s="78" t="str">
        <f>IF($P$1=H663,"DIASOL", "DIANOSOL")</f>
        <v>DIANOSOL</v>
      </c>
      <c r="Q663" s="63" t="s">
        <v>911</v>
      </c>
      <c r="R663" s="63" t="str">
        <f>VLOOKUP($Q663,Resultados!$A$1:$B$49,2,FALSE)</f>
        <v>Prision domiciliaria</v>
      </c>
      <c r="S663" s="70">
        <v>0.39097222222222222</v>
      </c>
      <c r="T663" s="81" t="str">
        <f>IF(G663=$J$1,"SI","NO")</f>
        <v>NO</v>
      </c>
      <c r="U663" s="81"/>
      <c r="V663" s="7" t="str">
        <f ca="1">IF(color_Celda(E663)=12106214,"ROSA",IF(color_Celda(E663)=65535,"AMARILLO",IF(color_Celda(E663)=5296274,"VERDE",IF(color_Celda(E663)=16777215,"BLANCO","NO SE"))))</f>
        <v>ROSA</v>
      </c>
      <c r="W663" s="70">
        <v>0.44444444444444442</v>
      </c>
      <c r="X663" s="223" t="s">
        <v>3083</v>
      </c>
      <c r="Y663" s="63"/>
      <c r="Z663" s="304" t="s">
        <v>1038</v>
      </c>
      <c r="AA663" s="63" t="s">
        <v>3027</v>
      </c>
      <c r="AB663" s="118" t="s">
        <v>1171</v>
      </c>
      <c r="AC663" s="324"/>
    </row>
    <row r="664" spans="1:29" ht="60" customHeight="1">
      <c r="A664" s="63">
        <v>634</v>
      </c>
      <c r="B664" s="65">
        <v>45181</v>
      </c>
      <c r="C664" s="70">
        <v>0.49513888888888885</v>
      </c>
      <c r="D664" s="63" t="s">
        <v>2727</v>
      </c>
      <c r="E664" s="64" t="s">
        <v>2728</v>
      </c>
      <c r="F664" s="63">
        <v>8</v>
      </c>
      <c r="G664" s="63" t="s">
        <v>2815</v>
      </c>
      <c r="H664" s="208">
        <v>45202</v>
      </c>
      <c r="I664" s="65" t="s">
        <v>73</v>
      </c>
      <c r="J664" s="65" t="s">
        <v>1217</v>
      </c>
      <c r="K664" s="63">
        <f>IFERROR(VLOOKUP(J664,Jueces!$A$1:$B$11,2,FALSE),"")</f>
        <v>7</v>
      </c>
      <c r="L664" s="63" t="s">
        <v>811</v>
      </c>
      <c r="M664" s="63" t="s">
        <v>767</v>
      </c>
      <c r="N664" s="7" t="s">
        <v>3093</v>
      </c>
      <c r="O664" s="63" t="str">
        <f ca="1">IF(H664&lt;&gt;"",IF(H664&lt;=TODAY(),"SI","NO"),"LIMBO")</f>
        <v>SI</v>
      </c>
      <c r="P664" s="63" t="str">
        <f>IF($P$1=H664,"DIASOL", "DIANOSOL")</f>
        <v>DIANOSOL</v>
      </c>
      <c r="Q664" s="63" t="s">
        <v>151</v>
      </c>
      <c r="R664" s="63" t="s">
        <v>151</v>
      </c>
      <c r="S664" s="63" t="s">
        <v>3094</v>
      </c>
      <c r="T664" s="72" t="str">
        <f>IF(G664=$J$1,"SI","NO")</f>
        <v>NO</v>
      </c>
      <c r="U664" s="72"/>
      <c r="V664" s="7" t="str">
        <f ca="1">IF(color_Celda(E664)=12106214,"ROSA",IF(color_Celda(E664)=65535,"AMARILLO",IF(color_Celda(E664)=5296274,"VERDE",IF(color_Celda(E664)=16777215,"BLANCO","NO SE"))))</f>
        <v>ROSA</v>
      </c>
      <c r="W664" s="63" t="s">
        <v>76</v>
      </c>
      <c r="X664" s="7" t="s">
        <v>3095</v>
      </c>
      <c r="Y664" s="63"/>
      <c r="Z664" s="313" t="s">
        <v>2869</v>
      </c>
      <c r="AA664" s="313" t="s">
        <v>1167</v>
      </c>
      <c r="AB664" s="304" t="s">
        <v>1170</v>
      </c>
      <c r="AC664" s="324"/>
    </row>
    <row r="665" spans="1:29" ht="60" customHeight="1">
      <c r="A665" s="63">
        <v>642</v>
      </c>
      <c r="B665" s="65">
        <v>45187</v>
      </c>
      <c r="C665" s="70">
        <v>0.33333333333333331</v>
      </c>
      <c r="D665" s="63" t="s">
        <v>2749</v>
      </c>
      <c r="E665" s="64" t="s">
        <v>2750</v>
      </c>
      <c r="F665" s="63">
        <v>8</v>
      </c>
      <c r="G665" s="63" t="s">
        <v>29</v>
      </c>
      <c r="H665" s="208">
        <v>45202</v>
      </c>
      <c r="I665" s="65" t="s">
        <v>73</v>
      </c>
      <c r="J665" s="65" t="s">
        <v>78</v>
      </c>
      <c r="K665" s="63">
        <f>IFERROR(VLOOKUP(J665,Jueces!$A$1:$B$11,2,FALSE),"")</f>
        <v>8</v>
      </c>
      <c r="L665" s="63" t="s">
        <v>244</v>
      </c>
      <c r="M665" s="63" t="s">
        <v>885</v>
      </c>
      <c r="N665" s="7" t="s">
        <v>3098</v>
      </c>
      <c r="O665" s="63" t="str">
        <f ca="1">IF(H665&lt;&gt;"",IF(H665&lt;=TODAY(),"SI","NO"),"LIMBO")</f>
        <v>SI</v>
      </c>
      <c r="P665" s="63" t="str">
        <f>IF($P$1=H665,"DIASOL", "DIANOSOL")</f>
        <v>DIANOSOL</v>
      </c>
      <c r="Q665" s="63" t="s">
        <v>151</v>
      </c>
      <c r="R665" s="63" t="str">
        <f>VLOOKUP($Q665,Resultados!$A$1:$B$49,2,FALSE)</f>
        <v>Prisión Preventiva</v>
      </c>
      <c r="S665" s="63" t="s">
        <v>76</v>
      </c>
      <c r="T665" s="72" t="str">
        <f>IF(G665=$J$1,"SI","NO")</f>
        <v>NO</v>
      </c>
      <c r="U665" s="72"/>
      <c r="V665" s="7" t="str">
        <f ca="1">IF(color_Celda(E665)=12106214,"ROSA",IF(color_Celda(E665)=65535,"AMARILLO",IF(color_Celda(E665)=5296274,"VERDE",IF(color_Celda(E665)=16777215,"BLANCO","NO SE"))))</f>
        <v>ROSA</v>
      </c>
      <c r="W665" s="63" t="s">
        <v>1737</v>
      </c>
      <c r="X665" s="63" t="s">
        <v>2552</v>
      </c>
      <c r="Y665" s="63"/>
      <c r="Z665" s="313" t="s">
        <v>1039</v>
      </c>
      <c r="AA665" s="313" t="s">
        <v>2828</v>
      </c>
      <c r="AB665" s="304" t="s">
        <v>1169</v>
      </c>
      <c r="AC665" s="324"/>
    </row>
    <row r="666" spans="1:29" ht="60" customHeight="1">
      <c r="A666" s="63">
        <v>664</v>
      </c>
      <c r="B666" s="65">
        <v>45189</v>
      </c>
      <c r="C666" s="70">
        <v>0.35972222222222222</v>
      </c>
      <c r="D666" s="63" t="s">
        <v>2817</v>
      </c>
      <c r="E666" s="64" t="s">
        <v>2977</v>
      </c>
      <c r="F666" s="63">
        <v>1</v>
      </c>
      <c r="G666" s="63" t="s">
        <v>1435</v>
      </c>
      <c r="H666" s="208">
        <v>45202</v>
      </c>
      <c r="I666" s="65" t="s">
        <v>73</v>
      </c>
      <c r="J666" s="65" t="s">
        <v>2922</v>
      </c>
      <c r="K666" s="63" t="s">
        <v>1916</v>
      </c>
      <c r="L666" s="63" t="s">
        <v>806</v>
      </c>
      <c r="M666" s="63" t="s">
        <v>711</v>
      </c>
      <c r="N666" s="63" t="s">
        <v>3092</v>
      </c>
      <c r="O666" s="63" t="str">
        <f ca="1">IF(H666&lt;&gt;"",IF(H666&lt;=TODAY(),"SI","NO"),"LIMBO")</f>
        <v>SI</v>
      </c>
      <c r="P666" s="63" t="str">
        <f>IF($P$1=H666,"DIASOL", "DIANOSOL")</f>
        <v>DIANOSOL</v>
      </c>
      <c r="Q666" s="63" t="s">
        <v>151</v>
      </c>
      <c r="R666" s="63" t="str">
        <f>VLOOKUP($Q666,Resultados!$A$1:$B$49,2,FALSE)</f>
        <v>Prisión Preventiva</v>
      </c>
      <c r="S666" s="63" t="s">
        <v>1130</v>
      </c>
      <c r="T666" s="72" t="str">
        <f>IF(G666=$J$1,"SI","NO")</f>
        <v>SI</v>
      </c>
      <c r="U666" s="72"/>
      <c r="V666" s="7" t="str">
        <f ca="1">IF(color_Celda(E666)=12106214,"ROSA",IF(color_Celda(E666)=65535,"AMARILLO",IF(color_Celda(E666)=5296274,"VERDE",IF(color_Celda(E666)=16777215,"BLANCO","NO SE"))))</f>
        <v>ROSA</v>
      </c>
      <c r="W666" s="63" t="s">
        <v>1227</v>
      </c>
      <c r="X666" s="63" t="s">
        <v>2954</v>
      </c>
      <c r="Y666" s="63"/>
      <c r="Z666" s="313" t="s">
        <v>1038</v>
      </c>
      <c r="AA666" s="313" t="s">
        <v>1167</v>
      </c>
      <c r="AB666" s="304" t="s">
        <v>1170</v>
      </c>
      <c r="AC666" s="324"/>
    </row>
    <row r="667" spans="1:29" ht="60" customHeight="1">
      <c r="A667" s="63">
        <v>691</v>
      </c>
      <c r="B667" s="65">
        <v>45191</v>
      </c>
      <c r="C667" s="70">
        <v>0.54166666666666663</v>
      </c>
      <c r="D667" s="63" t="s">
        <v>2908</v>
      </c>
      <c r="E667" s="64" t="s">
        <v>2947</v>
      </c>
      <c r="F667" s="63">
        <v>8</v>
      </c>
      <c r="G667" s="63" t="s">
        <v>283</v>
      </c>
      <c r="H667" s="208">
        <v>45202</v>
      </c>
      <c r="I667" s="65" t="s">
        <v>73</v>
      </c>
      <c r="J667" s="65" t="s">
        <v>1216</v>
      </c>
      <c r="K667" s="63">
        <f>IFERROR(VLOOKUP(J667,Jueces!$A$1:$B$11,2,FALSE),"")</f>
        <v>1</v>
      </c>
      <c r="L667" s="63" t="s">
        <v>797</v>
      </c>
      <c r="M667" s="63" t="s">
        <v>1084</v>
      </c>
      <c r="N667" s="63" t="s">
        <v>3102</v>
      </c>
      <c r="O667" s="63" t="str">
        <f ca="1">IF(H667&lt;&gt;"",IF(H667&lt;=TODAY(),"SI","NO"),"LIMBO")</f>
        <v>SI</v>
      </c>
      <c r="P667" s="63" t="str">
        <f>IF($P$1=H667,"DIASOL", "DIANOSOL")</f>
        <v>DIANOSOL</v>
      </c>
      <c r="Q667" s="63" t="s">
        <v>903</v>
      </c>
      <c r="R667" s="63" t="str">
        <f>VLOOKUP($Q667,Resultados!$A$1:$B$49,2,FALSE)</f>
        <v>Juicio Abreviado</v>
      </c>
      <c r="S667" s="70" t="s">
        <v>1004</v>
      </c>
      <c r="T667" s="72" t="str">
        <f>IF(G667=$J$1,"SI","NO")</f>
        <v>NO</v>
      </c>
      <c r="U667" s="72"/>
      <c r="V667" s="7" t="str">
        <f ca="1">IF(color_Celda(E667)=12106214,"ROSA",IF(color_Celda(E667)=65535,"AMARILLO",IF(color_Celda(E667)=5296274,"VERDE",IF(color_Celda(E667)=16777215,"BLANCO","NO SE"))))</f>
        <v>ROSA</v>
      </c>
      <c r="W667" s="63" t="s">
        <v>1530</v>
      </c>
      <c r="X667" s="63" t="s">
        <v>3103</v>
      </c>
      <c r="Y667" s="63"/>
      <c r="Z667" s="313" t="s">
        <v>770</v>
      </c>
      <c r="AA667" s="313" t="s">
        <v>2828</v>
      </c>
      <c r="AB667" s="304" t="s">
        <v>1173</v>
      </c>
      <c r="AC667" s="324"/>
    </row>
    <row r="668" spans="1:29" ht="60" customHeight="1">
      <c r="A668" s="63">
        <v>680</v>
      </c>
      <c r="B668" s="65">
        <v>45198</v>
      </c>
      <c r="C668" s="70">
        <v>0.33333333333333331</v>
      </c>
      <c r="D668" s="63" t="s">
        <v>2875</v>
      </c>
      <c r="E668" s="64" t="s">
        <v>2876</v>
      </c>
      <c r="F668" s="63">
        <v>1</v>
      </c>
      <c r="G668" s="63" t="s">
        <v>2752</v>
      </c>
      <c r="H668" s="208">
        <v>45202</v>
      </c>
      <c r="I668" s="65" t="s">
        <v>73</v>
      </c>
      <c r="J668" s="65" t="s">
        <v>33</v>
      </c>
      <c r="K668" s="63">
        <f>IFERROR(VLOOKUP(J668,Jueces!$A$1:$B$11,2,FALSE),"")</f>
        <v>4</v>
      </c>
      <c r="L668" s="63" t="s">
        <v>802</v>
      </c>
      <c r="M668" s="63" t="s">
        <v>1378</v>
      </c>
      <c r="N668" s="63" t="s">
        <v>3096</v>
      </c>
      <c r="O668" s="63" t="str">
        <f ca="1">IF(H668&lt;&gt;"",IF(H668&lt;=TODAY(),"SI","NO"),"LIMBO")</f>
        <v>SI</v>
      </c>
      <c r="P668" s="63" t="str">
        <f>IF($P$1=H668,"DIASOL", "DIANOSOL")</f>
        <v>DIANOSOL</v>
      </c>
      <c r="Q668" s="63" t="s">
        <v>151</v>
      </c>
      <c r="R668" s="63" t="str">
        <f>VLOOKUP($Q668,Resultados!$A$1:$B$49,2,FALSE)</f>
        <v>Prisión Preventiva</v>
      </c>
      <c r="S668" s="63" t="s">
        <v>3097</v>
      </c>
      <c r="T668" s="72" t="str">
        <f>IF(G668=$J$1,"SI","NO")</f>
        <v>NO</v>
      </c>
      <c r="U668" s="72"/>
      <c r="V668" s="7" t="str">
        <f ca="1">IF(color_Celda(E668)=12106214,"ROSA",IF(color_Celda(E668)=65535,"AMARILLO",IF(color_Celda(E668)=5296274,"VERDE",IF(color_Celda(E668)=16777215,"BLANCO","NO SE"))))</f>
        <v>ROSA</v>
      </c>
      <c r="W668" s="63" t="s">
        <v>1016</v>
      </c>
      <c r="X668" s="63"/>
      <c r="Y668" s="63"/>
      <c r="Z668" s="313" t="s">
        <v>748</v>
      </c>
      <c r="AA668" s="313" t="s">
        <v>1165</v>
      </c>
      <c r="AB668" s="304" t="s">
        <v>1171</v>
      </c>
      <c r="AC668" s="324"/>
    </row>
    <row r="669" spans="1:29" ht="60" customHeight="1">
      <c r="A669" s="63">
        <v>624</v>
      </c>
      <c r="B669" s="65">
        <v>45180</v>
      </c>
      <c r="C669" s="70">
        <v>0.39027777777777778</v>
      </c>
      <c r="D669" s="63" t="s">
        <v>2699</v>
      </c>
      <c r="E669" s="64" t="s">
        <v>2793</v>
      </c>
      <c r="F669" s="63">
        <v>8</v>
      </c>
      <c r="G669" s="63" t="s">
        <v>568</v>
      </c>
      <c r="H669" s="208">
        <v>45202</v>
      </c>
      <c r="I669" s="65" t="s">
        <v>1083</v>
      </c>
      <c r="J669" s="65" t="s">
        <v>78</v>
      </c>
      <c r="K669" s="63">
        <f>IFERROR(VLOOKUP(J669,Jueces!$A$1:$B$11,2,FALSE),"")</f>
        <v>8</v>
      </c>
      <c r="L669" s="63" t="s">
        <v>791</v>
      </c>
      <c r="M669" s="63" t="s">
        <v>885</v>
      </c>
      <c r="N669" s="63" t="s">
        <v>3100</v>
      </c>
      <c r="O669" s="63" t="str">
        <f ca="1">IF(H669&lt;&gt;"",IF(H669&lt;=TODAY(),"SI","NO"),"LIMBO")</f>
        <v>SI</v>
      </c>
      <c r="P669" s="63" t="str">
        <f>IF($P$1=H669,"DIASOL", "DIANOSOL")</f>
        <v>DIANOSOL</v>
      </c>
      <c r="Q669" s="63" t="s">
        <v>151</v>
      </c>
      <c r="R669" s="63" t="str">
        <f>VLOOKUP($Q669,Resultados!$A$1:$B$49,2,FALSE)</f>
        <v>Prisión Preventiva</v>
      </c>
      <c r="S669" s="63" t="s">
        <v>3101</v>
      </c>
      <c r="T669" s="72" t="str">
        <f>IF(G669=$J$1,"SI","NO")</f>
        <v>NO</v>
      </c>
      <c r="U669" s="72"/>
      <c r="V669" s="7" t="str">
        <f ca="1">IF(color_Celda(E669)=12106214,"ROSA",IF(color_Celda(E669)=65535,"AMARILLO",IF(color_Celda(E669)=5296274,"VERDE",IF(color_Celda(E669)=16777215,"BLANCO","NO SE"))))</f>
        <v>ROSA</v>
      </c>
      <c r="W669" s="63" t="s">
        <v>1793</v>
      </c>
      <c r="X669" s="63" t="s">
        <v>2880</v>
      </c>
      <c r="Y669" s="63"/>
      <c r="Z669" s="313" t="s">
        <v>1039</v>
      </c>
      <c r="AA669" s="313" t="s">
        <v>1165</v>
      </c>
      <c r="AB669" s="304" t="s">
        <v>1173</v>
      </c>
      <c r="AC669" s="645"/>
    </row>
    <row r="670" spans="1:29" ht="60" customHeight="1">
      <c r="A670" s="63">
        <v>653</v>
      </c>
      <c r="B670" s="65">
        <v>45187</v>
      </c>
      <c r="C670" s="70">
        <v>0.50138888888888888</v>
      </c>
      <c r="D670" s="63" t="s">
        <v>2780</v>
      </c>
      <c r="E670" s="64" t="s">
        <v>3091</v>
      </c>
      <c r="F670" s="63">
        <v>8</v>
      </c>
      <c r="G670" s="63" t="s">
        <v>2751</v>
      </c>
      <c r="H670" s="208">
        <v>45202</v>
      </c>
      <c r="I670" s="65" t="s">
        <v>1083</v>
      </c>
      <c r="J670" s="65" t="s">
        <v>33</v>
      </c>
      <c r="K670" s="63">
        <f>IFERROR(VLOOKUP(J670,Jueces!$A$1:$B$11,2,FALSE),"")</f>
        <v>4</v>
      </c>
      <c r="L670" s="63" t="s">
        <v>789</v>
      </c>
      <c r="M670" s="63" t="s">
        <v>1084</v>
      </c>
      <c r="N670" s="63" t="s">
        <v>3099</v>
      </c>
      <c r="O670" s="63" t="str">
        <f ca="1">IF(H670&lt;&gt;"",IF(H670&lt;=TODAY(),"SI","NO"),"LIMBO")</f>
        <v>SI</v>
      </c>
      <c r="P670" s="63" t="str">
        <f>IF($P$1=H670,"DIASOL", "DIANOSOL")</f>
        <v>DIANOSOL</v>
      </c>
      <c r="Q670" s="63" t="s">
        <v>902</v>
      </c>
      <c r="R670" s="63" t="str">
        <f>VLOOKUP($Q670,Resultados!$A$1:$B$49,2,FALSE)</f>
        <v>Juicio Abreviado</v>
      </c>
      <c r="S670" s="63" t="s">
        <v>2685</v>
      </c>
      <c r="T670" s="72" t="str">
        <f>IF(G670=$J$1,"SI","NO")</f>
        <v>NO</v>
      </c>
      <c r="U670" s="72"/>
      <c r="V670" s="7" t="str">
        <f ca="1">IF(color_Celda(E670)=12106214,"ROSA",IF(color_Celda(E670)=65535,"AMARILLO",IF(color_Celda(E670)=5296274,"VERDE",IF(color_Celda(E670)=16777215,"BLANCO","NO SE"))))</f>
        <v>ROSA</v>
      </c>
      <c r="W670" s="63" t="s">
        <v>1239</v>
      </c>
      <c r="X670" s="63"/>
      <c r="Y670" s="63"/>
      <c r="Z670" s="313" t="s">
        <v>2843</v>
      </c>
      <c r="AA670" s="313" t="s">
        <v>1167</v>
      </c>
      <c r="AB670" s="304" t="s">
        <v>1169</v>
      </c>
      <c r="AC670" s="324"/>
    </row>
    <row r="671" spans="1:29" ht="60" customHeight="1">
      <c r="A671" s="63">
        <v>663</v>
      </c>
      <c r="B671" s="65">
        <v>45189</v>
      </c>
      <c r="C671" s="70">
        <v>0.33333333333333331</v>
      </c>
      <c r="D671" s="63" t="s">
        <v>2816</v>
      </c>
      <c r="E671" s="64" t="s">
        <v>2898</v>
      </c>
      <c r="F671" s="63">
        <v>1</v>
      </c>
      <c r="G671" s="63" t="s">
        <v>2766</v>
      </c>
      <c r="H671" s="208">
        <v>45202</v>
      </c>
      <c r="I671" s="65" t="s">
        <v>1083</v>
      </c>
      <c r="J671" s="65" t="s">
        <v>35</v>
      </c>
      <c r="K671" s="63">
        <f>IFERROR(VLOOKUP(J671,Jueces!$A$1:$B$11,2,FALSE),"")</f>
        <v>3</v>
      </c>
      <c r="L671" s="63" t="s">
        <v>811</v>
      </c>
      <c r="M671" s="63" t="s">
        <v>711</v>
      </c>
      <c r="N671" s="63" t="s">
        <v>3114</v>
      </c>
      <c r="O671" s="63" t="str">
        <f ca="1">IF(H671&lt;&gt;"",IF(H671&lt;=TODAY(),"SI","NO"),"LIMBO")</f>
        <v>SI</v>
      </c>
      <c r="P671" s="63" t="str">
        <f>IF($P$1=H671,"DIASOL", "DIANOSOL")</f>
        <v>DIANOSOL</v>
      </c>
      <c r="Q671" s="63" t="s">
        <v>151</v>
      </c>
      <c r="R671" s="63" t="str">
        <f>VLOOKUP($Q671,Resultados!$A$1:$B$49,2,FALSE)</f>
        <v>Prisión Preventiva</v>
      </c>
      <c r="S671" s="63" t="s">
        <v>3115</v>
      </c>
      <c r="T671" s="72" t="str">
        <f>IF(G671=$J$1,"SI","NO")</f>
        <v>NO</v>
      </c>
      <c r="U671" s="72"/>
      <c r="V671" s="7" t="str">
        <f ca="1">IF(color_Celda(E671)=12106214,"ROSA",IF(color_Celda(E671)=65535,"AMARILLO",IF(color_Celda(E671)=5296274,"VERDE",IF(color_Celda(E671)=16777215,"BLANCO","NO SE"))))</f>
        <v>ROSA</v>
      </c>
      <c r="W671" s="63" t="s">
        <v>3116</v>
      </c>
      <c r="X671" s="63" t="s">
        <v>3117</v>
      </c>
      <c r="Y671" s="63"/>
      <c r="Z671" s="313" t="s">
        <v>2869</v>
      </c>
      <c r="AA671" s="313" t="s">
        <v>1165</v>
      </c>
      <c r="AB671" s="304" t="s">
        <v>1171</v>
      </c>
      <c r="AC671" s="328"/>
    </row>
    <row r="672" spans="1:29" ht="60" customHeight="1">
      <c r="A672" s="63">
        <v>684</v>
      </c>
      <c r="B672" s="65">
        <v>45190</v>
      </c>
      <c r="C672" s="70">
        <v>0.45208333333333334</v>
      </c>
      <c r="D672" s="63" t="s">
        <v>2890</v>
      </c>
      <c r="E672" s="64" t="s">
        <v>2892</v>
      </c>
      <c r="F672" s="63">
        <v>8</v>
      </c>
      <c r="G672" s="63" t="s">
        <v>1433</v>
      </c>
      <c r="H672" s="208">
        <v>45202</v>
      </c>
      <c r="I672" s="65" t="s">
        <v>987</v>
      </c>
      <c r="J672" s="65" t="s">
        <v>1217</v>
      </c>
      <c r="K672" s="63" t="s">
        <v>1916</v>
      </c>
      <c r="L672" s="63" t="s">
        <v>809</v>
      </c>
      <c r="M672" s="63" t="s">
        <v>1084</v>
      </c>
      <c r="N672" s="63" t="s">
        <v>3119</v>
      </c>
      <c r="O672" s="63" t="str">
        <f ca="1">IF(H672&lt;&gt;"",IF(H672&lt;=TODAY(),"SI","NO"),"LIMBO")</f>
        <v>SI</v>
      </c>
      <c r="P672" s="63" t="str">
        <f>IF($P$1=H672,"DIASOL", "DIANOSOL")</f>
        <v>DIANOSOL</v>
      </c>
      <c r="Q672" s="63" t="s">
        <v>151</v>
      </c>
      <c r="R672" s="63" t="str">
        <f>VLOOKUP($Q672,Resultados!$A$1:$B$49,2,FALSE)</f>
        <v>Prisión Preventiva</v>
      </c>
      <c r="S672" s="63" t="s">
        <v>3120</v>
      </c>
      <c r="T672" s="72" t="str">
        <f>IF(G672=$J$1,"SI","NO")</f>
        <v>NO</v>
      </c>
      <c r="U672" s="72"/>
      <c r="V672" s="7" t="str">
        <f ca="1">IF(color_Celda(E672)=12106214,"ROSA",IF(color_Celda(E672)=65535,"AMARILLO",IF(color_Celda(E672)=5296274,"VERDE",IF(color_Celda(E672)=16777215,"BLANCO","NO SE"))))</f>
        <v>ROSA</v>
      </c>
      <c r="W672" s="63" t="s">
        <v>1037</v>
      </c>
      <c r="X672" s="63" t="s">
        <v>2954</v>
      </c>
      <c r="Y672" s="63"/>
      <c r="Z672" s="313" t="s">
        <v>743</v>
      </c>
      <c r="AA672" s="313" t="s">
        <v>2828</v>
      </c>
      <c r="AB672" s="304" t="s">
        <v>3073</v>
      </c>
      <c r="AC672" s="324"/>
    </row>
    <row r="673" spans="1:29" ht="60" customHeight="1">
      <c r="A673" s="63">
        <v>679</v>
      </c>
      <c r="B673" s="65">
        <v>45190</v>
      </c>
      <c r="C673" s="70">
        <v>0.40625</v>
      </c>
      <c r="D673" s="63" t="s">
        <v>2859</v>
      </c>
      <c r="E673" s="64" t="s">
        <v>2975</v>
      </c>
      <c r="F673" s="63">
        <v>8</v>
      </c>
      <c r="G673" s="63" t="s">
        <v>283</v>
      </c>
      <c r="H673" s="208">
        <v>45203</v>
      </c>
      <c r="I673" s="65" t="s">
        <v>73</v>
      </c>
      <c r="J673" s="65" t="s">
        <v>2925</v>
      </c>
      <c r="K673" s="63" t="s">
        <v>2285</v>
      </c>
      <c r="L673" s="63" t="s">
        <v>791</v>
      </c>
      <c r="M673" s="63" t="s">
        <v>2976</v>
      </c>
      <c r="N673" s="63" t="s">
        <v>2952</v>
      </c>
      <c r="O673" s="63" t="str">
        <f ca="1">IF(H673&lt;&gt;"",IF(H673&lt;=TODAY(),"SI","NO"),"LIMBO")</f>
        <v>SI</v>
      </c>
      <c r="P673" s="63" t="str">
        <f>IF($P$1=H673,"DIASOL", "DIANOSOL")</f>
        <v>DIANOSOL</v>
      </c>
      <c r="Q673" s="63" t="s">
        <v>903</v>
      </c>
      <c r="R673" s="63" t="str">
        <f>VLOOKUP($Q673,Resultados!$A$1:$B$49,2,FALSE)</f>
        <v>Juicio Abreviado</v>
      </c>
      <c r="S673" s="63" t="s">
        <v>686</v>
      </c>
      <c r="T673" s="72" t="str">
        <f>IF(G673=$J$1,"SI","NO")</f>
        <v>NO</v>
      </c>
      <c r="U673" s="72"/>
      <c r="V673" s="7" t="str">
        <f ca="1">IF(color_Celda(E673)=12106214,"ROSA",IF(color_Celda(E673)=65535,"AMARILLO",IF(color_Celda(E673)=5296274,"VERDE",IF(color_Celda(E673)=16777215,"BLANCO","NO SE"))))</f>
        <v>ROSA</v>
      </c>
      <c r="W673" s="63" t="s">
        <v>1384</v>
      </c>
      <c r="X673" s="63" t="s">
        <v>3153</v>
      </c>
      <c r="Y673" s="63"/>
      <c r="Z673" s="313" t="s">
        <v>748</v>
      </c>
      <c r="AA673" s="118" t="s">
        <v>1167</v>
      </c>
      <c r="AB673" s="118" t="s">
        <v>1171</v>
      </c>
      <c r="AC673" s="698"/>
    </row>
    <row r="674" spans="1:29" ht="60" customHeight="1">
      <c r="A674" s="63">
        <v>683</v>
      </c>
      <c r="B674" s="65">
        <v>45191</v>
      </c>
      <c r="C674" s="70">
        <v>0.33333333333333331</v>
      </c>
      <c r="D674" s="63" t="s">
        <v>2889</v>
      </c>
      <c r="E674" s="64" t="s">
        <v>3090</v>
      </c>
      <c r="F674" s="63">
        <v>6</v>
      </c>
      <c r="G674" s="63" t="s">
        <v>43</v>
      </c>
      <c r="H674" s="208">
        <v>45203</v>
      </c>
      <c r="I674" s="65" t="s">
        <v>73</v>
      </c>
      <c r="J674" s="65" t="s">
        <v>78</v>
      </c>
      <c r="K674" s="63">
        <f>IFERROR(VLOOKUP(J674,Jueces!$A$1:$B$11,2,FALSE),"")</f>
        <v>8</v>
      </c>
      <c r="L674" s="63" t="s">
        <v>789</v>
      </c>
      <c r="M674" s="63" t="s">
        <v>885</v>
      </c>
      <c r="N674" s="63" t="s">
        <v>3152</v>
      </c>
      <c r="O674" s="63" t="str">
        <f ca="1">IF(H674&lt;&gt;"",IF(H674&lt;=TODAY(),"SI","NO"),"LIMBO")</f>
        <v>SI</v>
      </c>
      <c r="P674" s="63" t="str">
        <f>IF($P$1=H674,"DIASOL", "DIANOSOL")</f>
        <v>DIANOSOL</v>
      </c>
      <c r="Q674" s="63" t="s">
        <v>902</v>
      </c>
      <c r="R674" s="63" t="str">
        <f>VLOOKUP($Q674,Resultados!$A$1:$B$49,2,FALSE)</f>
        <v>Juicio Abreviado</v>
      </c>
      <c r="S674" s="63" t="s">
        <v>1287</v>
      </c>
      <c r="T674" s="72" t="str">
        <f>IF(G674=$J$1,"SI","NO")</f>
        <v>NO</v>
      </c>
      <c r="U674" s="72"/>
      <c r="V674" s="7" t="str">
        <f ca="1">IF(color_Celda(E674)=12106214,"ROSA",IF(color_Celda(E674)=65535,"AMARILLO",IF(color_Celda(E674)=5296274,"VERDE",IF(color_Celda(E674)=16777215,"BLANCO","NO SE"))))</f>
        <v>ROSA</v>
      </c>
      <c r="W674" s="63" t="s">
        <v>76</v>
      </c>
      <c r="X674" s="63" t="s">
        <v>2552</v>
      </c>
      <c r="Y674" s="63"/>
      <c r="Z674" s="313" t="s">
        <v>743</v>
      </c>
      <c r="AA674" s="118" t="s">
        <v>1167</v>
      </c>
      <c r="AB674" s="118" t="s">
        <v>1173</v>
      </c>
      <c r="AC674" s="324"/>
    </row>
    <row r="675" spans="1:29" ht="60" customHeight="1">
      <c r="A675" s="63">
        <v>699</v>
      </c>
      <c r="B675" s="65">
        <v>45194</v>
      </c>
      <c r="C675" s="63" t="s">
        <v>2157</v>
      </c>
      <c r="D675" s="63" t="s">
        <v>2945</v>
      </c>
      <c r="E675" s="64" t="s">
        <v>2964</v>
      </c>
      <c r="F675" s="63">
        <v>8</v>
      </c>
      <c r="G675" s="63" t="s">
        <v>2766</v>
      </c>
      <c r="H675" s="208">
        <v>45203</v>
      </c>
      <c r="I675" s="65" t="s">
        <v>73</v>
      </c>
      <c r="J675" s="65" t="s">
        <v>35</v>
      </c>
      <c r="K675" s="63">
        <f>IFERROR(VLOOKUP(J675,Jueces!$A$1:$B$11,2,FALSE),"")</f>
        <v>3</v>
      </c>
      <c r="L675" s="63" t="s">
        <v>795</v>
      </c>
      <c r="M675" s="63" t="s">
        <v>1084</v>
      </c>
      <c r="N675" s="63" t="s">
        <v>3156</v>
      </c>
      <c r="O675" s="63" t="str">
        <f ca="1">IF(H675&lt;&gt;"",IF(H675&lt;=TODAY(),"SI","NO"),"LIMBO")</f>
        <v>SI</v>
      </c>
      <c r="P675" s="63" t="str">
        <f>IF($P$1=H675,"DIASOL", "DIANOSOL")</f>
        <v>DIANOSOL</v>
      </c>
      <c r="Q675" s="63" t="s">
        <v>151</v>
      </c>
      <c r="R675" s="63" t="s">
        <v>151</v>
      </c>
      <c r="S675" s="63" t="s">
        <v>3094</v>
      </c>
      <c r="T675" s="72" t="str">
        <f>IF(G675=$J$1,"SI","NO")</f>
        <v>NO</v>
      </c>
      <c r="U675" s="72"/>
      <c r="V675" s="7" t="str">
        <f ca="1">IF(color_Celda(E675)=12106214,"ROSA",IF(color_Celda(E675)=65535,"AMARILLO",IF(color_Celda(E675)=5296274,"VERDE",IF(color_Celda(E675)=16777215,"BLANCO","NO SE"))))</f>
        <v>ROSA</v>
      </c>
      <c r="W675" s="63" t="s">
        <v>3157</v>
      </c>
      <c r="X675" s="63" t="s">
        <v>2363</v>
      </c>
      <c r="Y675" s="63"/>
      <c r="Z675" s="313" t="s">
        <v>770</v>
      </c>
      <c r="AA675" s="118" t="s">
        <v>2828</v>
      </c>
      <c r="AB675" s="118" t="s">
        <v>1170</v>
      </c>
      <c r="AC675" s="324"/>
    </row>
    <row r="676" spans="1:29" ht="60" customHeight="1">
      <c r="A676" s="63">
        <v>676</v>
      </c>
      <c r="B676" s="65">
        <v>45198</v>
      </c>
      <c r="C676" s="70">
        <v>0.33333333333333331</v>
      </c>
      <c r="D676" s="63" t="s">
        <v>2855</v>
      </c>
      <c r="E676" s="64" t="s">
        <v>2897</v>
      </c>
      <c r="F676" s="63">
        <v>1</v>
      </c>
      <c r="G676" s="63" t="s">
        <v>568</v>
      </c>
      <c r="H676" s="208">
        <v>45203</v>
      </c>
      <c r="I676" s="65" t="s">
        <v>73</v>
      </c>
      <c r="J676" s="65" t="s">
        <v>1217</v>
      </c>
      <c r="K676" s="63" t="s">
        <v>1916</v>
      </c>
      <c r="L676" s="63" t="s">
        <v>811</v>
      </c>
      <c r="M676" s="63" t="s">
        <v>711</v>
      </c>
      <c r="N676" s="63" t="s">
        <v>577</v>
      </c>
      <c r="O676" s="63" t="str">
        <f ca="1">IF(H676&lt;&gt;"",IF(H676&lt;=TODAY(),"SI","NO"),"LIMBO")</f>
        <v>SI</v>
      </c>
      <c r="P676" s="63" t="str">
        <f>IF($P$1=H676,"DIASOL", "DIANOSOL")</f>
        <v>DIANOSOL</v>
      </c>
      <c r="Q676" s="63" t="s">
        <v>151</v>
      </c>
      <c r="R676" s="63" t="str">
        <f>VLOOKUP($Q676,Resultados!$A$1:$B$49,2,FALSE)</f>
        <v>Prisión Preventiva</v>
      </c>
      <c r="S676" s="63" t="s">
        <v>2402</v>
      </c>
      <c r="T676" s="72" t="str">
        <f>IF(G676=$J$1,"SI","NO")</f>
        <v>NO</v>
      </c>
      <c r="U676" s="72"/>
      <c r="V676" s="7" t="str">
        <f ca="1">IF(color_Celda(E676)=12106214,"ROSA",IF(color_Celda(E676)=65535,"AMARILLO",IF(color_Celda(E676)=5296274,"VERDE",IF(color_Celda(E676)=16777215,"BLANCO","NO SE"))))</f>
        <v>ROSA</v>
      </c>
      <c r="W676" s="63" t="s">
        <v>1738</v>
      </c>
      <c r="X676" s="63" t="s">
        <v>2363</v>
      </c>
      <c r="Y676" s="63"/>
      <c r="Z676" s="313" t="s">
        <v>1039</v>
      </c>
      <c r="AA676" s="118" t="s">
        <v>1165</v>
      </c>
      <c r="AB676" s="118" t="s">
        <v>1169</v>
      </c>
      <c r="AC676" s="324"/>
    </row>
    <row r="677" spans="1:29" ht="60" customHeight="1">
      <c r="A677" s="63">
        <v>655</v>
      </c>
      <c r="B677" s="65">
        <v>45187</v>
      </c>
      <c r="C677" s="70">
        <v>0.52916666666666667</v>
      </c>
      <c r="D677" s="63" t="s">
        <v>2783</v>
      </c>
      <c r="E677" s="64" t="s">
        <v>2941</v>
      </c>
      <c r="F677" s="63">
        <v>8</v>
      </c>
      <c r="G677" s="63" t="s">
        <v>1433</v>
      </c>
      <c r="H677" s="208">
        <v>45203</v>
      </c>
      <c r="I677" s="65" t="s">
        <v>1083</v>
      </c>
      <c r="J677" s="65" t="s">
        <v>1216</v>
      </c>
      <c r="K677" s="63">
        <f>IFERROR(VLOOKUP(J677,Jueces!$A$1:$B$11,2,FALSE),"")</f>
        <v>1</v>
      </c>
      <c r="L677" s="63" t="s">
        <v>1067</v>
      </c>
      <c r="M677" s="63" t="s">
        <v>1084</v>
      </c>
      <c r="N677" s="63" t="s">
        <v>3152</v>
      </c>
      <c r="O677" s="63" t="str">
        <f ca="1">IF(H677&lt;&gt;"",IF(H677&lt;=TODAY(),"SI","NO"),"LIMBO")</f>
        <v>SI</v>
      </c>
      <c r="P677" s="63" t="str">
        <f>IF($P$1=H677,"DIASOL", "DIANOSOL")</f>
        <v>DIANOSOL</v>
      </c>
      <c r="Q677" s="63" t="s">
        <v>902</v>
      </c>
      <c r="R677" s="63" t="str">
        <f>VLOOKUP($Q677,Resultados!$A$1:$B$49,2,FALSE)</f>
        <v>Juicio Abreviado</v>
      </c>
      <c r="S677" s="63" t="s">
        <v>2878</v>
      </c>
      <c r="T677" s="72" t="str">
        <f>IF(G677=$J$1,"SI","NO")</f>
        <v>NO</v>
      </c>
      <c r="U677" s="72"/>
      <c r="V677" s="7" t="str">
        <f ca="1">IF(color_Celda(E677)=12106214,"ROSA",IF(color_Celda(E677)=65535,"AMARILLO",IF(color_Celda(E677)=5296274,"VERDE",IF(color_Celda(E677)=16777215,"BLANCO","NO SE"))))</f>
        <v>ROSA</v>
      </c>
      <c r="W677" s="63" t="s">
        <v>1528</v>
      </c>
      <c r="X677" s="63" t="s">
        <v>2954</v>
      </c>
      <c r="Y677" s="63"/>
      <c r="Z677" s="313" t="s">
        <v>1039</v>
      </c>
      <c r="AA677" s="118" t="s">
        <v>2828</v>
      </c>
      <c r="AB677" s="118" t="s">
        <v>1170</v>
      </c>
      <c r="AC677" s="324"/>
    </row>
    <row r="678" spans="1:29" ht="60" customHeight="1">
      <c r="A678" s="63">
        <v>673</v>
      </c>
      <c r="B678" s="65">
        <v>45189</v>
      </c>
      <c r="C678" s="70">
        <v>0.54027777777777775</v>
      </c>
      <c r="D678" s="63" t="s">
        <v>2851</v>
      </c>
      <c r="E678" s="64" t="s">
        <v>2852</v>
      </c>
      <c r="F678" s="63">
        <v>8</v>
      </c>
      <c r="G678" s="63" t="s">
        <v>2815</v>
      </c>
      <c r="H678" s="208">
        <v>45203</v>
      </c>
      <c r="I678" s="65" t="s">
        <v>1083</v>
      </c>
      <c r="J678" s="65" t="s">
        <v>33</v>
      </c>
      <c r="K678" s="63">
        <f>IFERROR(VLOOKUP(J678,Jueces!$A$1:$B$11,2,FALSE),"")</f>
        <v>4</v>
      </c>
      <c r="L678" s="63" t="s">
        <v>806</v>
      </c>
      <c r="M678" s="63" t="s">
        <v>885</v>
      </c>
      <c r="N678" s="63" t="s">
        <v>897</v>
      </c>
      <c r="O678" s="63" t="str">
        <f ca="1">IF(H678&lt;&gt;"",IF(H678&lt;=TODAY(),"SI","NO"),"LIMBO")</f>
        <v>SI</v>
      </c>
      <c r="P678" s="63" t="str">
        <f>IF($P$1=H678,"DIASOL", "DIANOSOL")</f>
        <v>DIANOSOL</v>
      </c>
      <c r="Q678" s="63" t="s">
        <v>897</v>
      </c>
      <c r="R678" s="63" t="str">
        <f>VLOOKUP($Q678,Resultados!$A$1:$B$49,2,FALSE)</f>
        <v>Libertad</v>
      </c>
      <c r="S678" s="63" t="s">
        <v>1528</v>
      </c>
      <c r="T678" s="72" t="str">
        <f>IF(G678=$J$1,"SI","NO")</f>
        <v>NO</v>
      </c>
      <c r="U678" s="72"/>
      <c r="V678" s="7" t="str">
        <f ca="1">IF(color_Celda(E678)=12106214,"ROSA",IF(color_Celda(E678)=65535,"AMARILLO",IF(color_Celda(E678)=5296274,"VERDE",IF(color_Celda(E678)=16777215,"BLANCO","NO SE"))))</f>
        <v>ROSA</v>
      </c>
      <c r="W678" s="63" t="s">
        <v>1437</v>
      </c>
      <c r="X678" s="63" t="s">
        <v>2552</v>
      </c>
      <c r="Y678" s="63"/>
      <c r="Z678" s="313" t="s">
        <v>1038</v>
      </c>
      <c r="AA678" s="118" t="s">
        <v>1165</v>
      </c>
      <c r="AB678" s="118" t="s">
        <v>1169</v>
      </c>
      <c r="AC678" s="324"/>
    </row>
    <row r="679" spans="1:29" ht="60" customHeight="1">
      <c r="A679" s="63">
        <v>692</v>
      </c>
      <c r="B679" s="65">
        <v>45191</v>
      </c>
      <c r="C679" s="70">
        <v>0.54166666666666663</v>
      </c>
      <c r="D679" s="63" t="s">
        <v>2909</v>
      </c>
      <c r="E679" s="64" t="s">
        <v>2910</v>
      </c>
      <c r="F679" s="63">
        <v>1</v>
      </c>
      <c r="G679" s="63" t="s">
        <v>29</v>
      </c>
      <c r="H679" s="208">
        <v>45203</v>
      </c>
      <c r="I679" s="65" t="s">
        <v>1083</v>
      </c>
      <c r="J679" s="65" t="s">
        <v>35</v>
      </c>
      <c r="K679" s="63">
        <f>IFERROR(VLOOKUP(J679,Jueces!$A$1:$B$11,2,FALSE),"")</f>
        <v>3</v>
      </c>
      <c r="L679" s="63" t="s">
        <v>811</v>
      </c>
      <c r="M679" s="63" t="s">
        <v>711</v>
      </c>
      <c r="N679" s="63" t="s">
        <v>577</v>
      </c>
      <c r="O679" s="63" t="str">
        <f ca="1">IF(H679&lt;&gt;"",IF(H679&lt;=TODAY(),"SI","NO"),"LIMBO")</f>
        <v>SI</v>
      </c>
      <c r="P679" s="63" t="str">
        <f>IF($P$1=H679,"DIASOL", "DIANOSOL")</f>
        <v>DIANOSOL</v>
      </c>
      <c r="Q679" s="63" t="s">
        <v>151</v>
      </c>
      <c r="R679" s="63" t="str">
        <f>VLOOKUP($Q679,Resultados!$A$1:$B$49,2,FALSE)</f>
        <v>Prisión Preventiva</v>
      </c>
      <c r="S679" s="63" t="s">
        <v>3158</v>
      </c>
      <c r="T679" s="72" t="str">
        <f>IF(G679=$J$1,"SI","NO")</f>
        <v>NO</v>
      </c>
      <c r="U679" s="72"/>
      <c r="V679" s="7" t="str">
        <f ca="1">IF(color_Celda(E679)=12106214,"ROSA",IF(color_Celda(E679)=65535,"AMARILLO",IF(color_Celda(E679)=5296274,"VERDE",IF(color_Celda(E679)=16777215,"BLANCO","NO SE"))))</f>
        <v>ROSA</v>
      </c>
      <c r="W679" s="63" t="s">
        <v>77</v>
      </c>
      <c r="X679" s="63" t="s">
        <v>3155</v>
      </c>
      <c r="Y679" s="63"/>
      <c r="Z679" s="313" t="s">
        <v>2843</v>
      </c>
      <c r="AA679" s="118" t="s">
        <v>1167</v>
      </c>
      <c r="AB679" s="118" t="s">
        <v>1171</v>
      </c>
      <c r="AC679" s="324"/>
    </row>
    <row r="680" spans="1:29" ht="60" customHeight="1">
      <c r="A680" s="63">
        <v>694</v>
      </c>
      <c r="B680" s="65">
        <v>45191</v>
      </c>
      <c r="C680" s="70">
        <v>0.5493055555555556</v>
      </c>
      <c r="D680" s="63" t="s">
        <v>2913</v>
      </c>
      <c r="E680" s="64" t="s">
        <v>2914</v>
      </c>
      <c r="F680" s="63">
        <v>8</v>
      </c>
      <c r="G680" s="63" t="s">
        <v>2753</v>
      </c>
      <c r="H680" s="208">
        <v>45203</v>
      </c>
      <c r="I680" s="65" t="s">
        <v>1083</v>
      </c>
      <c r="J680" s="65" t="s">
        <v>2922</v>
      </c>
      <c r="K680" s="63" t="s">
        <v>1916</v>
      </c>
      <c r="L680" s="63" t="s">
        <v>2076</v>
      </c>
      <c r="M680" s="63" t="s">
        <v>2987</v>
      </c>
      <c r="N680" s="63" t="s">
        <v>3046</v>
      </c>
      <c r="O680" s="63" t="str">
        <f ca="1">IF(H680&lt;&gt;"",IF(H680&lt;=TODAY(),"SI","NO"),"LIMBO")</f>
        <v>SI</v>
      </c>
      <c r="P680" s="63" t="str">
        <f>IF($P$1=H680,"DIASOL", "DIANOSOL")</f>
        <v>DIANOSOL</v>
      </c>
      <c r="Q680" s="63" t="s">
        <v>903</v>
      </c>
      <c r="R680" s="63" t="str">
        <f>VLOOKUP($Q680,Resultados!$A$1:$B$49,2,FALSE)</f>
        <v>Juicio Abreviado</v>
      </c>
      <c r="S680" s="63" t="s">
        <v>1206</v>
      </c>
      <c r="T680" s="72" t="str">
        <f>IF(G680=$J$1,"SI","NO")</f>
        <v>NO</v>
      </c>
      <c r="U680" s="72"/>
      <c r="V680" s="7" t="str">
        <f ca="1">IF(color_Celda(E680)=12106214,"ROSA",IF(color_Celda(E680)=65535,"AMARILLO",IF(color_Celda(E680)=5296274,"VERDE",IF(color_Celda(E680)=16777215,"BLANCO","NO SE"))))</f>
        <v>ROSA</v>
      </c>
      <c r="W680" s="63" t="s">
        <v>1225</v>
      </c>
      <c r="X680" s="63" t="s">
        <v>3155</v>
      </c>
      <c r="Y680" s="63"/>
      <c r="Z680" s="313" t="s">
        <v>2869</v>
      </c>
      <c r="AA680" s="118" t="s">
        <v>1165</v>
      </c>
      <c r="AB680" s="118" t="s">
        <v>1173</v>
      </c>
      <c r="AC680" s="324"/>
    </row>
    <row r="681" spans="1:29" ht="60" customHeight="1">
      <c r="A681" s="63">
        <v>579</v>
      </c>
      <c r="B681" s="65">
        <v>45169</v>
      </c>
      <c r="C681" s="70">
        <v>0.35902777777777778</v>
      </c>
      <c r="D681" s="63" t="s">
        <v>2539</v>
      </c>
      <c r="E681" s="64" t="s">
        <v>2806</v>
      </c>
      <c r="F681" s="63">
        <v>6</v>
      </c>
      <c r="G681" s="63" t="s">
        <v>1435</v>
      </c>
      <c r="H681" s="208">
        <v>45204</v>
      </c>
      <c r="I681" s="65" t="s">
        <v>73</v>
      </c>
      <c r="J681" s="65" t="s">
        <v>33</v>
      </c>
      <c r="K681" s="63">
        <f>IFERROR(VLOOKUP(J681,Jueces!$A$1:$B$11,2,FALSE),"")</f>
        <v>4</v>
      </c>
      <c r="L681" s="63" t="s">
        <v>795</v>
      </c>
      <c r="M681" s="63" t="s">
        <v>725</v>
      </c>
      <c r="N681" s="63" t="s">
        <v>3185</v>
      </c>
      <c r="O681" s="63" t="str">
        <f ca="1">IF(H681&lt;&gt;"",IF(H681&lt;=TODAY(),"SI","NO"),"LIMBO")</f>
        <v>SI</v>
      </c>
      <c r="P681" s="63" t="str">
        <f>IF($P$1=H681,"DIASOL", "DIANOSOL")</f>
        <v>DIANOSOL</v>
      </c>
      <c r="Q681" s="63" t="s">
        <v>902</v>
      </c>
      <c r="R681" s="63" t="str">
        <f>VLOOKUP($Q681,Resultados!$A$1:$B$49,2,FALSE)</f>
        <v>Juicio Abreviado</v>
      </c>
      <c r="S681" s="70" t="s">
        <v>1083</v>
      </c>
      <c r="T681" s="72" t="str">
        <f>IF(G681=$J$1,"SI","NO")</f>
        <v>SI</v>
      </c>
      <c r="U681" s="72"/>
      <c r="V681" s="7" t="str">
        <f ca="1">IF(color_Celda(E681)=12106214,"ROSA",IF(color_Celda(E681)=65535,"AMARILLO",IF(color_Celda(E681)=5296274,"VERDE",IF(color_Celda(E681)=16777215,"BLANCO","NO SE"))))</f>
        <v>ROSA</v>
      </c>
      <c r="W681" s="70" t="s">
        <v>1298</v>
      </c>
      <c r="X681" s="223" t="s">
        <v>2552</v>
      </c>
      <c r="Y681" s="63"/>
      <c r="Z681" s="118" t="s">
        <v>2843</v>
      </c>
      <c r="AA681" s="118" t="s">
        <v>2828</v>
      </c>
      <c r="AB681" s="118" t="s">
        <v>1171</v>
      </c>
      <c r="AC681" s="324"/>
    </row>
    <row r="682" spans="1:29" ht="60" customHeight="1">
      <c r="A682" s="63">
        <v>647</v>
      </c>
      <c r="B682" s="65">
        <v>45187</v>
      </c>
      <c r="C682" s="70">
        <v>0.39027777777777778</v>
      </c>
      <c r="D682" s="325" t="s">
        <v>2760</v>
      </c>
      <c r="E682" s="64" t="s">
        <v>2774</v>
      </c>
      <c r="F682" s="63">
        <v>7</v>
      </c>
      <c r="G682" s="63" t="s">
        <v>568</v>
      </c>
      <c r="H682" s="208">
        <v>45204</v>
      </c>
      <c r="I682" s="65" t="s">
        <v>73</v>
      </c>
      <c r="J682" s="65" t="s">
        <v>35</v>
      </c>
      <c r="K682" s="63">
        <f>IFERROR(VLOOKUP(J682,Jueces!$A$1:$B$11,2,FALSE),"")</f>
        <v>3</v>
      </c>
      <c r="L682" s="63" t="s">
        <v>581</v>
      </c>
      <c r="M682" s="63" t="s">
        <v>783</v>
      </c>
      <c r="N682" s="63" t="s">
        <v>3182</v>
      </c>
      <c r="O682" s="63" t="str">
        <f ca="1">IF(H682&lt;&gt;"",IF(H682&lt;=TODAY(),"SI","NO"),"LIMBO")</f>
        <v>SI</v>
      </c>
      <c r="P682" s="63" t="str">
        <f>IF($P$1=H682,"DIASOL", "DIANOSOL")</f>
        <v>DIANOSOL</v>
      </c>
      <c r="Q682" s="63" t="s">
        <v>151</v>
      </c>
      <c r="R682" s="63" t="str">
        <f>VLOOKUP($Q682,Resultados!$A$1:$B$49,2,FALSE)</f>
        <v>Prisión Preventiva</v>
      </c>
      <c r="S682" s="63" t="s">
        <v>749</v>
      </c>
      <c r="T682" s="72" t="str">
        <f>IF(G682=$J$1,"SI","NO")</f>
        <v>NO</v>
      </c>
      <c r="U682" s="72"/>
      <c r="V682" s="7" t="str">
        <f ca="1">IF(color_Celda(E682)=12106214,"ROSA",IF(color_Celda(E682)=65535,"AMARILLO",IF(color_Celda(E682)=5296274,"VERDE",IF(color_Celda(E682)=16777215,"BLANCO","NO SE"))))</f>
        <v>ROSA</v>
      </c>
      <c r="W682" s="63" t="s">
        <v>2685</v>
      </c>
      <c r="X682" s="63" t="s">
        <v>3188</v>
      </c>
      <c r="Y682" s="63"/>
      <c r="Z682" s="118" t="s">
        <v>2869</v>
      </c>
      <c r="AA682" s="118" t="s">
        <v>1165</v>
      </c>
      <c r="AB682" s="118" t="s">
        <v>1173</v>
      </c>
      <c r="AC682" s="324" t="s">
        <v>1792</v>
      </c>
    </row>
    <row r="683" spans="1:29" ht="60" customHeight="1">
      <c r="A683" s="63">
        <v>672</v>
      </c>
      <c r="B683" s="65">
        <v>45189</v>
      </c>
      <c r="C683" s="70">
        <v>0.5395833333333333</v>
      </c>
      <c r="D683" s="63" t="s">
        <v>2849</v>
      </c>
      <c r="E683" s="64" t="s">
        <v>2850</v>
      </c>
      <c r="F683" s="63">
        <v>7</v>
      </c>
      <c r="G683" s="63" t="s">
        <v>283</v>
      </c>
      <c r="H683" s="208">
        <v>45204</v>
      </c>
      <c r="I683" s="65" t="s">
        <v>73</v>
      </c>
      <c r="J683" s="65" t="s">
        <v>78</v>
      </c>
      <c r="K683" s="63">
        <f>IFERROR(VLOOKUP(J683,Jueces!$A$1:$B$11,2,FALSE),"")</f>
        <v>8</v>
      </c>
      <c r="L683" s="63" t="s">
        <v>812</v>
      </c>
      <c r="M683" s="63" t="s">
        <v>701</v>
      </c>
      <c r="N683" s="63" t="s">
        <v>3184</v>
      </c>
      <c r="O683" s="63" t="str">
        <f ca="1">IF(H683&lt;&gt;"",IF(H683&lt;=TODAY(),"SI","NO"),"LIMBO")</f>
        <v>SI</v>
      </c>
      <c r="P683" s="63" t="str">
        <f>IF($P$1=H683,"DIASOL", "DIANOSOL")</f>
        <v>DIANOSOL</v>
      </c>
      <c r="Q683" s="63" t="s">
        <v>897</v>
      </c>
      <c r="R683" s="63" t="str">
        <f>VLOOKUP($Q683,Resultados!$A$1:$B$49,2,FALSE)</f>
        <v>Libertad</v>
      </c>
      <c r="S683" s="63" t="s">
        <v>1007</v>
      </c>
      <c r="T683" s="72" t="str">
        <f>IF(G683=$J$1,"SI","NO")</f>
        <v>NO</v>
      </c>
      <c r="U683" s="72"/>
      <c r="V683" s="7" t="str">
        <f ca="1">IF(color_Celda(E683)=12106214,"ROSA",IF(color_Celda(E683)=65535,"AMARILLO",IF(color_Celda(E683)=5296274,"VERDE",IF(color_Celda(E683)=16777215,"BLANCO","NO SE"))))</f>
        <v>ROSA</v>
      </c>
      <c r="W683" s="63" t="s">
        <v>2878</v>
      </c>
      <c r="X683" s="63" t="s">
        <v>2552</v>
      </c>
      <c r="Y683" s="63"/>
      <c r="Z683" s="118" t="s">
        <v>748</v>
      </c>
      <c r="AA683" s="118" t="s">
        <v>1165</v>
      </c>
      <c r="AB683" s="118" t="s">
        <v>1170</v>
      </c>
      <c r="AC683" s="324"/>
    </row>
    <row r="684" spans="1:29" ht="60" customHeight="1">
      <c r="A684" s="63">
        <v>681</v>
      </c>
      <c r="B684" s="65">
        <v>45191</v>
      </c>
      <c r="C684" s="70">
        <v>0.34097222222222223</v>
      </c>
      <c r="D684" s="63" t="s">
        <v>2886</v>
      </c>
      <c r="E684" s="64" t="s">
        <v>2887</v>
      </c>
      <c r="F684" s="63">
        <v>8</v>
      </c>
      <c r="G684" s="63" t="s">
        <v>1433</v>
      </c>
      <c r="H684" s="208">
        <v>45204</v>
      </c>
      <c r="I684" s="65" t="s">
        <v>749</v>
      </c>
      <c r="J684" s="65" t="s">
        <v>1221</v>
      </c>
      <c r="K684" s="63">
        <f>IFERROR(VLOOKUP(J684,Jueces!$A$1:$B$11,2,FALSE),"")</f>
        <v>6</v>
      </c>
      <c r="L684" s="63" t="s">
        <v>800</v>
      </c>
      <c r="M684" s="63" t="s">
        <v>885</v>
      </c>
      <c r="N684" s="63" t="s">
        <v>577</v>
      </c>
      <c r="O684" s="63" t="str">
        <f ca="1">IF(H684&lt;&gt;"",IF(H684&lt;=TODAY(),"SI","NO"),"LIMBO")</f>
        <v>SI</v>
      </c>
      <c r="P684" s="63" t="str">
        <f>IF($P$1=H684,"DIASOL", "DIANOSOL")</f>
        <v>DIANOSOL</v>
      </c>
      <c r="Q684" s="63" t="s">
        <v>151</v>
      </c>
      <c r="R684" s="63" t="str">
        <f>VLOOKUP($Q684,Resultados!$A$1:$B$49,2,FALSE)</f>
        <v>Prisión Preventiva</v>
      </c>
      <c r="S684" s="63" t="s">
        <v>749</v>
      </c>
      <c r="T684" s="72" t="str">
        <f>IF(G684=$J$1,"SI","NO")</f>
        <v>NO</v>
      </c>
      <c r="U684" s="72"/>
      <c r="V684" s="7" t="str">
        <f ca="1">IF(color_Celda(E684)=12106214,"ROSA",IF(color_Celda(E684)=65535,"AMARILLO",IF(color_Celda(E684)=5296274,"VERDE",IF(color_Celda(E684)=16777215,"BLANCO","NO SE"))))</f>
        <v>ROSA</v>
      </c>
      <c r="W684" s="63" t="s">
        <v>1579</v>
      </c>
      <c r="X684" s="63"/>
      <c r="Y684" s="63"/>
      <c r="Z684" s="118" t="s">
        <v>770</v>
      </c>
      <c r="AA684" s="118" t="s">
        <v>2828</v>
      </c>
      <c r="AB684" s="118" t="s">
        <v>1169</v>
      </c>
      <c r="AC684" s="324"/>
    </row>
    <row r="685" spans="1:29" ht="60" customHeight="1">
      <c r="A685" s="63">
        <v>674</v>
      </c>
      <c r="B685" s="65">
        <v>45190</v>
      </c>
      <c r="C685" s="70">
        <v>0.33333333333333331</v>
      </c>
      <c r="D685" s="63" t="s">
        <v>2853</v>
      </c>
      <c r="E685" s="64" t="s">
        <v>3160</v>
      </c>
      <c r="F685" s="63">
        <v>8</v>
      </c>
      <c r="G685" s="63" t="s">
        <v>43</v>
      </c>
      <c r="H685" s="208">
        <v>45204</v>
      </c>
      <c r="I685" s="65" t="s">
        <v>1083</v>
      </c>
      <c r="J685" s="65" t="s">
        <v>1216</v>
      </c>
      <c r="K685" s="63">
        <f>IFERROR(VLOOKUP(J685,Jueces!$A$1:$B$11,2,FALSE),"")</f>
        <v>1</v>
      </c>
      <c r="L685" s="63" t="s">
        <v>811</v>
      </c>
      <c r="M685" s="63" t="s">
        <v>1084</v>
      </c>
      <c r="N685" s="63" t="s">
        <v>3183</v>
      </c>
      <c r="O685" s="63" t="str">
        <f ca="1">IF(H685&lt;&gt;"",IF(H685&lt;=TODAY(),"SI","NO"),"LIMBO")</f>
        <v>SI</v>
      </c>
      <c r="P685" s="63" t="str">
        <f>IF($P$1=H685,"DIASOL", "DIANOSOL")</f>
        <v>DIANOSOL</v>
      </c>
      <c r="Q685" s="63" t="s">
        <v>900</v>
      </c>
      <c r="R685" s="63" t="str">
        <f>VLOOKUP($Q685,Resultados!$A$1:$B$49,2,FALSE)</f>
        <v>Libertad</v>
      </c>
      <c r="S685" s="63" t="s">
        <v>1570</v>
      </c>
      <c r="T685" s="72" t="str">
        <f>IF(G685=$J$1,"SI","NO")</f>
        <v>NO</v>
      </c>
      <c r="U685" s="72"/>
      <c r="V685" s="7" t="str">
        <f ca="1">IF(color_Celda(E685)=12106214,"ROSA",IF(color_Celda(E685)=65535,"AMARILLO",IF(color_Celda(E685)=5296274,"VERDE",IF(color_Celda(E685)=16777215,"BLANCO","NO SE"))))</f>
        <v>ROSA</v>
      </c>
      <c r="W685" s="63" t="s">
        <v>1127</v>
      </c>
      <c r="X685" s="63"/>
      <c r="Y685" s="63"/>
      <c r="Z685" s="118" t="s">
        <v>2869</v>
      </c>
      <c r="AA685" s="118" t="s">
        <v>2828</v>
      </c>
      <c r="AB685" s="118" t="s">
        <v>1171</v>
      </c>
      <c r="AC685" s="698"/>
    </row>
    <row r="686" spans="1:29" ht="60" customHeight="1">
      <c r="A686" s="63">
        <v>678</v>
      </c>
      <c r="B686" s="65">
        <v>45190</v>
      </c>
      <c r="C686" s="70">
        <v>0.38541666666666669</v>
      </c>
      <c r="D686" s="63" t="s">
        <v>2858</v>
      </c>
      <c r="E686" s="64" t="s">
        <v>2946</v>
      </c>
      <c r="F686" s="63">
        <v>8</v>
      </c>
      <c r="G686" s="63" t="s">
        <v>2753</v>
      </c>
      <c r="H686" s="208">
        <v>45204</v>
      </c>
      <c r="I686" s="65" t="s">
        <v>1083</v>
      </c>
      <c r="J686" s="65" t="s">
        <v>33</v>
      </c>
      <c r="K686" s="63">
        <f>IFERROR(VLOOKUP(J686,Jueces!$A$1:$B$11,2,FALSE),"")</f>
        <v>4</v>
      </c>
      <c r="L686" s="63" t="s">
        <v>806</v>
      </c>
      <c r="M686" s="63" t="s">
        <v>885</v>
      </c>
      <c r="N686" s="63" t="s">
        <v>3186</v>
      </c>
      <c r="O686" s="63" t="str">
        <f ca="1">IF(H686&lt;&gt;"",IF(H686&lt;=TODAY(),"SI","NO"),"LIMBO")</f>
        <v>SI</v>
      </c>
      <c r="P686" s="63" t="str">
        <f>IF($P$1=H686,"DIASOL", "DIANOSOL")</f>
        <v>DIANOSOL</v>
      </c>
      <c r="Q686" s="63" t="s">
        <v>907</v>
      </c>
      <c r="R686" s="63" t="str">
        <f>VLOOKUP($Q686,Resultados!$A$1:$B$49,2,FALSE)</f>
        <v>Suspensión de juicio a prueba</v>
      </c>
      <c r="S686" s="63" t="s">
        <v>1442</v>
      </c>
      <c r="T686" s="72" t="str">
        <f>IF(G686=$J$1,"SI","NO")</f>
        <v>NO</v>
      </c>
      <c r="U686" s="72"/>
      <c r="V686" s="7" t="str">
        <f ca="1">IF(color_Celda(E686)=12106214,"ROSA",IF(color_Celda(E686)=65535,"AMARILLO",IF(color_Celda(E686)=5296274,"VERDE",IF(color_Celda(E686)=16777215,"BLANCO","NO SE"))))</f>
        <v>ROSA</v>
      </c>
      <c r="W686" s="63" t="s">
        <v>3171</v>
      </c>
      <c r="X686" s="63" t="s">
        <v>2919</v>
      </c>
      <c r="Y686" s="63"/>
      <c r="Z686" s="118" t="s">
        <v>2843</v>
      </c>
      <c r="AA686" s="118" t="s">
        <v>1167</v>
      </c>
      <c r="AB686" s="118" t="s">
        <v>1173</v>
      </c>
      <c r="AC686" s="324"/>
    </row>
    <row r="687" spans="1:29" ht="60" customHeight="1">
      <c r="A687" s="63">
        <v>705</v>
      </c>
      <c r="B687" s="65">
        <v>45195</v>
      </c>
      <c r="C687" s="70">
        <v>0.53333333333333333</v>
      </c>
      <c r="D687" s="63" t="s">
        <v>2968</v>
      </c>
      <c r="E687" s="64" t="s">
        <v>2969</v>
      </c>
      <c r="F687" s="63">
        <v>8</v>
      </c>
      <c r="G687" s="63" t="s">
        <v>2752</v>
      </c>
      <c r="H687" s="208">
        <v>45205</v>
      </c>
      <c r="I687" s="65" t="s">
        <v>360</v>
      </c>
      <c r="J687" s="65" t="s">
        <v>2925</v>
      </c>
      <c r="K687" s="63" t="s">
        <v>1512</v>
      </c>
      <c r="L687" s="63" t="s">
        <v>806</v>
      </c>
      <c r="M687" s="63" t="s">
        <v>3000</v>
      </c>
      <c r="N687" s="63" t="s">
        <v>3196</v>
      </c>
      <c r="O687" s="63" t="str">
        <f ca="1">IF(H687&lt;&gt;"",IF(H687&lt;=TODAY(),"SI","NO"),"LIMBO")</f>
        <v>SI</v>
      </c>
      <c r="P687" s="63" t="str">
        <f>IF($P$1=H687,"DIASOL", "DIANOSOL")</f>
        <v>DIANOSOL</v>
      </c>
      <c r="Q687" s="63" t="s">
        <v>907</v>
      </c>
      <c r="R687" s="63" t="str">
        <f>VLOOKUP($Q687,Resultados!$A$1:$B$49,2,FALSE)</f>
        <v>Suspensión de juicio a prueba</v>
      </c>
      <c r="S687" s="63" t="s">
        <v>1012</v>
      </c>
      <c r="T687" s="72" t="str">
        <f>IF(G687=$J$1,"SI","NO")</f>
        <v>NO</v>
      </c>
      <c r="U687" s="72"/>
      <c r="V687" s="7" t="str">
        <f ca="1">IF(color_Celda(E687)=12106214,"ROSA",IF(color_Celda(E687)=65535,"AMARILLO",IF(color_Celda(E687)=5296274,"VERDE",IF(color_Celda(E687)=16777215,"BLANCO","NO SE"))))</f>
        <v>ROSA</v>
      </c>
      <c r="W687" s="63" t="s">
        <v>1328</v>
      </c>
      <c r="X687" s="63" t="s">
        <v>3197</v>
      </c>
      <c r="Y687" s="63"/>
      <c r="Z687" s="304" t="s">
        <v>1038</v>
      </c>
      <c r="AA687" s="118" t="s">
        <v>1165</v>
      </c>
      <c r="AB687" s="118" t="s">
        <v>1169</v>
      </c>
      <c r="AC687" s="324"/>
    </row>
    <row r="688" spans="1:29" ht="60" customHeight="1">
      <c r="A688" s="63">
        <v>665</v>
      </c>
      <c r="B688" s="65">
        <v>45189</v>
      </c>
      <c r="C688" s="70">
        <v>0.41041666666666665</v>
      </c>
      <c r="D688" s="63" t="s">
        <v>2818</v>
      </c>
      <c r="E688" s="64" t="s">
        <v>3169</v>
      </c>
      <c r="F688" s="63">
        <v>8</v>
      </c>
      <c r="G688" s="63" t="s">
        <v>568</v>
      </c>
      <c r="H688" s="208">
        <v>45205</v>
      </c>
      <c r="I688" s="65" t="s">
        <v>73</v>
      </c>
      <c r="J688" s="65" t="s">
        <v>33</v>
      </c>
      <c r="K688" s="63">
        <f>IFERROR(VLOOKUP(J688,Jueces!$A$1:$B$11,2,FALSE),"")</f>
        <v>4</v>
      </c>
      <c r="L688" s="63" t="s">
        <v>801</v>
      </c>
      <c r="M688" s="63" t="s">
        <v>885</v>
      </c>
      <c r="N688" s="63" t="s">
        <v>3198</v>
      </c>
      <c r="O688" s="63" t="str">
        <f ca="1">IF(H688&lt;&gt;"",IF(H688&lt;=TODAY(),"SI","NO"),"LIMBO")</f>
        <v>SI</v>
      </c>
      <c r="P688" s="63" t="str">
        <f>IF($P$1=H688,"DIASOL", "DIANOSOL")</f>
        <v>DIANOSOL</v>
      </c>
      <c r="Q688" s="63" t="s">
        <v>903</v>
      </c>
      <c r="R688" s="63" t="str">
        <f>VLOOKUP($Q688,Resultados!$A$1:$B$49,2,FALSE)</f>
        <v>Juicio Abreviado</v>
      </c>
      <c r="S688" s="63" t="s">
        <v>749</v>
      </c>
      <c r="T688" s="72" t="str">
        <f>IF(G688=$J$1,"SI","NO")</f>
        <v>NO</v>
      </c>
      <c r="U688" s="72"/>
      <c r="V688" s="7" t="str">
        <f ca="1">IF(color_Celda(E688)=12106214,"ROSA",IF(color_Celda(E688)=65535,"AMARILLO",IF(color_Celda(E688)=5296274,"VERDE",IF(color_Celda(E688)=16777215,"BLANCO","NO SE"))))</f>
        <v>ROSA</v>
      </c>
      <c r="W688" s="63" t="s">
        <v>1287</v>
      </c>
      <c r="X688" s="63"/>
      <c r="Y688" s="63"/>
      <c r="Z688" s="118" t="s">
        <v>2869</v>
      </c>
      <c r="AA688" s="118" t="s">
        <v>1165</v>
      </c>
      <c r="AB688" s="304" t="s">
        <v>1170</v>
      </c>
      <c r="AC688" s="324"/>
    </row>
    <row r="689" spans="1:29" ht="60" customHeight="1">
      <c r="A689" s="63">
        <v>693</v>
      </c>
      <c r="B689" s="65">
        <v>45191</v>
      </c>
      <c r="C689" s="70">
        <v>0.54791666666666672</v>
      </c>
      <c r="D689" s="63" t="s">
        <v>2911</v>
      </c>
      <c r="E689" s="64" t="s">
        <v>2912</v>
      </c>
      <c r="F689" s="63">
        <v>3</v>
      </c>
      <c r="G689" s="63" t="s">
        <v>1434</v>
      </c>
      <c r="H689" s="208">
        <v>45205</v>
      </c>
      <c r="I689" s="65" t="s">
        <v>73</v>
      </c>
      <c r="J689" s="65" t="s">
        <v>1723</v>
      </c>
      <c r="K689" s="63" t="s">
        <v>1321</v>
      </c>
      <c r="L689" s="63" t="s">
        <v>192</v>
      </c>
      <c r="M689" s="63" t="s">
        <v>2938</v>
      </c>
      <c r="N689" s="63" t="s">
        <v>3212</v>
      </c>
      <c r="O689" s="63" t="str">
        <f ca="1">IF(H689&lt;&gt;"",IF(H689&lt;=TODAY(),"SI","NO"),"LIMBO")</f>
        <v>SI</v>
      </c>
      <c r="P689" s="63" t="str">
        <f>IF($P$1=H689,"DIASOL", "DIANOSOL")</f>
        <v>DIANOSOL</v>
      </c>
      <c r="Q689" s="63" t="s">
        <v>911</v>
      </c>
      <c r="R689" s="63" t="str">
        <f>VLOOKUP($Q689,Resultados!$A$1:$B$49,2,FALSE)</f>
        <v>Prision domiciliaria</v>
      </c>
      <c r="S689" s="63" t="s">
        <v>1558</v>
      </c>
      <c r="T689" s="72" t="str">
        <f>IF(G689=$J$1,"SI","NO")</f>
        <v>NO</v>
      </c>
      <c r="U689" s="72"/>
      <c r="V689" s="7" t="str">
        <f ca="1">IF(color_Celda(E689)=12106214,"ROSA",IF(color_Celda(E689)=65535,"AMARILLO",IF(color_Celda(E689)=5296274,"VERDE",IF(color_Celda(E689)=16777215,"BLANCO","NO SE"))))</f>
        <v>ROSA</v>
      </c>
      <c r="W689" s="63" t="s">
        <v>3213</v>
      </c>
      <c r="X689" s="63" t="s">
        <v>3214</v>
      </c>
      <c r="Y689" s="63"/>
      <c r="Z689" s="118" t="s">
        <v>770</v>
      </c>
      <c r="AA689" s="118" t="s">
        <v>3187</v>
      </c>
      <c r="AB689" s="304" t="s">
        <v>1169</v>
      </c>
      <c r="AC689" s="324"/>
    </row>
    <row r="690" spans="1:29" ht="60" customHeight="1">
      <c r="A690" s="63">
        <v>703</v>
      </c>
      <c r="B690" s="65">
        <v>45195</v>
      </c>
      <c r="C690" s="70">
        <v>0.53611111111111109</v>
      </c>
      <c r="D690" s="63" t="s">
        <v>2966</v>
      </c>
      <c r="E690" s="64" t="s">
        <v>2996</v>
      </c>
      <c r="F690" s="63">
        <v>1</v>
      </c>
      <c r="G690" s="63" t="s">
        <v>2815</v>
      </c>
      <c r="H690" s="208">
        <v>45205</v>
      </c>
      <c r="I690" s="65" t="s">
        <v>73</v>
      </c>
      <c r="J690" s="65" t="s">
        <v>2925</v>
      </c>
      <c r="K690" s="63" t="s">
        <v>1916</v>
      </c>
      <c r="L690" s="63" t="s">
        <v>810</v>
      </c>
      <c r="M690" s="63" t="s">
        <v>711</v>
      </c>
      <c r="N690" s="63" t="s">
        <v>897</v>
      </c>
      <c r="O690" s="63" t="str">
        <f ca="1">IF(H690&lt;&gt;"",IF(H690&lt;=TODAY(),"SI","NO"),"LIMBO")</f>
        <v>SI</v>
      </c>
      <c r="P690" s="63" t="str">
        <f>IF($P$1=H690,"DIASOL", "DIANOSOL")</f>
        <v>DIANOSOL</v>
      </c>
      <c r="Q690" s="63" t="s">
        <v>897</v>
      </c>
      <c r="R690" s="63" t="str">
        <f>VLOOKUP($Q690,Resultados!$A$1:$B$49,2,FALSE)</f>
        <v>Libertad</v>
      </c>
      <c r="S690" s="63" t="s">
        <v>1130</v>
      </c>
      <c r="T690" s="72" t="str">
        <f>IF(G690=$J$1,"SI","NO")</f>
        <v>NO</v>
      </c>
      <c r="U690" s="72"/>
      <c r="V690" s="7" t="str">
        <f ca="1">IF(color_Celda(E690)=12106214,"ROSA",IF(color_Celda(E690)=65535,"AMARILLO",IF(color_Celda(E690)=5296274,"VERDE",IF(color_Celda(E690)=16777215,"BLANCO","NO SE"))))</f>
        <v>ROSA</v>
      </c>
      <c r="W690" s="70">
        <v>0.39583333333333331</v>
      </c>
      <c r="X690" s="63" t="s">
        <v>3199</v>
      </c>
      <c r="Y690" s="63"/>
      <c r="Z690" s="118" t="s">
        <v>2843</v>
      </c>
      <c r="AA690" s="118" t="s">
        <v>2828</v>
      </c>
      <c r="AB690" s="304" t="s">
        <v>1171</v>
      </c>
      <c r="AC690" s="324"/>
    </row>
    <row r="691" spans="1:29" ht="60" customHeight="1">
      <c r="A691" s="63">
        <v>706</v>
      </c>
      <c r="B691" s="65">
        <v>45195</v>
      </c>
      <c r="C691" s="70">
        <v>0.54722222222222217</v>
      </c>
      <c r="D691" s="63" t="s">
        <v>2971</v>
      </c>
      <c r="E691" s="64" t="s">
        <v>3191</v>
      </c>
      <c r="F691" s="63">
        <v>8</v>
      </c>
      <c r="G691" s="63" t="s">
        <v>283</v>
      </c>
      <c r="H691" s="208">
        <v>45205</v>
      </c>
      <c r="I691" s="65" t="s">
        <v>749</v>
      </c>
      <c r="J691" s="65" t="s">
        <v>1221</v>
      </c>
      <c r="K691" s="63">
        <f>IFERROR(VLOOKUP(J691,Jueces!$A$1:$B$11,2,FALSE),"")</f>
        <v>6</v>
      </c>
      <c r="L691" s="63" t="s">
        <v>790</v>
      </c>
      <c r="M691" s="63" t="s">
        <v>767</v>
      </c>
      <c r="N691" s="63" t="s">
        <v>3205</v>
      </c>
      <c r="O691" s="63" t="str">
        <f ca="1">IF(H691&lt;&gt;"",IF(H691&lt;=TODAY(),"SI","NO"),"LIMBO")</f>
        <v>SI</v>
      </c>
      <c r="P691" s="63" t="str">
        <f>IF($P$1=H691,"DIASOL", "DIANOSOL")</f>
        <v>DIANOSOL</v>
      </c>
      <c r="Q691" s="63" t="s">
        <v>897</v>
      </c>
      <c r="R691" s="63" t="str">
        <f>VLOOKUP($Q691,Resultados!$A$1:$B$49,2,FALSE)</f>
        <v>Libertad</v>
      </c>
      <c r="S691" s="63" t="s">
        <v>1061</v>
      </c>
      <c r="T691" s="72" t="str">
        <f>IF(G691=$J$1,"SI","NO")</f>
        <v>NO</v>
      </c>
      <c r="U691" s="72"/>
      <c r="V691" s="7" t="str">
        <f ca="1">IF(color_Celda(E691)=12106214,"ROSA",IF(color_Celda(E691)=65535,"AMARILLO",IF(color_Celda(E691)=5296274,"VERDE",IF(color_Celda(E691)=16777215,"BLANCO","NO SE"))))</f>
        <v>ROSA</v>
      </c>
      <c r="W691" s="63" t="s">
        <v>1442</v>
      </c>
      <c r="X691" s="63" t="s">
        <v>3206</v>
      </c>
      <c r="Y691" s="63"/>
      <c r="Z691" s="118" t="s">
        <v>1039</v>
      </c>
      <c r="AA691" s="118" t="s">
        <v>1165</v>
      </c>
      <c r="AB691" s="304" t="s">
        <v>1173</v>
      </c>
      <c r="AC691" s="324"/>
    </row>
    <row r="692" spans="1:29" ht="60" customHeight="1">
      <c r="A692" s="63">
        <v>686</v>
      </c>
      <c r="B692" s="65">
        <v>45190</v>
      </c>
      <c r="C692" s="70">
        <v>0.44097222222222227</v>
      </c>
      <c r="D692" s="63" t="s">
        <v>2895</v>
      </c>
      <c r="E692" s="64" t="s">
        <v>2939</v>
      </c>
      <c r="F692" s="63">
        <v>8</v>
      </c>
      <c r="G692" s="63" t="s">
        <v>2766</v>
      </c>
      <c r="H692" s="208">
        <v>45205</v>
      </c>
      <c r="I692" s="65" t="s">
        <v>1083</v>
      </c>
      <c r="J692" s="65" t="s">
        <v>1217</v>
      </c>
      <c r="K692" s="63" t="s">
        <v>1916</v>
      </c>
      <c r="L692" s="63" t="s">
        <v>806</v>
      </c>
      <c r="M692" s="63" t="s">
        <v>885</v>
      </c>
      <c r="N692" s="63" t="s">
        <v>897</v>
      </c>
      <c r="O692" s="63" t="str">
        <f ca="1">IF(H692&lt;&gt;"",IF(H692&lt;=TODAY(),"SI","NO"),"LIMBO")</f>
        <v>SI</v>
      </c>
      <c r="P692" s="63" t="str">
        <f>IF($P$1=H692,"DIASOL", "DIANOSOL")</f>
        <v>DIANOSOL</v>
      </c>
      <c r="Q692" s="63" t="s">
        <v>897</v>
      </c>
      <c r="R692" s="63" t="str">
        <f>VLOOKUP($Q692,Resultados!$A$1:$B$49,2,FALSE)</f>
        <v>Libertad</v>
      </c>
      <c r="S692" s="63" t="s">
        <v>2366</v>
      </c>
      <c r="T692" s="72" t="str">
        <f>IF(G692=$J$1,"SI","NO")</f>
        <v>NO</v>
      </c>
      <c r="U692" s="72"/>
      <c r="V692" s="7" t="str">
        <f ca="1">IF(color_Celda(E692)=12106214,"ROSA",IF(color_Celda(E692)=65535,"AMARILLO",IF(color_Celda(E692)=5296274,"VERDE",IF(color_Celda(E692)=16777215,"BLANCO","NO SE"))))</f>
        <v>ROSA</v>
      </c>
      <c r="W692" s="63" t="s">
        <v>1437</v>
      </c>
      <c r="X692" s="63"/>
      <c r="Y692" s="63"/>
      <c r="Z692" s="118" t="s">
        <v>2843</v>
      </c>
      <c r="AA692" s="118" t="s">
        <v>1167</v>
      </c>
      <c r="AB692" s="304" t="s">
        <v>1170</v>
      </c>
      <c r="AC692" s="324"/>
    </row>
    <row r="693" spans="1:29" ht="60" customHeight="1">
      <c r="A693" s="63">
        <v>690</v>
      </c>
      <c r="B693" s="65">
        <v>45191</v>
      </c>
      <c r="C693" s="70">
        <v>0.54375000000000007</v>
      </c>
      <c r="D693" s="63" t="s">
        <v>2906</v>
      </c>
      <c r="E693" s="64" t="s">
        <v>2907</v>
      </c>
      <c r="F693" s="63">
        <v>1</v>
      </c>
      <c r="G693" s="63" t="s">
        <v>1433</v>
      </c>
      <c r="H693" s="208">
        <v>45205</v>
      </c>
      <c r="I693" s="65" t="s">
        <v>1083</v>
      </c>
      <c r="J693" s="65" t="s">
        <v>33</v>
      </c>
      <c r="K693" s="63">
        <f>IFERROR(VLOOKUP(J693,Jueces!$A$1:$B$11,2,FALSE),"")</f>
        <v>4</v>
      </c>
      <c r="L693" s="63" t="s">
        <v>508</v>
      </c>
      <c r="M693" s="63" t="s">
        <v>711</v>
      </c>
      <c r="N693" s="63" t="s">
        <v>577</v>
      </c>
      <c r="O693" s="63" t="str">
        <f ca="1">IF(H693&lt;&gt;"",IF(H693&lt;=TODAY(),"SI","NO"),"LIMBO")</f>
        <v>SI</v>
      </c>
      <c r="P693" s="63" t="str">
        <f>IF($P$1=H693,"DIASOL", "DIANOSOL")</f>
        <v>DIANOSOL</v>
      </c>
      <c r="Q693" s="63" t="s">
        <v>151</v>
      </c>
      <c r="R693" s="63" t="str">
        <f>VLOOKUP($Q693,Resultados!$A$1:$B$49,2,FALSE)</f>
        <v>Prisión Preventiva</v>
      </c>
      <c r="S693" s="63" t="s">
        <v>76</v>
      </c>
      <c r="T693" s="72" t="str">
        <f>IF(G693=$J$1,"SI","NO")</f>
        <v>NO</v>
      </c>
      <c r="U693" s="72"/>
      <c r="V693" s="7" t="str">
        <f ca="1">IF(color_Celda(E693)=12106214,"ROSA",IF(color_Celda(E693)=65535,"AMARILLO",IF(color_Celda(E693)=5296274,"VERDE",IF(color_Celda(E693)=16777215,"BLANCO","NO SE"))))</f>
        <v>ROSA</v>
      </c>
      <c r="W693" s="63" t="s">
        <v>2878</v>
      </c>
      <c r="X693" s="63"/>
      <c r="Y693" s="63"/>
      <c r="Z693" s="118" t="s">
        <v>2869</v>
      </c>
      <c r="AA693" s="118" t="s">
        <v>1165</v>
      </c>
      <c r="AB693" s="304" t="s">
        <v>1169</v>
      </c>
      <c r="AC693" s="324"/>
    </row>
    <row r="694" spans="1:29" ht="60" customHeight="1">
      <c r="A694" s="63">
        <v>719</v>
      </c>
      <c r="B694" s="65">
        <v>45196</v>
      </c>
      <c r="C694" s="70">
        <v>0.35347222222222219</v>
      </c>
      <c r="D694" s="63" t="s">
        <v>3032</v>
      </c>
      <c r="E694" s="64" t="s">
        <v>3033</v>
      </c>
      <c r="F694" s="63">
        <v>8</v>
      </c>
      <c r="G694" s="63" t="s">
        <v>43</v>
      </c>
      <c r="H694" s="208">
        <v>45205</v>
      </c>
      <c r="I694" s="65" t="s">
        <v>1083</v>
      </c>
      <c r="J694" s="65" t="s">
        <v>35</v>
      </c>
      <c r="K694" s="63">
        <f>IFERROR(VLOOKUP(J694,Jueces!$A$1:$B$11,2,FALSE),"")</f>
        <v>3</v>
      </c>
      <c r="L694" s="63" t="s">
        <v>809</v>
      </c>
      <c r="M694" s="63" t="s">
        <v>1084</v>
      </c>
      <c r="N694" s="63" t="s">
        <v>577</v>
      </c>
      <c r="O694" s="63" t="str">
        <f ca="1">IF(H694&lt;&gt;"",IF(H694&lt;=TODAY(),"SI","NO"),"LIMBO")</f>
        <v>SI</v>
      </c>
      <c r="P694" s="63" t="str">
        <f>IF($P$1=H694,"DIASOL", "DIANOSOL")</f>
        <v>DIANOSOL</v>
      </c>
      <c r="Q694" s="63" t="s">
        <v>151</v>
      </c>
      <c r="R694" s="63" t="str">
        <f>VLOOKUP($Q694,Resultados!$A$1:$B$49,2,FALSE)</f>
        <v>Prisión Preventiva</v>
      </c>
      <c r="S694" s="63" t="s">
        <v>1004</v>
      </c>
      <c r="T694" s="72" t="str">
        <f>IF(G694=$J$1,"SI","NO")</f>
        <v>NO</v>
      </c>
      <c r="U694" s="72"/>
      <c r="V694" s="7" t="str">
        <f ca="1">IF(color_Celda(E694)=12106214,"ROSA",IF(color_Celda(E694)=65535,"AMARILLO",IF(color_Celda(E694)=5296274,"VERDE",IF(color_Celda(E694)=16777215,"BLANCO","NO SE"))))</f>
        <v>ROSA</v>
      </c>
      <c r="W694" s="63" t="s">
        <v>2878</v>
      </c>
      <c r="X694" s="63" t="s">
        <v>2919</v>
      </c>
      <c r="Y694" s="63"/>
      <c r="Z694" s="118" t="s">
        <v>770</v>
      </c>
      <c r="AA694" s="118" t="s">
        <v>2828</v>
      </c>
      <c r="AB694" s="304" t="s">
        <v>1171</v>
      </c>
      <c r="AC694" s="324"/>
    </row>
    <row r="695" spans="1:29" ht="60" customHeight="1">
      <c r="A695" s="63">
        <v>695</v>
      </c>
      <c r="B695" s="65">
        <v>45191</v>
      </c>
      <c r="C695" s="70">
        <v>0.55069444444444449</v>
      </c>
      <c r="D695" s="63" t="s">
        <v>2915</v>
      </c>
      <c r="E695" s="64" t="s">
        <v>2970</v>
      </c>
      <c r="F695" s="63">
        <v>8</v>
      </c>
      <c r="G695" s="63" t="s">
        <v>1435</v>
      </c>
      <c r="H695" s="208">
        <v>45205</v>
      </c>
      <c r="I695" s="65" t="s">
        <v>1206</v>
      </c>
      <c r="J695" s="65" t="s">
        <v>1216</v>
      </c>
      <c r="K695" s="63" t="s">
        <v>1916</v>
      </c>
      <c r="L695" s="63" t="s">
        <v>806</v>
      </c>
      <c r="M695" s="63" t="s">
        <v>1084</v>
      </c>
      <c r="N695" s="63" t="s">
        <v>2178</v>
      </c>
      <c r="O695" s="63" t="str">
        <f ca="1">IF(H695&lt;&gt;"",IF(H695&lt;=TODAY(),"SI","NO"),"LIMBO")</f>
        <v>SI</v>
      </c>
      <c r="P695" s="63" t="str">
        <f>IF($P$1=H695,"DIASOL", "DIANOSOL")</f>
        <v>DIANOSOL</v>
      </c>
      <c r="Q695" s="63" t="s">
        <v>902</v>
      </c>
      <c r="R695" s="63" t="str">
        <f>VLOOKUP($Q695,Resultados!$A$1:$B$49,2,FALSE)</f>
        <v>Juicio Abreviado</v>
      </c>
      <c r="S695" s="63" t="s">
        <v>2259</v>
      </c>
      <c r="T695" s="72" t="str">
        <f>IF(G695=$J$1,"SI","NO")</f>
        <v>SI</v>
      </c>
      <c r="U695" s="72"/>
      <c r="V695" s="7" t="str">
        <f ca="1">IF(color_Celda(E695)=12106214,"ROSA",IF(color_Celda(E695)=65535,"AMARILLO",IF(color_Celda(E695)=5296274,"VERDE",IF(color_Celda(E695)=16777215,"BLANCO","NO SE"))))</f>
        <v>ROSA</v>
      </c>
      <c r="W695" s="63" t="s">
        <v>3203</v>
      </c>
      <c r="X695" s="63" t="s">
        <v>3204</v>
      </c>
      <c r="Y695" s="63"/>
      <c r="Z695" s="118" t="s">
        <v>748</v>
      </c>
      <c r="AA695" s="118" t="s">
        <v>1167</v>
      </c>
      <c r="AB695" s="304" t="s">
        <v>1173</v>
      </c>
      <c r="AC695" s="324"/>
    </row>
    <row r="696" spans="1:29" ht="60" customHeight="1">
      <c r="A696" s="63">
        <v>687</v>
      </c>
      <c r="B696" s="65">
        <v>45190</v>
      </c>
      <c r="C696" s="70">
        <v>0.53333333333333333</v>
      </c>
      <c r="D696" s="63" t="s">
        <v>2896</v>
      </c>
      <c r="E696" s="64" t="s">
        <v>2974</v>
      </c>
      <c r="F696" s="63">
        <v>8</v>
      </c>
      <c r="G696" s="63" t="s">
        <v>2751</v>
      </c>
      <c r="H696" s="208">
        <v>45205</v>
      </c>
      <c r="I696" s="65" t="s">
        <v>228</v>
      </c>
      <c r="J696" s="65" t="s">
        <v>78</v>
      </c>
      <c r="K696" s="63">
        <f>IFERROR(VLOOKUP(J696,Jueces!$A$1:$B$11,2,FALSE),"")</f>
        <v>8</v>
      </c>
      <c r="L696" s="63" t="s">
        <v>800</v>
      </c>
      <c r="M696" s="63" t="s">
        <v>1281</v>
      </c>
      <c r="N696" s="63" t="s">
        <v>897</v>
      </c>
      <c r="O696" s="63" t="str">
        <f ca="1">IF(H696&lt;&gt;"",IF(H696&lt;=TODAY(),"SI","NO"),"LIMBO")</f>
        <v>SI</v>
      </c>
      <c r="P696" s="63" t="str">
        <f>IF($P$1=H696,"DIASOL", "DIANOSOL")</f>
        <v>DIANOSOL</v>
      </c>
      <c r="Q696" s="63" t="s">
        <v>897</v>
      </c>
      <c r="R696" s="63" t="str">
        <f>VLOOKUP($Q696,Resultados!$A$1:$B$49,2,FALSE)</f>
        <v>Libertad</v>
      </c>
      <c r="S696" s="63" t="s">
        <v>3201</v>
      </c>
      <c r="T696" s="72" t="str">
        <f>IF(G696=$J$1,"SI","NO")</f>
        <v>NO</v>
      </c>
      <c r="U696" s="72"/>
      <c r="V696" s="7" t="str">
        <f ca="1">IF(color_Celda(E696)=12106214,"ROSA",IF(color_Celda(E696)=65535,"AMARILLO",IF(color_Celda(E696)=5296274,"VERDE",IF(color_Celda(E696)=16777215,"BLANCO","NO SE"))))</f>
        <v>ROSA</v>
      </c>
      <c r="W696" s="63" t="s">
        <v>1237</v>
      </c>
      <c r="X696" s="63" t="s">
        <v>3202</v>
      </c>
      <c r="Y696" s="63"/>
      <c r="Z696" s="118" t="s">
        <v>748</v>
      </c>
      <c r="AA696" s="118" t="s">
        <v>2828</v>
      </c>
      <c r="AB696" s="304" t="s">
        <v>1170</v>
      </c>
      <c r="AC696" s="324"/>
    </row>
    <row r="697" spans="1:29" ht="60" customHeight="1">
      <c r="A697" s="63">
        <v>689</v>
      </c>
      <c r="B697" s="65">
        <v>45191</v>
      </c>
      <c r="C697" s="70">
        <v>0.48819444444444443</v>
      </c>
      <c r="D697" s="63" t="s">
        <v>2903</v>
      </c>
      <c r="E697" s="64" t="s">
        <v>2940</v>
      </c>
      <c r="F697" s="63">
        <v>8</v>
      </c>
      <c r="G697" s="63" t="s">
        <v>29</v>
      </c>
      <c r="H697" s="208">
        <v>45208</v>
      </c>
      <c r="I697" s="65" t="s">
        <v>73</v>
      </c>
      <c r="J697" s="65" t="s">
        <v>1217</v>
      </c>
      <c r="K697" s="63" t="s">
        <v>1916</v>
      </c>
      <c r="L697" s="63" t="s">
        <v>806</v>
      </c>
      <c r="M697" s="63" t="s">
        <v>885</v>
      </c>
      <c r="N697" s="63" t="s">
        <v>3215</v>
      </c>
      <c r="O697" s="63" t="str">
        <f ca="1">IF(H697&lt;&gt;"",IF(H697&lt;=TODAY(),"SI","NO"),"LIMBO")</f>
        <v>SI</v>
      </c>
      <c r="P697" s="63" t="str">
        <f>IF($P$1=H697,"DIASOL", "DIANOSOL")</f>
        <v>DIANOSOL</v>
      </c>
      <c r="Q697" s="63" t="s">
        <v>151</v>
      </c>
      <c r="R697" s="63" t="str">
        <f>VLOOKUP($Q697,Resultados!$A$1:$B$49,2,FALSE)</f>
        <v>Prisión Preventiva</v>
      </c>
      <c r="S697" s="63" t="s">
        <v>686</v>
      </c>
      <c r="T697" s="72" t="str">
        <f>IF(G697=$J$1,"SI","NO")</f>
        <v>NO</v>
      </c>
      <c r="U697" s="72"/>
      <c r="V697" s="7" t="str">
        <f ca="1">IF(color_Celda(E697)=12106214,"ROSA",IF(color_Celda(E697)=65535,"AMARILLO",IF(color_Celda(E697)=5296274,"VERDE",IF(color_Celda(E697)=16777215,"BLANCO","NO SE"))))</f>
        <v>ROSA</v>
      </c>
      <c r="W697" s="63" t="s">
        <v>1062</v>
      </c>
      <c r="X697" s="63" t="s">
        <v>3216</v>
      </c>
      <c r="Y697" s="63"/>
      <c r="Z697" s="118" t="s">
        <v>2869</v>
      </c>
      <c r="AA697" s="118" t="s">
        <v>1165</v>
      </c>
      <c r="AB697" s="118" t="s">
        <v>1169</v>
      </c>
      <c r="AC697" s="324"/>
    </row>
    <row r="698" spans="1:29" ht="60" customHeight="1">
      <c r="A698" s="63">
        <v>696</v>
      </c>
      <c r="B698" s="65">
        <v>45191</v>
      </c>
      <c r="C698" s="70">
        <v>0.56180555555555556</v>
      </c>
      <c r="D698" s="63" t="s">
        <v>2916</v>
      </c>
      <c r="E698" s="64" t="s">
        <v>2917</v>
      </c>
      <c r="F698" s="63">
        <v>1</v>
      </c>
      <c r="G698" s="63" t="s">
        <v>43</v>
      </c>
      <c r="H698" s="208">
        <v>45208</v>
      </c>
      <c r="I698" s="65" t="s">
        <v>73</v>
      </c>
      <c r="J698" s="65" t="s">
        <v>78</v>
      </c>
      <c r="K698" s="63">
        <f>IFERROR(VLOOKUP(J698,Jueces!$A$1:$B$11,2,FALSE),"")</f>
        <v>8</v>
      </c>
      <c r="L698" s="63" t="s">
        <v>569</v>
      </c>
      <c r="M698" s="63" t="s">
        <v>711</v>
      </c>
      <c r="N698" s="63" t="s">
        <v>3220</v>
      </c>
      <c r="O698" s="63" t="str">
        <f ca="1">IF(H698&lt;&gt;"",IF(H698&lt;=TODAY(),"SI","NO"),"LIMBO")</f>
        <v>SI</v>
      </c>
      <c r="P698" s="63" t="str">
        <f>IF($P$1=H698,"DIASOL", "DIANOSOL")</f>
        <v>DIANOSOL</v>
      </c>
      <c r="Q698" s="63" t="s">
        <v>902</v>
      </c>
      <c r="R698" s="63" t="str">
        <f>VLOOKUP($Q698,Resultados!$A$1:$B$49,2,FALSE)</f>
        <v>Juicio Abreviado</v>
      </c>
      <c r="S698" s="63" t="s">
        <v>1062</v>
      </c>
      <c r="T698" s="72" t="str">
        <f>IF(G698=$J$1,"SI","NO")</f>
        <v>NO</v>
      </c>
      <c r="U698" s="72"/>
      <c r="V698" s="7" t="str">
        <f ca="1">IF(color_Celda(E698)=12106214,"ROSA",IF(color_Celda(E698)=65535,"AMARILLO",IF(color_Celda(E698)=5296274,"VERDE",IF(color_Celda(E698)=16777215,"BLANCO","NO SE"))))</f>
        <v>ROSA</v>
      </c>
      <c r="W698" s="63" t="s">
        <v>1601</v>
      </c>
      <c r="X698" s="63" t="s">
        <v>3221</v>
      </c>
      <c r="Y698" s="63"/>
      <c r="Z698" s="118" t="s">
        <v>2843</v>
      </c>
      <c r="AA698" s="118" t="s">
        <v>2828</v>
      </c>
      <c r="AB698" s="118" t="s">
        <v>1171</v>
      </c>
      <c r="AC698" s="324"/>
    </row>
    <row r="699" spans="1:29" ht="60" customHeight="1">
      <c r="A699" s="63">
        <v>714</v>
      </c>
      <c r="B699" s="65">
        <v>45197</v>
      </c>
      <c r="C699" s="63" t="s">
        <v>1225</v>
      </c>
      <c r="D699" s="63" t="s">
        <v>2579</v>
      </c>
      <c r="E699" s="64" t="s">
        <v>3031</v>
      </c>
      <c r="F699" s="63">
        <v>7</v>
      </c>
      <c r="G699" s="63" t="s">
        <v>2753</v>
      </c>
      <c r="H699" s="208">
        <v>45208</v>
      </c>
      <c r="I699" s="65" t="s">
        <v>73</v>
      </c>
      <c r="J699" s="65" t="s">
        <v>35</v>
      </c>
      <c r="K699" s="63">
        <f>IFERROR(VLOOKUP(J699,Jueces!$A$1:$B$11,2,FALSE),"")</f>
        <v>3</v>
      </c>
      <c r="L699" s="63" t="s">
        <v>800</v>
      </c>
      <c r="M699" s="63" t="s">
        <v>725</v>
      </c>
      <c r="N699" s="63" t="s">
        <v>911</v>
      </c>
      <c r="O699" s="63" t="str">
        <f ca="1">IF(H699&lt;&gt;"",IF(H699&lt;=TODAY(),"SI","NO"),"LIMBO")</f>
        <v>SI</v>
      </c>
      <c r="P699" s="63" t="str">
        <f>IF($P$1=H699,"DIASOL", "DIANOSOL")</f>
        <v>DIANOSOL</v>
      </c>
      <c r="Q699" s="63" t="s">
        <v>911</v>
      </c>
      <c r="R699" s="63" t="str">
        <f>VLOOKUP($Q699,Resultados!$A$1:$B$49,2,FALSE)</f>
        <v>Prision domiciliaria</v>
      </c>
      <c r="S699" s="63" t="s">
        <v>1083</v>
      </c>
      <c r="T699" s="72" t="str">
        <f>IF(G699=$J$1,"SI","NO")</f>
        <v>NO</v>
      </c>
      <c r="U699" s="72"/>
      <c r="V699" s="7" t="str">
        <f ca="1">IF(color_Celda(E699)=12106214,"ROSA",IF(color_Celda(E699)=65535,"AMARILLO",IF(color_Celda(E699)=5296274,"VERDE",IF(color_Celda(E699)=16777215,"BLANCO","NO SE"))))</f>
        <v>ROSA</v>
      </c>
      <c r="W699" s="63" t="s">
        <v>3218</v>
      </c>
      <c r="X699" s="63" t="s">
        <v>3219</v>
      </c>
      <c r="Y699" s="63"/>
      <c r="Z699" s="118" t="s">
        <v>1038</v>
      </c>
      <c r="AA699" s="118" t="s">
        <v>1167</v>
      </c>
      <c r="AB699" s="118" t="s">
        <v>1173</v>
      </c>
      <c r="AC699" s="324"/>
    </row>
    <row r="700" spans="1:29" ht="60" customHeight="1">
      <c r="A700" s="63">
        <v>718</v>
      </c>
      <c r="B700" s="65">
        <v>45197</v>
      </c>
      <c r="C700" s="63" t="s">
        <v>2929</v>
      </c>
      <c r="D700" s="63" t="s">
        <v>3010</v>
      </c>
      <c r="E700" s="64" t="s">
        <v>3030</v>
      </c>
      <c r="F700" s="63">
        <v>1</v>
      </c>
      <c r="G700" s="63" t="s">
        <v>283</v>
      </c>
      <c r="H700" s="208">
        <v>45208</v>
      </c>
      <c r="I700" s="65" t="s">
        <v>73</v>
      </c>
      <c r="J700" s="65" t="s">
        <v>33</v>
      </c>
      <c r="K700" s="63">
        <f>IFERROR(VLOOKUP(J700,Jueces!$A$1:$B$11,2,FALSE),"")</f>
        <v>4</v>
      </c>
      <c r="L700" s="63" t="s">
        <v>807</v>
      </c>
      <c r="M700" s="63" t="s">
        <v>712</v>
      </c>
      <c r="N700" s="63" t="s">
        <v>3217</v>
      </c>
      <c r="O700" s="63" t="str">
        <f ca="1">IF(H700&lt;&gt;"",IF(H700&lt;=TODAY(),"SI","NO"),"LIMBO")</f>
        <v>SI</v>
      </c>
      <c r="P700" s="63" t="str">
        <f>IF($P$1=H700,"DIASOL", "DIANOSOL")</f>
        <v>DIANOSOL</v>
      </c>
      <c r="Q700" s="63" t="s">
        <v>902</v>
      </c>
      <c r="R700" s="63" t="str">
        <f>VLOOKUP($Q700,Resultados!$A$1:$B$49,2,FALSE)</f>
        <v>Juicio Abreviado</v>
      </c>
      <c r="S700" s="63" t="s">
        <v>1006</v>
      </c>
      <c r="T700" s="72" t="str">
        <f>IF(G700=$J$1,"SI","NO")</f>
        <v>NO</v>
      </c>
      <c r="U700" s="72"/>
      <c r="V700" s="7" t="str">
        <f ca="1">IF(color_Celda(E700)=12106214,"ROSA",IF(color_Celda(E700)=65535,"AMARILLO",IF(color_Celda(E700)=5296274,"VERDE",IF(color_Celda(E700)=16777215,"BLANCO","NO SE"))))</f>
        <v>ROSA</v>
      </c>
      <c r="W700" s="63" t="s">
        <v>1120</v>
      </c>
      <c r="X700" s="63" t="s">
        <v>2870</v>
      </c>
      <c r="Y700" s="63"/>
      <c r="Z700" s="118" t="s">
        <v>770</v>
      </c>
      <c r="AA700" s="118" t="s">
        <v>2828</v>
      </c>
      <c r="AB700" s="118" t="s">
        <v>1170</v>
      </c>
      <c r="AC700" s="324"/>
    </row>
    <row r="701" spans="1:29" ht="60" customHeight="1">
      <c r="A701" s="63">
        <v>726</v>
      </c>
      <c r="B701" s="65">
        <v>45197</v>
      </c>
      <c r="C701" s="70">
        <v>0.42638888888888887</v>
      </c>
      <c r="D701" s="63" t="s">
        <v>3051</v>
      </c>
      <c r="E701" s="64" t="s">
        <v>3069</v>
      </c>
      <c r="F701" s="63">
        <v>8</v>
      </c>
      <c r="G701" s="63" t="s">
        <v>1435</v>
      </c>
      <c r="H701" s="208">
        <v>45208</v>
      </c>
      <c r="I701" s="65" t="s">
        <v>73</v>
      </c>
      <c r="J701" s="65" t="s">
        <v>1216</v>
      </c>
      <c r="K701" s="63">
        <f>IFERROR(VLOOKUP(J701,Jueces!$A$1:$B$11,2,FALSE),"")</f>
        <v>1</v>
      </c>
      <c r="L701" s="63" t="s">
        <v>827</v>
      </c>
      <c r="M701" s="63" t="s">
        <v>783</v>
      </c>
      <c r="N701" s="63" t="s">
        <v>2952</v>
      </c>
      <c r="O701" s="63" t="str">
        <f ca="1">IF(H701&lt;&gt;"",IF(H701&lt;=TODAY(),"SI","NO"),"LIMBO")</f>
        <v>SI</v>
      </c>
      <c r="P701" s="63" t="str">
        <f>IF($P$1=H701,"DIASOL", "DIANOSOL")</f>
        <v>DIANOSOL</v>
      </c>
      <c r="Q701" s="63" t="s">
        <v>903</v>
      </c>
      <c r="R701" s="63" t="str">
        <f>VLOOKUP($Q701,Resultados!$A$1:$B$49,2,FALSE)</f>
        <v>Juicio Abreviado</v>
      </c>
      <c r="S701" s="63" t="s">
        <v>1013</v>
      </c>
      <c r="T701" s="72" t="str">
        <f>IF(G701=$J$1,"SI","NO")</f>
        <v>SI</v>
      </c>
      <c r="U701" s="72"/>
      <c r="V701" s="7" t="str">
        <f ca="1">IF(color_Celda(E701)=12106214,"ROSA",IF(color_Celda(E701)=65535,"AMARILLO",IF(color_Celda(E701)=5296274,"VERDE",IF(color_Celda(E701)=16777215,"BLANCO","NO SE"))))</f>
        <v>ROSA</v>
      </c>
      <c r="W701" s="63" t="s">
        <v>1530</v>
      </c>
      <c r="X701" s="63" t="s">
        <v>2235</v>
      </c>
      <c r="Y701" s="63"/>
      <c r="Z701" s="118" t="s">
        <v>743</v>
      </c>
      <c r="AA701" s="118" t="s">
        <v>1165</v>
      </c>
      <c r="AB701" s="118" t="s">
        <v>1169</v>
      </c>
      <c r="AC701" s="324"/>
    </row>
    <row r="702" spans="1:29" ht="60" customHeight="1">
      <c r="A702" s="63">
        <v>701</v>
      </c>
      <c r="B702" s="65">
        <v>45195</v>
      </c>
      <c r="C702" s="70">
        <v>0.47638888888888892</v>
      </c>
      <c r="D702" s="63" t="s">
        <v>2962</v>
      </c>
      <c r="E702" s="64" t="s">
        <v>2963</v>
      </c>
      <c r="F702" s="63">
        <v>8</v>
      </c>
      <c r="G702" s="63" t="s">
        <v>2751</v>
      </c>
      <c r="H702" s="208">
        <v>45208</v>
      </c>
      <c r="I702" s="65" t="s">
        <v>749</v>
      </c>
      <c r="J702" s="65" t="s">
        <v>1221</v>
      </c>
      <c r="K702" s="63">
        <f>IFERROR(VLOOKUP(J702,Jueces!$A$1:$B$11,2,FALSE),"")</f>
        <v>6</v>
      </c>
      <c r="L702" s="63" t="s">
        <v>2412</v>
      </c>
      <c r="M702" s="63" t="s">
        <v>2987</v>
      </c>
      <c r="N702" s="63" t="s">
        <v>577</v>
      </c>
      <c r="O702" s="63" t="str">
        <f ca="1">IF(H702&lt;&gt;"",IF(H702&lt;=TODAY(),"SI","NO"),"LIMBO")</f>
        <v>SI</v>
      </c>
      <c r="P702" s="63" t="str">
        <f>IF($P$1=H702,"DIASOL", "DIANOSOL")</f>
        <v>DIANOSOL</v>
      </c>
      <c r="Q702" s="63" t="s">
        <v>151</v>
      </c>
      <c r="R702" s="63" t="str">
        <f>VLOOKUP($Q702,Resultados!$A$1:$B$49,2,FALSE)</f>
        <v>Prisión Preventiva</v>
      </c>
      <c r="S702" s="63" t="s">
        <v>1421</v>
      </c>
      <c r="T702" s="72" t="str">
        <f>IF(G702=$J$1,"SI","NO")</f>
        <v>NO</v>
      </c>
      <c r="U702" s="72"/>
      <c r="V702" s="7" t="str">
        <f ca="1">IF(color_Celda(E702)=12106214,"ROSA",IF(color_Celda(E702)=65535,"AMARILLO",IF(color_Celda(E702)=5296274,"VERDE",IF(color_Celda(E702)=16777215,"BLANCO","NO SE"))))</f>
        <v>ROSA</v>
      </c>
      <c r="W702" s="63" t="s">
        <v>1189</v>
      </c>
      <c r="X702" s="63" t="s">
        <v>2363</v>
      </c>
      <c r="Y702" s="63"/>
      <c r="Z702" s="118" t="s">
        <v>748</v>
      </c>
      <c r="AA702" s="118" t="s">
        <v>1167</v>
      </c>
      <c r="AB702" s="118" t="s">
        <v>1171</v>
      </c>
      <c r="AC702" s="324"/>
    </row>
    <row r="703" spans="1:29" ht="60" customHeight="1">
      <c r="A703" s="63">
        <v>639</v>
      </c>
      <c r="B703" s="65">
        <v>45181</v>
      </c>
      <c r="C703" s="63" t="s">
        <v>2742</v>
      </c>
      <c r="D703" s="63" t="s">
        <v>2743</v>
      </c>
      <c r="E703" s="64" t="s">
        <v>3002</v>
      </c>
      <c r="F703" s="63">
        <v>4</v>
      </c>
      <c r="G703" s="63" t="s">
        <v>568</v>
      </c>
      <c r="H703" s="208">
        <v>45208</v>
      </c>
      <c r="I703" s="65" t="s">
        <v>1083</v>
      </c>
      <c r="J703" s="65" t="s">
        <v>2922</v>
      </c>
      <c r="K703" s="63" t="s">
        <v>2324</v>
      </c>
      <c r="L703" s="63" t="s">
        <v>799</v>
      </c>
      <c r="M703" s="63" t="s">
        <v>700</v>
      </c>
      <c r="N703" s="63" t="s">
        <v>3222</v>
      </c>
      <c r="O703" s="63" t="str">
        <f ca="1">IF(H703&lt;&gt;"",IF(H703&lt;=TODAY(),"SI","NO"),"LIMBO")</f>
        <v>SI</v>
      </c>
      <c r="P703" s="63" t="str">
        <f>IF($P$1=H703,"DIASOL", "DIANOSOL")</f>
        <v>DIANOSOL</v>
      </c>
      <c r="Q703" s="63" t="s">
        <v>902</v>
      </c>
      <c r="R703" s="63" t="str">
        <f>VLOOKUP($Q703,Resultados!$A$1:$B$49,2,FALSE)</f>
        <v>Juicio Abreviado</v>
      </c>
      <c r="S703" s="63" t="s">
        <v>1206</v>
      </c>
      <c r="T703" s="72" t="str">
        <f>IF(G703=$J$1,"SI","NO")</f>
        <v>NO</v>
      </c>
      <c r="U703" s="72"/>
      <c r="V703" s="7" t="str">
        <f ca="1">IF(color_Celda(E703)=12106214,"ROSA",IF(color_Celda(E703)=65535,"AMARILLO",IF(color_Celda(E703)=5296274,"VERDE",IF(color_Celda(E703)=16777215,"BLANCO","NO SE"))))</f>
        <v>ROSA</v>
      </c>
      <c r="W703" s="63" t="s">
        <v>1332</v>
      </c>
      <c r="X703" s="63" t="s">
        <v>3155</v>
      </c>
      <c r="Y703" s="63"/>
      <c r="Z703" s="118" t="s">
        <v>2843</v>
      </c>
      <c r="AA703" s="118" t="s">
        <v>1165</v>
      </c>
      <c r="AB703" s="118" t="s">
        <v>1173</v>
      </c>
      <c r="AC703" s="324"/>
    </row>
    <row r="704" spans="1:29" ht="60" customHeight="1">
      <c r="A704" s="63">
        <v>723</v>
      </c>
      <c r="B704" s="65">
        <v>45198</v>
      </c>
      <c r="C704" s="63" t="s">
        <v>1458</v>
      </c>
      <c r="D704" s="63" t="s">
        <v>3047</v>
      </c>
      <c r="E704" s="64" t="s">
        <v>3048</v>
      </c>
      <c r="F704" s="63">
        <v>1</v>
      </c>
      <c r="G704" s="63" t="s">
        <v>2766</v>
      </c>
      <c r="H704" s="208">
        <v>45208</v>
      </c>
      <c r="I704" s="65" t="s">
        <v>1083</v>
      </c>
      <c r="J704" s="65" t="s">
        <v>1217</v>
      </c>
      <c r="K704" s="63" t="s">
        <v>1916</v>
      </c>
      <c r="L704" s="63" t="s">
        <v>795</v>
      </c>
      <c r="M704" s="63" t="s">
        <v>711</v>
      </c>
      <c r="N704" s="63" t="s">
        <v>577</v>
      </c>
      <c r="O704" s="63" t="str">
        <f ca="1">IF(H704&lt;&gt;"",IF(H704&lt;=TODAY(),"SI","NO"),"LIMBO")</f>
        <v>SI</v>
      </c>
      <c r="P704" s="63" t="str">
        <f>IF($P$1=H704,"DIASOL", "DIANOSOL")</f>
        <v>DIANOSOL</v>
      </c>
      <c r="Q704" s="63" t="s">
        <v>151</v>
      </c>
      <c r="R704" s="63" t="str">
        <f>VLOOKUP($Q704,Resultados!$A$1:$B$49,2,FALSE)</f>
        <v>Prisión Preventiva</v>
      </c>
      <c r="S704" s="63" t="s">
        <v>1305</v>
      </c>
      <c r="T704" s="72" t="str">
        <f>IF(G704=$J$1,"SI","NO")</f>
        <v>NO</v>
      </c>
      <c r="U704" s="72"/>
      <c r="V704" s="7" t="str">
        <f ca="1">IF(color_Celda(E704)=12106214,"ROSA",IF(color_Celda(E704)=65535,"AMARILLO",IF(color_Celda(E704)=5296274,"VERDE",IF(color_Celda(E704)=16777215,"BLANCO","NO SE"))))</f>
        <v>ROSA</v>
      </c>
      <c r="W704" s="63" t="s">
        <v>1270</v>
      </c>
      <c r="X704" s="63" t="s">
        <v>3155</v>
      </c>
      <c r="Y704" s="63"/>
      <c r="Z704" s="118" t="s">
        <v>2869</v>
      </c>
      <c r="AA704" s="118" t="s">
        <v>1167</v>
      </c>
      <c r="AB704" s="118" t="s">
        <v>1169</v>
      </c>
      <c r="AC704" s="324"/>
    </row>
    <row r="705" spans="1:29" ht="60" customHeight="1">
      <c r="A705" s="63">
        <v>750</v>
      </c>
      <c r="B705" s="65">
        <v>45202</v>
      </c>
      <c r="C705" s="70">
        <v>0.54791666666666672</v>
      </c>
      <c r="D705" s="63" t="s">
        <v>3134</v>
      </c>
      <c r="E705" s="64" t="s">
        <v>3200</v>
      </c>
      <c r="F705" s="63">
        <v>8</v>
      </c>
      <c r="G705" s="63" t="s">
        <v>2752</v>
      </c>
      <c r="H705" s="208">
        <v>45208</v>
      </c>
      <c r="I705" s="65" t="s">
        <v>1083</v>
      </c>
      <c r="J705" s="65" t="s">
        <v>2925</v>
      </c>
      <c r="K705" s="63" t="s">
        <v>2375</v>
      </c>
      <c r="L705" s="63" t="s">
        <v>797</v>
      </c>
      <c r="M705" s="63" t="s">
        <v>1028</v>
      </c>
      <c r="N705" s="63" t="s">
        <v>3234</v>
      </c>
      <c r="O705" s="63" t="str">
        <f ca="1">IF(H705&lt;&gt;"",IF(H705&lt;=TODAY(),"SI","NO"),"LIMBO")</f>
        <v>SI</v>
      </c>
      <c r="P705" s="63" t="str">
        <f>IF($P$1=H705,"DIASOL", "DIANOSOL")</f>
        <v>DIANOSOL</v>
      </c>
      <c r="Q705" s="63" t="s">
        <v>903</v>
      </c>
      <c r="R705" s="63" t="str">
        <f>VLOOKUP($Q705,Resultados!$A$1:$B$49,2,FALSE)</f>
        <v>Juicio Abreviado</v>
      </c>
      <c r="S705" s="63" t="s">
        <v>3235</v>
      </c>
      <c r="T705" s="72" t="str">
        <f>IF(G705=$J$1,"SI","NO")</f>
        <v>NO</v>
      </c>
      <c r="U705" s="72"/>
      <c r="V705" s="7" t="str">
        <f ca="1">IF(color_Celda(E705)=12106214,"ROSA",IF(color_Celda(E705)=65535,"AMARILLO",IF(color_Celda(E705)=5296274,"VERDE",IF(color_Celda(E705)=16777215,"BLANCO","NO SE"))))</f>
        <v>ROSA</v>
      </c>
      <c r="W705" s="63" t="s">
        <v>3236</v>
      </c>
      <c r="X705" s="63" t="s">
        <v>3237</v>
      </c>
      <c r="Y705" s="63"/>
      <c r="Z705" s="118" t="s">
        <v>748</v>
      </c>
      <c r="AA705" s="304" t="s">
        <v>2828</v>
      </c>
      <c r="AB705" s="118" t="s">
        <v>1171</v>
      </c>
      <c r="AC705" s="324"/>
    </row>
    <row r="706" spans="1:29" ht="60" customHeight="1">
      <c r="A706" s="63">
        <v>708</v>
      </c>
      <c r="B706" s="65">
        <v>45204</v>
      </c>
      <c r="C706" s="70">
        <v>0.42777777777777781</v>
      </c>
      <c r="D706" s="63" t="s">
        <v>2980</v>
      </c>
      <c r="E706" s="64" t="s">
        <v>2981</v>
      </c>
      <c r="F706" s="63">
        <v>8</v>
      </c>
      <c r="G706" s="63" t="s">
        <v>2815</v>
      </c>
      <c r="H706" s="208">
        <v>45208</v>
      </c>
      <c r="I706" s="65" t="s">
        <v>1083</v>
      </c>
      <c r="J706" s="65" t="s">
        <v>33</v>
      </c>
      <c r="K706" s="63">
        <f>IFERROR(VLOOKUP(J706,Jueces!$A$1:$B$11,2,FALSE),"")</f>
        <v>4</v>
      </c>
      <c r="L706" s="63" t="s">
        <v>1067</v>
      </c>
      <c r="M706" s="63" t="s">
        <v>1084</v>
      </c>
      <c r="N706" s="63" t="s">
        <v>577</v>
      </c>
      <c r="O706" s="63" t="str">
        <f ca="1">IF(H706&lt;&gt;"",IF(H706&lt;=TODAY(),"SI","NO"),"LIMBO")</f>
        <v>SI</v>
      </c>
      <c r="P706" s="63" t="str">
        <f>IF($P$1=H706,"DIASOL", "DIANOSOL")</f>
        <v>DIANOSOL</v>
      </c>
      <c r="Q706" s="63" t="s">
        <v>151</v>
      </c>
      <c r="R706" s="63" t="str">
        <f>VLOOKUP($Q706,Resultados!$A$1:$B$49,2,FALSE)</f>
        <v>Prisión Preventiva</v>
      </c>
      <c r="S706" s="63" t="s">
        <v>3232</v>
      </c>
      <c r="T706" s="72" t="str">
        <f>IF(G706=$J$1,"SI","NO")</f>
        <v>NO</v>
      </c>
      <c r="U706" s="72"/>
      <c r="V706" s="7" t="str">
        <f ca="1">IF(color_Celda(E706)=12106214,"ROSA",IF(color_Celda(E706)=65535,"AMARILLO",IF(color_Celda(E706)=5296274,"VERDE",IF(color_Celda(E706)=16777215,"BLANCO","NO SE"))))</f>
        <v>ROSA</v>
      </c>
      <c r="W706" s="63" t="s">
        <v>1270</v>
      </c>
      <c r="X706" s="63" t="s">
        <v>3233</v>
      </c>
      <c r="Y706" s="63"/>
      <c r="Z706" s="118" t="s">
        <v>770</v>
      </c>
      <c r="AA706" s="118" t="s">
        <v>2828</v>
      </c>
      <c r="AB706" s="118" t="s">
        <v>1170</v>
      </c>
      <c r="AC706" s="324"/>
    </row>
    <row r="707" spans="1:29" ht="60" customHeight="1">
      <c r="A707" s="63">
        <v>666</v>
      </c>
      <c r="B707" s="65">
        <v>45189</v>
      </c>
      <c r="C707" s="70">
        <v>0.47569444444444442</v>
      </c>
      <c r="D707" s="63" t="s">
        <v>2820</v>
      </c>
      <c r="E707" s="64" t="s">
        <v>2821</v>
      </c>
      <c r="F707" s="63">
        <v>1</v>
      </c>
      <c r="G707" s="63" t="s">
        <v>2753</v>
      </c>
      <c r="H707" s="208">
        <v>45209</v>
      </c>
      <c r="I707" s="65" t="s">
        <v>73</v>
      </c>
      <c r="J707" s="65" t="s">
        <v>33</v>
      </c>
      <c r="K707" s="63">
        <f>IFERROR(VLOOKUP(J707,Jueces!$A$1:$B$11,2,FALSE),"")</f>
        <v>4</v>
      </c>
      <c r="L707" s="63" t="s">
        <v>809</v>
      </c>
      <c r="M707" s="63" t="s">
        <v>711</v>
      </c>
      <c r="N707" s="63" t="s">
        <v>577</v>
      </c>
      <c r="O707" s="78" t="str">
        <f ca="1">IF(H707&lt;&gt;"",IF(H707&lt;=TODAY(),"SI","NO"),"LIMBO")</f>
        <v>SI</v>
      </c>
      <c r="P707" s="78" t="str">
        <f>IF($P$1=H707,"DIASOL", "DIANOSOL")</f>
        <v>DIANOSOL</v>
      </c>
      <c r="Q707" s="63" t="s">
        <v>151</v>
      </c>
      <c r="R707" s="63" t="str">
        <f>VLOOKUP($Q707,Resultados!$A$1:$B$49,2,FALSE)</f>
        <v>Prisión Preventiva</v>
      </c>
      <c r="S707" s="63" t="s">
        <v>3246</v>
      </c>
      <c r="T707" s="81" t="str">
        <f>IF(G707=$J$1,"SI","NO")</f>
        <v>NO</v>
      </c>
      <c r="U707" s="81"/>
      <c r="V707" s="7" t="str">
        <f ca="1">IF(color_Celda(E707)=12106214,"ROSA",IF(color_Celda(E707)=65535,"AMARILLO",IF(color_Celda(E707)=5296274,"VERDE",IF(color_Celda(E707)=16777215,"BLANCO","NO SE"))))</f>
        <v>ROSA</v>
      </c>
      <c r="W707" s="63" t="s">
        <v>3094</v>
      </c>
      <c r="X707" s="63" t="s">
        <v>3273</v>
      </c>
      <c r="Y707" s="63"/>
      <c r="Z707" s="118" t="s">
        <v>2843</v>
      </c>
      <c r="AA707" s="118" t="s">
        <v>2828</v>
      </c>
      <c r="AB707" s="118" t="s">
        <v>1173</v>
      </c>
      <c r="AC707" s="324"/>
    </row>
    <row r="708" spans="1:29" ht="60" customHeight="1">
      <c r="A708" s="63">
        <v>685</v>
      </c>
      <c r="B708" s="65">
        <v>45190</v>
      </c>
      <c r="C708" s="70">
        <v>0.44513888888888892</v>
      </c>
      <c r="D708" s="63" t="s">
        <v>2893</v>
      </c>
      <c r="E708" s="64" t="s">
        <v>2894</v>
      </c>
      <c r="F708" s="63">
        <v>8</v>
      </c>
      <c r="G708" s="63" t="s">
        <v>29</v>
      </c>
      <c r="H708" s="208">
        <v>45209</v>
      </c>
      <c r="I708" s="65" t="s">
        <v>73</v>
      </c>
      <c r="J708" s="65" t="s">
        <v>1217</v>
      </c>
      <c r="K708" s="63" t="s">
        <v>1916</v>
      </c>
      <c r="L708" s="63" t="s">
        <v>801</v>
      </c>
      <c r="M708" s="63" t="s">
        <v>2991</v>
      </c>
      <c r="N708" s="63" t="s">
        <v>3274</v>
      </c>
      <c r="O708" s="78" t="str">
        <f ca="1">IF(H708&lt;&gt;"",IF(H708&lt;=TODAY(),"SI","NO"),"LIMBO")</f>
        <v>SI</v>
      </c>
      <c r="P708" s="78" t="str">
        <f>IF($P$1=H708,"DIASOL", "DIANOSOL")</f>
        <v>DIANOSOL</v>
      </c>
      <c r="Q708" s="63" t="s">
        <v>151</v>
      </c>
      <c r="R708" s="63" t="str">
        <f>VLOOKUP($Q708,Resultados!$A$1:$B$49,2,FALSE)</f>
        <v>Prisión Preventiva</v>
      </c>
      <c r="S708" s="63" t="s">
        <v>1291</v>
      </c>
      <c r="T708" s="81" t="str">
        <f>IF(G708=$J$1,"SI","NO")</f>
        <v>NO</v>
      </c>
      <c r="U708" s="81"/>
      <c r="V708" s="7" t="str">
        <f ca="1">IF(color_Celda(E708)=12106214,"ROSA",IF(color_Celda(E708)=65535,"AMARILLO",IF(color_Celda(E708)=5296274,"VERDE",IF(color_Celda(E708)=16777215,"BLANCO","NO SE"))))</f>
        <v>ROSA</v>
      </c>
      <c r="W708" s="63" t="s">
        <v>1134</v>
      </c>
      <c r="X708" s="63" t="s">
        <v>3250</v>
      </c>
      <c r="Y708" s="63"/>
      <c r="Z708" s="118" t="s">
        <v>770</v>
      </c>
      <c r="AA708" s="118" t="s">
        <v>2828</v>
      </c>
      <c r="AB708" s="118" t="s">
        <v>1170</v>
      </c>
      <c r="AC708" s="324"/>
    </row>
    <row r="709" spans="1:29" ht="60" customHeight="1">
      <c r="A709" s="63">
        <v>713</v>
      </c>
      <c r="B709" s="65">
        <v>45197</v>
      </c>
      <c r="C709" s="70">
        <v>0.33333333333333331</v>
      </c>
      <c r="D709" s="63" t="s">
        <v>3003</v>
      </c>
      <c r="E709" s="64" t="s">
        <v>3068</v>
      </c>
      <c r="F709" s="63">
        <v>1</v>
      </c>
      <c r="G709" s="63" t="s">
        <v>43</v>
      </c>
      <c r="H709" s="208">
        <v>45209</v>
      </c>
      <c r="I709" s="65" t="s">
        <v>73</v>
      </c>
      <c r="J709" s="65" t="s">
        <v>2925</v>
      </c>
      <c r="K709" s="63" t="s">
        <v>2324</v>
      </c>
      <c r="L709" s="63" t="s">
        <v>2219</v>
      </c>
      <c r="M709" s="63" t="s">
        <v>700</v>
      </c>
      <c r="N709" s="63" t="s">
        <v>3248</v>
      </c>
      <c r="O709" s="78" t="str">
        <f ca="1">IF(H709&lt;&gt;"",IF(H709&lt;=TODAY(),"SI","NO"),"LIMBO")</f>
        <v>SI</v>
      </c>
      <c r="P709" s="78" t="str">
        <f>IF($P$1=H709,"DIASOL", "DIANOSOL")</f>
        <v>DIANOSOL</v>
      </c>
      <c r="Q709" s="63" t="s">
        <v>903</v>
      </c>
      <c r="R709" s="63" t="str">
        <f>VLOOKUP($Q709,Resultados!$A$1:$B$49,2,FALSE)</f>
        <v>Juicio Abreviado</v>
      </c>
      <c r="S709" s="63" t="s">
        <v>1421</v>
      </c>
      <c r="T709" s="81" t="str">
        <f>IF(G709=$J$1,"SI","NO")</f>
        <v>NO</v>
      </c>
      <c r="U709" s="81"/>
      <c r="V709" s="7" t="str">
        <f ca="1">IF(color_Celda(E709)=12106214,"ROSA",IF(color_Celda(E709)=65535,"AMARILLO",IF(color_Celda(E709)=5296274,"VERDE",IF(color_Celda(E709)=16777215,"BLANCO","NO SE"))))</f>
        <v>ROSA</v>
      </c>
      <c r="W709" s="63" t="s">
        <v>1489</v>
      </c>
      <c r="X709" s="63" t="s">
        <v>3249</v>
      </c>
      <c r="Y709" s="63"/>
      <c r="Z709" s="118" t="s">
        <v>748</v>
      </c>
      <c r="AA709" s="118" t="s">
        <v>1167</v>
      </c>
      <c r="AB709" s="118" t="s">
        <v>1169</v>
      </c>
      <c r="AC709" s="698"/>
    </row>
    <row r="710" spans="1:29" ht="60" customHeight="1">
      <c r="A710" s="63">
        <v>721</v>
      </c>
      <c r="B710" s="65">
        <v>45197</v>
      </c>
      <c r="C710" s="70">
        <v>0.50138888888888888</v>
      </c>
      <c r="D710" s="63" t="s">
        <v>3040</v>
      </c>
      <c r="E710" s="64" t="s">
        <v>3063</v>
      </c>
      <c r="F710" s="63">
        <v>1</v>
      </c>
      <c r="G710" s="63" t="s">
        <v>2815</v>
      </c>
      <c r="H710" s="208">
        <v>45209</v>
      </c>
      <c r="I710" s="65" t="s">
        <v>73</v>
      </c>
      <c r="J710" s="65" t="s">
        <v>1216</v>
      </c>
      <c r="K710" s="63">
        <f>IFERROR(VLOOKUP(J710,Jueces!$A$1:$B$11,2,FALSE),"")</f>
        <v>1</v>
      </c>
      <c r="L710" s="63" t="s">
        <v>2076</v>
      </c>
      <c r="M710" s="63" t="s">
        <v>712</v>
      </c>
      <c r="N710" s="63" t="s">
        <v>577</v>
      </c>
      <c r="O710" s="78" t="str">
        <f ca="1">IF(H710&lt;&gt;"",IF(H710&lt;=TODAY(),"SI","NO"),"LIMBO")</f>
        <v>SI</v>
      </c>
      <c r="P710" s="78" t="str">
        <f>IF($P$1=H710,"DIASOL", "DIANOSOL")</f>
        <v>DIANOSOL</v>
      </c>
      <c r="Q710" s="63" t="s">
        <v>151</v>
      </c>
      <c r="R710" s="63" t="str">
        <f>VLOOKUP($Q710,Resultados!$A$1:$B$49,2,FALSE)</f>
        <v>Prisión Preventiva</v>
      </c>
      <c r="S710" s="63" t="s">
        <v>1227</v>
      </c>
      <c r="T710" s="81" t="str">
        <f>IF(G710=$J$1,"SI","NO")</f>
        <v>NO</v>
      </c>
      <c r="U710" s="81"/>
      <c r="V710" s="7" t="str">
        <f ca="1">IF(color_Celda(E710)=12106214,"ROSA",IF(color_Celda(E710)=65535,"AMARILLO",IF(color_Celda(E710)=5296274,"VERDE",IF(color_Celda(E710)=16777215,"BLANCO","NO SE"))))</f>
        <v>ROSA</v>
      </c>
      <c r="W710" s="63" t="s">
        <v>1131</v>
      </c>
      <c r="X710" s="63" t="s">
        <v>3247</v>
      </c>
      <c r="Y710" s="63"/>
      <c r="Z710" s="118" t="s">
        <v>2869</v>
      </c>
      <c r="AA710" s="118" t="s">
        <v>2828</v>
      </c>
      <c r="AB710" s="118" t="s">
        <v>1171</v>
      </c>
      <c r="AC710" s="324"/>
    </row>
    <row r="711" spans="1:29" ht="60" customHeight="1">
      <c r="A711" s="63">
        <v>727</v>
      </c>
      <c r="B711" s="65">
        <v>45197</v>
      </c>
      <c r="C711" s="63" t="s">
        <v>1270</v>
      </c>
      <c r="D711" s="63" t="s">
        <v>3052</v>
      </c>
      <c r="E711" s="64" t="s">
        <v>3053</v>
      </c>
      <c r="F711" s="63">
        <v>8</v>
      </c>
      <c r="G711" s="63" t="s">
        <v>283</v>
      </c>
      <c r="H711" s="208">
        <v>45209</v>
      </c>
      <c r="I711" s="65" t="s">
        <v>749</v>
      </c>
      <c r="J711" s="65" t="s">
        <v>1221</v>
      </c>
      <c r="K711" s="63">
        <f>IFERROR(VLOOKUP(J711,Jueces!$A$1:$B$11,2,FALSE),"")</f>
        <v>6</v>
      </c>
      <c r="L711" s="63" t="s">
        <v>798</v>
      </c>
      <c r="M711" s="63" t="s">
        <v>711</v>
      </c>
      <c r="N711" s="323" t="s">
        <v>577</v>
      </c>
      <c r="O711" s="78" t="str">
        <f ca="1">IF(H711&lt;&gt;"",IF(H711&lt;=TODAY(),"SI","NO"),"LIMBO")</f>
        <v>SI</v>
      </c>
      <c r="P711" s="78" t="str">
        <f>IF($P$1=H711,"DIASOL", "DIANOSOL")</f>
        <v>DIANOSOL</v>
      </c>
      <c r="Q711" s="63" t="s">
        <v>151</v>
      </c>
      <c r="R711" s="63" t="str">
        <f>VLOOKUP($Q711,Resultados!$A$1:$B$49,2,FALSE)</f>
        <v>Prisión Preventiva</v>
      </c>
      <c r="S711" s="63" t="s">
        <v>1242</v>
      </c>
      <c r="T711" s="81" t="str">
        <f>IF(G711=$J$1,"SI","NO")</f>
        <v>NO</v>
      </c>
      <c r="U711" s="81"/>
      <c r="V711" s="7" t="str">
        <f ca="1">IF(color_Celda(E711)=12106214,"ROSA",IF(color_Celda(E711)=65535,"AMARILLO",IF(color_Celda(E711)=5296274,"VERDE",IF(color_Celda(E711)=16777215,"BLANCO","NO SE"))))</f>
        <v>ROSA</v>
      </c>
      <c r="W711" s="63" t="s">
        <v>1530</v>
      </c>
      <c r="X711" s="63"/>
      <c r="Y711" s="63"/>
      <c r="Z711" s="118" t="s">
        <v>743</v>
      </c>
      <c r="AA711" s="118" t="s">
        <v>1165</v>
      </c>
      <c r="AB711" s="118" t="s">
        <v>1170</v>
      </c>
      <c r="AC711" s="324"/>
    </row>
    <row r="712" spans="1:29" ht="60" customHeight="1">
      <c r="A712" s="63">
        <v>707</v>
      </c>
      <c r="B712" s="65">
        <v>45196</v>
      </c>
      <c r="C712" s="70">
        <v>0.34236111111111112</v>
      </c>
      <c r="D712" s="63" t="s">
        <v>2979</v>
      </c>
      <c r="E712" s="64" t="s">
        <v>3061</v>
      </c>
      <c r="F712" s="63">
        <v>1</v>
      </c>
      <c r="G712" s="63" t="s">
        <v>2766</v>
      </c>
      <c r="H712" s="208">
        <v>45209</v>
      </c>
      <c r="I712" s="65" t="s">
        <v>1083</v>
      </c>
      <c r="J712" s="65" t="s">
        <v>1217</v>
      </c>
      <c r="K712" s="63" t="s">
        <v>2324</v>
      </c>
      <c r="L712" s="63" t="s">
        <v>810</v>
      </c>
      <c r="M712" s="63" t="s">
        <v>712</v>
      </c>
      <c r="N712" s="63" t="s">
        <v>3242</v>
      </c>
      <c r="O712" s="63" t="str">
        <f ca="1">IF(H712&lt;&gt;"",IF(H712&lt;=TODAY(),"SI","NO"),"LIMBO")</f>
        <v>SI</v>
      </c>
      <c r="P712" s="63" t="str">
        <f>IF($P$1=H712,"DIASOL", "DIANOSOL")</f>
        <v>DIANOSOL</v>
      </c>
      <c r="Q712" s="63" t="s">
        <v>902</v>
      </c>
      <c r="R712" s="63" t="str">
        <f>VLOOKUP($Q712,Resultados!$A$1:$B$49,2,FALSE)</f>
        <v>Juicio Abreviado</v>
      </c>
      <c r="S712" s="63" t="s">
        <v>1234</v>
      </c>
      <c r="T712" s="72" t="str">
        <f>IF(G712=$J$1,"SI","NO")</f>
        <v>NO</v>
      </c>
      <c r="U712" s="72"/>
      <c r="V712" s="7" t="str">
        <f ca="1">IF(color_Celda(E712)=12106214,"ROSA",IF(color_Celda(E712)=65535,"AMARILLO",IF(color_Celda(E712)=5296274,"VERDE",IF(color_Celda(E712)=16777215,"BLANCO","NO SE"))))</f>
        <v>ROSA</v>
      </c>
      <c r="W712" s="63" t="s">
        <v>1737</v>
      </c>
      <c r="X712" s="63" t="s">
        <v>3243</v>
      </c>
      <c r="Y712" s="63"/>
      <c r="Z712" s="118" t="s">
        <v>748</v>
      </c>
      <c r="AA712" s="118" t="s">
        <v>1167</v>
      </c>
      <c r="AB712" s="118" t="s">
        <v>1169</v>
      </c>
      <c r="AC712" s="324"/>
    </row>
    <row r="713" spans="1:29" ht="60" customHeight="1">
      <c r="A713" s="63">
        <v>710</v>
      </c>
      <c r="B713" s="65">
        <v>45196</v>
      </c>
      <c r="C713" s="70">
        <v>0.49791666666666662</v>
      </c>
      <c r="D713" s="63" t="s">
        <v>2994</v>
      </c>
      <c r="E713" s="64" t="s">
        <v>3223</v>
      </c>
      <c r="F713" s="63">
        <v>8</v>
      </c>
      <c r="G713" s="63" t="s">
        <v>1435</v>
      </c>
      <c r="H713" s="208">
        <v>45209</v>
      </c>
      <c r="I713" s="65" t="s">
        <v>1083</v>
      </c>
      <c r="J713" s="65" t="s">
        <v>2922</v>
      </c>
      <c r="K713" s="63" t="s">
        <v>1916</v>
      </c>
      <c r="L713" s="63" t="s">
        <v>797</v>
      </c>
      <c r="M713" s="63" t="s">
        <v>1084</v>
      </c>
      <c r="N713" s="63" t="s">
        <v>577</v>
      </c>
      <c r="O713" s="78" t="str">
        <f ca="1">IF(H713&lt;&gt;"",IF(H713&lt;=TODAY(),"SI","NO"),"LIMBO")</f>
        <v>SI</v>
      </c>
      <c r="P713" s="78" t="str">
        <f>IF($P$1=H713,"DIASOL", "DIANOSOL")</f>
        <v>DIANOSOL</v>
      </c>
      <c r="Q713" s="63" t="s">
        <v>151</v>
      </c>
      <c r="R713" s="63" t="str">
        <f>VLOOKUP($Q713,Resultados!$A$1:$B$49,2,FALSE)</f>
        <v>Prisión Preventiva</v>
      </c>
      <c r="S713" s="63" t="s">
        <v>1239</v>
      </c>
      <c r="T713" s="81" t="str">
        <f>IF(G713=$J$1,"SI","NO")</f>
        <v>SI</v>
      </c>
      <c r="U713" s="81"/>
      <c r="V713" s="7" t="str">
        <f ca="1">IF(color_Celda(E713)=12106214,"ROSA",IF(color_Celda(E713)=65535,"AMARILLO",IF(color_Celda(E713)=5296274,"VERDE",IF(color_Celda(E713)=16777215,"BLANCO","NO SE"))))</f>
        <v>ROSA</v>
      </c>
      <c r="W713" s="63" t="s">
        <v>2882</v>
      </c>
      <c r="X713" s="63" t="s">
        <v>2552</v>
      </c>
      <c r="Y713" s="63"/>
      <c r="Z713" s="118" t="s">
        <v>770</v>
      </c>
      <c r="AA713" s="118" t="s">
        <v>1167</v>
      </c>
      <c r="AB713" s="118" t="s">
        <v>1171</v>
      </c>
      <c r="AC713" s="645"/>
    </row>
    <row r="714" spans="1:29" ht="60" customHeight="1">
      <c r="A714" s="63">
        <v>716</v>
      </c>
      <c r="B714" s="65">
        <v>45197</v>
      </c>
      <c r="C714" s="63" t="s">
        <v>1562</v>
      </c>
      <c r="D714" s="63" t="s">
        <v>3009</v>
      </c>
      <c r="E714" s="64" t="s">
        <v>3088</v>
      </c>
      <c r="F714" s="63">
        <v>1</v>
      </c>
      <c r="G714" s="63" t="s">
        <v>2751</v>
      </c>
      <c r="H714" s="208">
        <v>45209</v>
      </c>
      <c r="I714" s="65" t="s">
        <v>1083</v>
      </c>
      <c r="J714" s="65" t="s">
        <v>33</v>
      </c>
      <c r="K714" s="63">
        <f>IFERROR(VLOOKUP(J714,Jueces!$A$1:$B$11,2,FALSE),"")</f>
        <v>4</v>
      </c>
      <c r="L714" s="63" t="s">
        <v>791</v>
      </c>
      <c r="M714" s="63" t="s">
        <v>711</v>
      </c>
      <c r="N714" s="63" t="s">
        <v>3251</v>
      </c>
      <c r="O714" s="78" t="str">
        <f ca="1">IF(H714&lt;&gt;"",IF(H714&lt;=TODAY(),"SI","NO"),"LIMBO")</f>
        <v>SI</v>
      </c>
      <c r="P714" s="78" t="str">
        <f>IF($P$1=H714,"DIASOL", "DIANOSOL")</f>
        <v>DIANOSOL</v>
      </c>
      <c r="Q714" s="63" t="s">
        <v>902</v>
      </c>
      <c r="R714" s="63" t="str">
        <f>VLOOKUP($Q714,Resultados!$A$1:$B$49,2,FALSE)</f>
        <v>Juicio Abreviado</v>
      </c>
      <c r="S714" s="63" t="s">
        <v>1185</v>
      </c>
      <c r="T714" s="81" t="str">
        <f>IF(G714=$J$1,"SI","NO")</f>
        <v>NO</v>
      </c>
      <c r="U714" s="81"/>
      <c r="V714" s="7" t="str">
        <f ca="1">IF(color_Celda(E714)=12106214,"ROSA",IF(color_Celda(E714)=65535,"AMARILLO",IF(color_Celda(E714)=5296274,"VERDE",IF(color_Celda(E714)=16777215,"BLANCO","NO SE"))))</f>
        <v>ROSA</v>
      </c>
      <c r="W714" s="63" t="s">
        <v>1584</v>
      </c>
      <c r="X714" s="63" t="s">
        <v>3252</v>
      </c>
      <c r="Y714" s="63"/>
      <c r="Z714" s="118" t="s">
        <v>2843</v>
      </c>
      <c r="AA714" s="118" t="s">
        <v>1165</v>
      </c>
      <c r="AB714" s="118" t="s">
        <v>1173</v>
      </c>
      <c r="AC714" s="698"/>
    </row>
    <row r="715" spans="1:29" ht="60" customHeight="1">
      <c r="A715" s="63">
        <v>766</v>
      </c>
      <c r="B715" s="65">
        <v>45203</v>
      </c>
      <c r="C715" s="70">
        <v>0.33333333333333331</v>
      </c>
      <c r="D715" s="63" t="s">
        <v>2690</v>
      </c>
      <c r="E715" s="64" t="s">
        <v>2691</v>
      </c>
      <c r="F715" s="63">
        <v>7</v>
      </c>
      <c r="G715" s="63" t="s">
        <v>2753</v>
      </c>
      <c r="H715" s="208">
        <v>45209</v>
      </c>
      <c r="I715" s="65" t="s">
        <v>75</v>
      </c>
      <c r="J715" s="65" t="s">
        <v>33</v>
      </c>
      <c r="K715" s="63" t="s">
        <v>2285</v>
      </c>
      <c r="L715" s="63" t="s">
        <v>807</v>
      </c>
      <c r="M715" s="63" t="s">
        <v>700</v>
      </c>
      <c r="N715" s="63" t="s">
        <v>3275</v>
      </c>
      <c r="O715" s="78" t="str">
        <f ca="1">IF(H715&lt;&gt;"",IF(H715&lt;=TODAY(),"SI","NO"),"LIMBO")</f>
        <v>SI</v>
      </c>
      <c r="P715" s="78" t="str">
        <f>IF($P$1=H715,"DIASOL", "DIANOSOL")</f>
        <v>DIANOSOL</v>
      </c>
      <c r="Q715" s="63" t="s">
        <v>902</v>
      </c>
      <c r="R715" s="63" t="str">
        <f>VLOOKUP($Q715,Resultados!$A$1:$B$49,2,FALSE)</f>
        <v>Juicio Abreviado</v>
      </c>
      <c r="S715" s="63" t="s">
        <v>3253</v>
      </c>
      <c r="T715" s="81" t="str">
        <f>IF(G715=$J$1,"SI","NO")</f>
        <v>NO</v>
      </c>
      <c r="U715" s="81"/>
      <c r="V715" s="7" t="str">
        <f ca="1">IF(color_Celda(E715)=12106214,"ROSA",IF(color_Celda(E715)=65535,"AMARILLO",IF(color_Celda(E715)=5296274,"VERDE",IF(color_Celda(E715)=16777215,"BLANCO","NO SE"))))</f>
        <v>ROSA</v>
      </c>
      <c r="W715" s="63" t="s">
        <v>3254</v>
      </c>
      <c r="X715" s="63" t="s">
        <v>3255</v>
      </c>
      <c r="Y715" s="63"/>
      <c r="Z715" s="118" t="s">
        <v>2869</v>
      </c>
      <c r="AA715" s="63"/>
      <c r="AB715" s="118" t="s">
        <v>1170</v>
      </c>
      <c r="AC715" s="698"/>
    </row>
    <row r="716" spans="1:29" ht="60" customHeight="1">
      <c r="A716" s="63">
        <v>698</v>
      </c>
      <c r="B716" s="65">
        <v>45194</v>
      </c>
      <c r="C716" s="70">
        <v>0.38472222222222219</v>
      </c>
      <c r="D716" s="63" t="s">
        <v>2943</v>
      </c>
      <c r="E716" s="64" t="s">
        <v>2944</v>
      </c>
      <c r="F716" s="63">
        <v>8</v>
      </c>
      <c r="G716" s="63" t="s">
        <v>2752</v>
      </c>
      <c r="H716" s="208">
        <v>45210</v>
      </c>
      <c r="I716" s="65" t="s">
        <v>73</v>
      </c>
      <c r="J716" s="65" t="s">
        <v>1217</v>
      </c>
      <c r="K716" s="63" t="s">
        <v>1916</v>
      </c>
      <c r="L716" s="63" t="s">
        <v>795</v>
      </c>
      <c r="M716" s="63" t="s">
        <v>3064</v>
      </c>
      <c r="N716" s="63" t="s">
        <v>3318</v>
      </c>
      <c r="O716" s="78" t="str">
        <f ca="1">IF(H716&lt;&gt;"",IF(H716&lt;=TODAY(),"SI","NO"),"LIMBO")</f>
        <v>SI</v>
      </c>
      <c r="P716" s="78" t="str">
        <f>IF($P$1=H716,"DIASOL", "DIANOSOL")</f>
        <v>DIANOSOL</v>
      </c>
      <c r="Q716" s="63" t="s">
        <v>151</v>
      </c>
      <c r="R716" s="63" t="str">
        <f>VLOOKUP($Q716,Resultados!$A$1:$B$49,2,FALSE)</f>
        <v>Prisión Preventiva</v>
      </c>
      <c r="S716" s="70">
        <v>0.35347222222222219</v>
      </c>
      <c r="T716" s="81" t="str">
        <f>IF(G716=$J$1,"SI","NO")</f>
        <v>NO</v>
      </c>
      <c r="U716" s="81"/>
      <c r="V716" s="7" t="str">
        <f ca="1">IF(color_Celda(E716)=12106214,"ROSA",IF(color_Celda(E716)=65535,"AMARILLO",IF(color_Celda(E716)=5296274,"VERDE",IF(color_Celda(E716)=16777215,"BLANCO","NO SE"))))</f>
        <v>ROSA</v>
      </c>
      <c r="W716" s="63" t="s">
        <v>1126</v>
      </c>
      <c r="X716" s="63"/>
      <c r="Y716" s="63"/>
      <c r="Z716" s="118" t="s">
        <v>2843</v>
      </c>
      <c r="AA716" s="118" t="s">
        <v>2828</v>
      </c>
      <c r="AB716" s="118" t="s">
        <v>3259</v>
      </c>
      <c r="AC716" s="324"/>
    </row>
    <row r="717" spans="1:29" ht="60" customHeight="1">
      <c r="A717" s="63">
        <v>700</v>
      </c>
      <c r="B717" s="65">
        <v>45195</v>
      </c>
      <c r="C717" s="70">
        <v>0.4055555555555555</v>
      </c>
      <c r="D717" s="63" t="s">
        <v>2948</v>
      </c>
      <c r="E717" s="64" t="s">
        <v>3118</v>
      </c>
      <c r="F717" s="63">
        <v>1</v>
      </c>
      <c r="G717" s="63" t="s">
        <v>2751</v>
      </c>
      <c r="H717" s="208">
        <v>45210</v>
      </c>
      <c r="I717" s="65" t="s">
        <v>73</v>
      </c>
      <c r="J717" s="65" t="s">
        <v>2925</v>
      </c>
      <c r="K717" s="63" t="s">
        <v>2375</v>
      </c>
      <c r="L717" s="63" t="s">
        <v>791</v>
      </c>
      <c r="M717" s="63" t="s">
        <v>711</v>
      </c>
      <c r="N717" s="63" t="s">
        <v>1744</v>
      </c>
      <c r="O717" s="78" t="str">
        <f ca="1">IF(H717&lt;&gt;"",IF(H717&lt;=TODAY(),"SI","NO"),"LIMBO")</f>
        <v>SI</v>
      </c>
      <c r="P717" s="78" t="str">
        <f>IF($P$1=H717,"DIASOL", "DIANOSOL")</f>
        <v>DIANOSOL</v>
      </c>
      <c r="Q717" s="63" t="s">
        <v>151</v>
      </c>
      <c r="R717" s="63" t="str">
        <f>VLOOKUP($Q717,Resultados!$A$1:$B$49,2,FALSE)</f>
        <v>Prisión Preventiva</v>
      </c>
      <c r="S717" s="63" t="s">
        <v>2689</v>
      </c>
      <c r="T717" s="81" t="str">
        <f>IF(G717=$J$1,"SI","NO")</f>
        <v>NO</v>
      </c>
      <c r="U717" s="81"/>
      <c r="V717" s="7" t="str">
        <f ca="1">IF(color_Celda(E717)=12106214,"ROSA",IF(color_Celda(E717)=65535,"AMARILLO",IF(color_Celda(E717)=5296274,"VERDE",IF(color_Celda(E717)=16777215,"BLANCO","NO SE"))))</f>
        <v>ROSA</v>
      </c>
      <c r="W717" s="63" t="s">
        <v>1031</v>
      </c>
      <c r="X717" s="365"/>
      <c r="Y717" s="63"/>
      <c r="Z717" s="118" t="s">
        <v>748</v>
      </c>
      <c r="AA717" s="118" t="s">
        <v>1165</v>
      </c>
      <c r="AB717" s="118" t="s">
        <v>1169</v>
      </c>
      <c r="AC717" s="324"/>
    </row>
    <row r="718" spans="1:29" ht="60" customHeight="1">
      <c r="A718" s="63">
        <v>709</v>
      </c>
      <c r="B718" s="65">
        <v>45196</v>
      </c>
      <c r="C718" s="70">
        <v>0.48194444444444445</v>
      </c>
      <c r="D718" s="63" t="s">
        <v>2992</v>
      </c>
      <c r="E718" s="64" t="s">
        <v>3269</v>
      </c>
      <c r="F718" s="63">
        <v>1</v>
      </c>
      <c r="G718" s="63" t="s">
        <v>568</v>
      </c>
      <c r="H718" s="208">
        <v>45210</v>
      </c>
      <c r="I718" s="65" t="s">
        <v>73</v>
      </c>
      <c r="J718" s="65" t="s">
        <v>35</v>
      </c>
      <c r="K718" s="63">
        <f>IFERROR(VLOOKUP(J718,Jueces!$A$1:$B$11,2,FALSE),"")</f>
        <v>3</v>
      </c>
      <c r="L718" s="63" t="s">
        <v>2075</v>
      </c>
      <c r="M718" s="63" t="s">
        <v>712</v>
      </c>
      <c r="N718" s="63" t="s">
        <v>3306</v>
      </c>
      <c r="O718" s="78" t="str">
        <f ca="1">IF(H718&lt;&gt;"",IF(H718&lt;=TODAY(),"SI","NO"),"LIMBO")</f>
        <v>SI</v>
      </c>
      <c r="P718" s="78" t="str">
        <f>IF($P$1=H718,"DIASOL", "DIANOSOL")</f>
        <v>DIANOSOL</v>
      </c>
      <c r="Q718" s="63" t="s">
        <v>903</v>
      </c>
      <c r="R718" s="63" t="str">
        <f>VLOOKUP($Q718,Resultados!$A$1:$B$49,2,FALSE)</f>
        <v>Juicio Abreviado</v>
      </c>
      <c r="S718" s="70">
        <v>0.3576388888888889</v>
      </c>
      <c r="T718" s="81" t="str">
        <f>IF(G718=$J$1,"SI","NO")</f>
        <v>NO</v>
      </c>
      <c r="U718" s="81"/>
      <c r="V718" s="7" t="str">
        <f ca="1">IF(color_Celda(E718)=12106214,"ROSA",IF(color_Celda(E718)=65535,"AMARILLO",IF(color_Celda(E718)=5296274,"VERDE",IF(color_Celda(E718)=16777215,"BLANCO","NO SE"))))</f>
        <v>ROSA</v>
      </c>
      <c r="W718" s="63" t="s">
        <v>1450</v>
      </c>
      <c r="X718" s="366" t="s">
        <v>3307</v>
      </c>
      <c r="Y718" s="63"/>
      <c r="Z718" s="118" t="s">
        <v>770</v>
      </c>
      <c r="AA718" s="118" t="s">
        <v>1165</v>
      </c>
      <c r="AB718" s="118" t="s">
        <v>3258</v>
      </c>
      <c r="AC718" s="324"/>
    </row>
    <row r="719" spans="1:29" ht="60" customHeight="1">
      <c r="A719" s="63">
        <v>712</v>
      </c>
      <c r="B719" s="65">
        <v>45197</v>
      </c>
      <c r="C719" s="70">
        <v>0.33333333333333331</v>
      </c>
      <c r="D719" s="63" t="s">
        <v>3004</v>
      </c>
      <c r="E719" s="64" t="s">
        <v>3065</v>
      </c>
      <c r="F719" s="63">
        <v>8</v>
      </c>
      <c r="G719" s="63" t="s">
        <v>2815</v>
      </c>
      <c r="H719" s="208">
        <v>45210</v>
      </c>
      <c r="I719" s="65" t="s">
        <v>73</v>
      </c>
      <c r="J719" s="65" t="s">
        <v>1723</v>
      </c>
      <c r="K719" s="63" t="s">
        <v>1341</v>
      </c>
      <c r="L719" s="63" t="s">
        <v>807</v>
      </c>
      <c r="M719" s="63" t="s">
        <v>697</v>
      </c>
      <c r="N719" s="63" t="s">
        <v>3365</v>
      </c>
      <c r="O719" s="78" t="str">
        <f ca="1">IF(H719&lt;&gt;"",IF(H719&lt;=TODAY(),"SI","NO"),"LIMBO")</f>
        <v>SI</v>
      </c>
      <c r="P719" s="78" t="str">
        <f>IF($P$1=H719,"DIASOL", "DIANOSOL")</f>
        <v>DIANOSOL</v>
      </c>
      <c r="Q719" s="63" t="s">
        <v>903</v>
      </c>
      <c r="R719" s="63" t="s">
        <v>100</v>
      </c>
      <c r="S719" s="63" t="s">
        <v>3312</v>
      </c>
      <c r="T719" s="81" t="str">
        <f>IF(G719=$J$1,"SI","NO")</f>
        <v>NO</v>
      </c>
      <c r="U719" s="81"/>
      <c r="V719" s="7" t="str">
        <f ca="1">IF(color_Celda(E719)=12106214,"ROSA",IF(color_Celda(E719)=65535,"AMARILLO",IF(color_Celda(E719)=5296274,"VERDE",IF(color_Celda(E719)=16777215,"BLANCO","NO SE"))))</f>
        <v>ROSA</v>
      </c>
      <c r="W719" s="63" t="s">
        <v>3313</v>
      </c>
      <c r="X719" s="223"/>
      <c r="Y719" s="63"/>
      <c r="Z719" s="118" t="s">
        <v>2869</v>
      </c>
      <c r="AA719" s="118" t="s">
        <v>2828</v>
      </c>
      <c r="AB719" s="118" t="s">
        <v>1171</v>
      </c>
      <c r="AC719" s="324"/>
    </row>
    <row r="720" spans="1:29" ht="60" customHeight="1">
      <c r="A720" s="63">
        <v>702</v>
      </c>
      <c r="B720" s="65">
        <v>45195</v>
      </c>
      <c r="C720" s="70">
        <v>0.5395833333333333</v>
      </c>
      <c r="D720" s="63" t="s">
        <v>2965</v>
      </c>
      <c r="E720" s="64" t="s">
        <v>3062</v>
      </c>
      <c r="F720" s="63">
        <v>1</v>
      </c>
      <c r="G720" s="63" t="s">
        <v>1434</v>
      </c>
      <c r="H720" s="208">
        <v>45210</v>
      </c>
      <c r="I720" s="65" t="s">
        <v>1083</v>
      </c>
      <c r="J720" s="65" t="s">
        <v>2922</v>
      </c>
      <c r="K720" s="63" t="s">
        <v>1916</v>
      </c>
      <c r="L720" s="63" t="s">
        <v>2219</v>
      </c>
      <c r="M720" s="63" t="s">
        <v>712</v>
      </c>
      <c r="N720" s="63" t="s">
        <v>3308</v>
      </c>
      <c r="O720" s="78" t="str">
        <f ca="1">IF(H720&lt;&gt;"",IF(H720&lt;=TODAY(),"SI","NO"),"LIMBO")</f>
        <v>SI</v>
      </c>
      <c r="P720" s="78" t="str">
        <f>IF($P$1=H720,"DIASOL", "DIANOSOL")</f>
        <v>DIANOSOL</v>
      </c>
      <c r="Q720" s="63" t="s">
        <v>897</v>
      </c>
      <c r="R720" s="63" t="str">
        <f>VLOOKUP($Q720,Resultados!$A$1:$B$49,2,FALSE)</f>
        <v>Libertad</v>
      </c>
      <c r="S720" s="63" t="s">
        <v>1047</v>
      </c>
      <c r="T720" s="81" t="str">
        <f>IF(G720=$J$1,"SI","NO")</f>
        <v>NO</v>
      </c>
      <c r="U720" s="81"/>
      <c r="V720" s="7" t="str">
        <f ca="1">IF(color_Celda(E720)=12106214,"ROSA",IF(color_Celda(E720)=65535,"AMARILLO",IF(color_Celda(E720)=5296274,"VERDE",IF(color_Celda(E720)=16777215,"BLANCO","NO SE"))))</f>
        <v>ROSA</v>
      </c>
      <c r="W720" s="63" t="s">
        <v>1272</v>
      </c>
      <c r="X720" s="63"/>
      <c r="Y720" s="63"/>
      <c r="Z720" s="118" t="s">
        <v>2843</v>
      </c>
      <c r="AA720" s="118" t="s">
        <v>1167</v>
      </c>
      <c r="AB720" s="118" t="s">
        <v>1173</v>
      </c>
      <c r="AC720" s="324"/>
    </row>
    <row r="721" spans="1:29" ht="60" customHeight="1">
      <c r="A721" s="63">
        <v>745</v>
      </c>
      <c r="B721" s="65">
        <v>45202</v>
      </c>
      <c r="C721" s="70">
        <v>0.44861111111111113</v>
      </c>
      <c r="D721" s="63" t="s">
        <v>3127</v>
      </c>
      <c r="E721" s="64" t="s">
        <v>3166</v>
      </c>
      <c r="F721" s="63">
        <v>2</v>
      </c>
      <c r="G721" s="63" t="s">
        <v>1435</v>
      </c>
      <c r="H721" s="208">
        <v>45210</v>
      </c>
      <c r="I721" s="65" t="s">
        <v>1083</v>
      </c>
      <c r="J721" s="65" t="s">
        <v>1221</v>
      </c>
      <c r="K721" s="63">
        <f>IFERROR(VLOOKUP(J721,Jueces!$A$1:$B$11,2,FALSE),"")</f>
        <v>6</v>
      </c>
      <c r="L721" s="63" t="s">
        <v>791</v>
      </c>
      <c r="M721" s="63" t="s">
        <v>692</v>
      </c>
      <c r="N721" s="63" t="s">
        <v>3319</v>
      </c>
      <c r="O721" s="78" t="str">
        <f ca="1">IF(H721&lt;&gt;"",IF(H721&lt;=TODAY(),"SI","NO"),"LIMBO")</f>
        <v>SI</v>
      </c>
      <c r="P721" s="78" t="str">
        <f>IF($P$1=H721,"DIASOL", "DIANOSOL")</f>
        <v>DIANOSOL</v>
      </c>
      <c r="Q721" s="63" t="s">
        <v>151</v>
      </c>
      <c r="R721" s="63" t="str">
        <f>VLOOKUP($Q721,Resultados!$A$1:$B$49,2,FALSE)</f>
        <v>Prisión Preventiva</v>
      </c>
      <c r="S721" s="63" t="s">
        <v>1062</v>
      </c>
      <c r="T721" s="81" t="str">
        <f>IF(G721=$J$1,"SI","NO")</f>
        <v>SI</v>
      </c>
      <c r="U721" s="81"/>
      <c r="V721" s="7" t="str">
        <f ca="1">IF(color_Celda(E721)=12106214,"ROSA",IF(color_Celda(E721)=65535,"AMARILLO",IF(color_Celda(E721)=5296274,"VERDE",IF(color_Celda(E721)=16777215,"BLANCO","NO SE"))))</f>
        <v>ROSA</v>
      </c>
      <c r="W721" s="63" t="s">
        <v>1121</v>
      </c>
      <c r="X721" s="63"/>
      <c r="Y721" s="63"/>
      <c r="Z721" s="118" t="s">
        <v>748</v>
      </c>
      <c r="AA721" s="304" t="s">
        <v>1167</v>
      </c>
      <c r="AB721" s="118" t="s">
        <v>1170</v>
      </c>
      <c r="AC721" s="645"/>
    </row>
    <row r="722" spans="1:29" ht="60" customHeight="1">
      <c r="A722" s="63">
        <v>704</v>
      </c>
      <c r="B722" s="65">
        <v>45195</v>
      </c>
      <c r="C722" s="70">
        <v>0.53194444444444444</v>
      </c>
      <c r="D722" s="63" t="s">
        <v>2967</v>
      </c>
      <c r="E722" s="64" t="s">
        <v>3071</v>
      </c>
      <c r="F722" s="63">
        <v>1</v>
      </c>
      <c r="G722" s="63" t="s">
        <v>283</v>
      </c>
      <c r="H722" s="208">
        <v>45210</v>
      </c>
      <c r="I722" s="65" t="s">
        <v>547</v>
      </c>
      <c r="J722" s="65" t="s">
        <v>33</v>
      </c>
      <c r="K722" s="63">
        <f>IFERROR(VLOOKUP(J722,Jueces!$A$1:$B$11,2,FALSE),"")</f>
        <v>4</v>
      </c>
      <c r="L722" s="63" t="s">
        <v>810</v>
      </c>
      <c r="M722" s="63" t="s">
        <v>711</v>
      </c>
      <c r="N722" s="63" t="s">
        <v>3310</v>
      </c>
      <c r="O722" s="78" t="str">
        <f ca="1">IF(H722&lt;&gt;"",IF(H722&lt;=TODAY(),"SI","NO"),"LIMBO")</f>
        <v>SI</v>
      </c>
      <c r="P722" s="78" t="str">
        <f>IF($P$1=H722,"DIASOL", "DIANOSOL")</f>
        <v>DIANOSOL</v>
      </c>
      <c r="Q722" s="63" t="s">
        <v>902</v>
      </c>
      <c r="R722" s="63" t="str">
        <f>VLOOKUP($Q722,Resultados!$A$1:$B$49,2,FALSE)</f>
        <v>Juicio Abreviado</v>
      </c>
      <c r="S722" s="63" t="s">
        <v>3309</v>
      </c>
      <c r="T722" s="81" t="str">
        <f>IF(G722=$J$1,"SI","NO")</f>
        <v>NO</v>
      </c>
      <c r="U722" s="81"/>
      <c r="V722" s="7" t="str">
        <f ca="1">IF(color_Celda(E722)=12106214,"ROSA",IF(color_Celda(E722)=65535,"AMARILLO",IF(color_Celda(E722)=5296274,"VERDE",IF(color_Celda(E722)=16777215,"BLANCO","NO SE"))))</f>
        <v>ROSA</v>
      </c>
      <c r="W722" s="63" t="s">
        <v>1630</v>
      </c>
      <c r="X722" s="259" t="s">
        <v>3311</v>
      </c>
      <c r="Y722" s="63"/>
      <c r="Z722" s="118" t="s">
        <v>2869</v>
      </c>
      <c r="AA722" s="118" t="s">
        <v>2828</v>
      </c>
      <c r="AB722" s="118" t="s">
        <v>1169</v>
      </c>
      <c r="AC722" s="324"/>
    </row>
    <row r="723" spans="1:29" ht="60" customHeight="1">
      <c r="A723" s="63">
        <v>730</v>
      </c>
      <c r="B723" s="65">
        <v>45197</v>
      </c>
      <c r="C723" s="63" t="s">
        <v>1457</v>
      </c>
      <c r="D723" s="63" t="s">
        <v>3066</v>
      </c>
      <c r="E723" s="64" t="s">
        <v>3072</v>
      </c>
      <c r="F723" s="63">
        <v>1</v>
      </c>
      <c r="G723" s="63" t="s">
        <v>1433</v>
      </c>
      <c r="H723" s="208">
        <v>45210</v>
      </c>
      <c r="I723" s="65" t="s">
        <v>1554</v>
      </c>
      <c r="J723" s="65" t="s">
        <v>33</v>
      </c>
      <c r="K723" s="63">
        <f>IFERROR(VLOOKUP(J723,Jueces!$A$1:$B$11,2,FALSE),"")</f>
        <v>4</v>
      </c>
      <c r="L723" s="63" t="s">
        <v>798</v>
      </c>
      <c r="M723" s="63" t="s">
        <v>1175</v>
      </c>
      <c r="N723" s="63" t="s">
        <v>3314</v>
      </c>
      <c r="O723" s="78" t="str">
        <f ca="1">IF(H723&lt;&gt;"",IF(H723&lt;=TODAY(),"SI","NO"),"LIMBO")</f>
        <v>SI</v>
      </c>
      <c r="P723" s="78" t="str">
        <f>IF($P$1=H723,"DIASOL", "DIANOSOL")</f>
        <v>DIANOSOL</v>
      </c>
      <c r="Q723" s="63" t="s">
        <v>903</v>
      </c>
      <c r="R723" s="63" t="str">
        <f>VLOOKUP($Q723,Resultados!$A$1:$B$49,2,FALSE)</f>
        <v>Juicio Abreviado</v>
      </c>
      <c r="S723" s="63" t="s">
        <v>3312</v>
      </c>
      <c r="T723" s="63" t="s">
        <v>3313</v>
      </c>
      <c r="U723" s="81"/>
      <c r="V723" s="7" t="str">
        <f ca="1">IF(color_Celda(E723)=12106214,"ROSA",IF(color_Celda(E723)=65535,"AMARILLO",IF(color_Celda(E723)=5296274,"VERDE",IF(color_Celda(E723)=16777215,"BLANCO","NO SE"))))</f>
        <v>ROSA</v>
      </c>
      <c r="W723" s="63" t="s">
        <v>3313</v>
      </c>
      <c r="X723" s="366" t="s">
        <v>3315</v>
      </c>
      <c r="Y723" s="63"/>
      <c r="Z723" s="118" t="s">
        <v>743</v>
      </c>
      <c r="AA723" s="118" t="s">
        <v>1165</v>
      </c>
      <c r="AB723" s="118" t="s">
        <v>1171</v>
      </c>
      <c r="AC723" s="324"/>
    </row>
    <row r="724" spans="1:29" ht="60" customHeight="1">
      <c r="A724" s="63">
        <v>724</v>
      </c>
      <c r="B724" s="65">
        <v>45198</v>
      </c>
      <c r="C724" s="63" t="s">
        <v>2259</v>
      </c>
      <c r="D724" s="63" t="s">
        <v>3049</v>
      </c>
      <c r="E724" s="64" t="s">
        <v>3241</v>
      </c>
      <c r="F724" s="63">
        <v>1</v>
      </c>
      <c r="G724" s="63" t="s">
        <v>29</v>
      </c>
      <c r="H724" s="208">
        <v>45210</v>
      </c>
      <c r="I724" s="65" t="s">
        <v>1554</v>
      </c>
      <c r="J724" s="65" t="s">
        <v>1217</v>
      </c>
      <c r="K724" s="63" t="s">
        <v>1341</v>
      </c>
      <c r="L724" s="63" t="s">
        <v>2715</v>
      </c>
      <c r="M724" s="63" t="s">
        <v>711</v>
      </c>
      <c r="N724" s="63" t="s">
        <v>1744</v>
      </c>
      <c r="O724" s="78" t="str">
        <f ca="1">IF(H724&lt;&gt;"",IF(H724&lt;=TODAY(),"SI","NO"),"LIMBO")</f>
        <v>SI</v>
      </c>
      <c r="P724" s="78" t="str">
        <f>IF($P$1=H724,"DIASOL", "DIANOSOL")</f>
        <v>DIANOSOL</v>
      </c>
      <c r="Q724" s="63" t="s">
        <v>151</v>
      </c>
      <c r="R724" s="63" t="str">
        <f>VLOOKUP($Q724,Resultados!$A$1:$B$49,2,FALSE)</f>
        <v>Prisión Preventiva</v>
      </c>
      <c r="S724" s="63" t="s">
        <v>1235</v>
      </c>
      <c r="T724" s="81" t="str">
        <f>IF(G724=$J$1,"SI","NO")</f>
        <v>NO</v>
      </c>
      <c r="U724" s="81"/>
      <c r="V724" s="7" t="str">
        <f ca="1">IF(color_Celda(E724)=12106214,"ROSA",IF(color_Celda(E724)=65535,"AMARILLO",IF(color_Celda(E724)=5296274,"VERDE",IF(color_Celda(E724)=16777215,"BLANCO","NO SE"))))</f>
        <v>ROSA</v>
      </c>
      <c r="W724" s="63" t="s">
        <v>3316</v>
      </c>
      <c r="X724" s="676" t="s">
        <v>3317</v>
      </c>
      <c r="Y724" s="63"/>
      <c r="Z724" s="118" t="s">
        <v>770</v>
      </c>
      <c r="AA724" s="118" t="s">
        <v>1167</v>
      </c>
      <c r="AB724" s="118" t="s">
        <v>3258</v>
      </c>
      <c r="AC724" s="324"/>
    </row>
    <row r="725" spans="1:29" ht="60" customHeight="1">
      <c r="A725" s="63">
        <v>670</v>
      </c>
      <c r="B725" s="65">
        <v>45189</v>
      </c>
      <c r="C725" s="70">
        <v>0.43472222222222223</v>
      </c>
      <c r="D725" s="63" t="s">
        <v>2826</v>
      </c>
      <c r="E725" s="64" t="s">
        <v>2861</v>
      </c>
      <c r="F725" s="63">
        <v>7</v>
      </c>
      <c r="G725" s="63" t="s">
        <v>283</v>
      </c>
      <c r="H725" s="208">
        <v>45211</v>
      </c>
      <c r="I725" s="65" t="s">
        <v>73</v>
      </c>
      <c r="J725" s="65" t="s">
        <v>35</v>
      </c>
      <c r="K725" s="63">
        <f>IFERROR(VLOOKUP(J725,Jueces!$A$1:$B$11,2,FALSE),"")</f>
        <v>3</v>
      </c>
      <c r="L725" s="63" t="s">
        <v>1067</v>
      </c>
      <c r="M725" s="63" t="s">
        <v>2860</v>
      </c>
      <c r="N725" s="63" t="s">
        <v>3362</v>
      </c>
      <c r="O725" s="63" t="str">
        <f ca="1">IF(H725&lt;&gt;"",IF(H725&lt;=TODAY(),"SI","NO"),"LIMBO")</f>
        <v>SI</v>
      </c>
      <c r="P725" s="63" t="str">
        <f>IF($P$1=H725,"DIASOL", "DIANOSOL")</f>
        <v>DIANOSOL</v>
      </c>
      <c r="Q725" s="63" t="s">
        <v>151</v>
      </c>
      <c r="R725" s="63" t="s">
        <v>151</v>
      </c>
      <c r="S725" s="63" t="s">
        <v>1183</v>
      </c>
      <c r="T725" s="72" t="str">
        <f>IF(G725=$J$1,"SI","NO")</f>
        <v>NO</v>
      </c>
      <c r="U725" s="72"/>
      <c r="V725" s="7" t="str">
        <f ca="1">IF(color_Celda(E725)=12106214,"ROSA",IF(color_Celda(E725)=65535,"AMARILLO",IF(color_Celda(E725)=5296274,"VERDE",IF(color_Celda(E725)=16777215,"BLANCO","NO SE"))))</f>
        <v>ROSA</v>
      </c>
      <c r="W725" s="63" t="s">
        <v>3363</v>
      </c>
      <c r="X725" s="63" t="s">
        <v>3364</v>
      </c>
      <c r="Y725" s="63"/>
      <c r="Z725" s="304" t="s">
        <v>770</v>
      </c>
      <c r="AA725" s="118" t="s">
        <v>2828</v>
      </c>
      <c r="AB725" s="72" t="s">
        <v>3322</v>
      </c>
      <c r="AC725" s="645"/>
    </row>
    <row r="726" spans="1:29" ht="60" customHeight="1">
      <c r="A726" s="63">
        <v>728</v>
      </c>
      <c r="B726" s="65">
        <v>45197</v>
      </c>
      <c r="C726" s="63" t="s">
        <v>1367</v>
      </c>
      <c r="D726" s="63" t="s">
        <v>3054</v>
      </c>
      <c r="E726" s="64" t="s">
        <v>3055</v>
      </c>
      <c r="F726" s="63">
        <v>8</v>
      </c>
      <c r="G726" s="63" t="s">
        <v>43</v>
      </c>
      <c r="H726" s="208">
        <v>45211</v>
      </c>
      <c r="I726" s="65" t="s">
        <v>73</v>
      </c>
      <c r="J726" s="65" t="s">
        <v>1216</v>
      </c>
      <c r="K726" s="63">
        <f>IFERROR(VLOOKUP(J726,Jueces!$A$1:$B$11,2,FALSE),"")</f>
        <v>1</v>
      </c>
      <c r="L726" s="63" t="s">
        <v>809</v>
      </c>
      <c r="M726" s="63" t="s">
        <v>1084</v>
      </c>
      <c r="N726" s="63" t="s">
        <v>3366</v>
      </c>
      <c r="O726" s="63" t="str">
        <f ca="1">IF(H726&lt;&gt;"",IF(H726&lt;=TODAY(),"SI","NO"),"LIMBO")</f>
        <v>SI</v>
      </c>
      <c r="P726" s="63" t="str">
        <f>IF($P$1=H726,"DIASOL", "DIANOSOL")</f>
        <v>DIANOSOL</v>
      </c>
      <c r="Q726" s="63" t="s">
        <v>903</v>
      </c>
      <c r="R726" s="63" t="str">
        <f>VLOOKUP($Q726,Resultados!$A$1:$B$49,2,FALSE)</f>
        <v>Juicio Abreviado</v>
      </c>
      <c r="S726" s="63" t="s">
        <v>1206</v>
      </c>
      <c r="T726" s="72" t="str">
        <f>IF(G726=$J$1,"SI","NO")</f>
        <v>NO</v>
      </c>
      <c r="U726" s="72"/>
      <c r="V726" s="7" t="str">
        <f ca="1">IF(color_Celda(E726)=12106214,"ROSA",IF(color_Celda(E726)=65535,"AMARILLO",IF(color_Celda(E726)=5296274,"VERDE",IF(color_Celda(E726)=16777215,"BLANCO","NO SE"))))</f>
        <v>ROSA</v>
      </c>
      <c r="W726" s="63" t="s">
        <v>2548</v>
      </c>
      <c r="X726" s="63" t="s">
        <v>3367</v>
      </c>
      <c r="Y726" s="63"/>
      <c r="Z726" s="304" t="s">
        <v>3320</v>
      </c>
      <c r="AA726" s="118" t="s">
        <v>1165</v>
      </c>
      <c r="AB726" s="118" t="s">
        <v>1169</v>
      </c>
      <c r="AC726" s="324"/>
    </row>
    <row r="727" spans="1:29" ht="60" customHeight="1">
      <c r="A727" s="63">
        <v>736</v>
      </c>
      <c r="B727" s="65">
        <v>45201</v>
      </c>
      <c r="C727" s="70">
        <v>0.38958333333333334</v>
      </c>
      <c r="D727" s="63" t="s">
        <v>2668</v>
      </c>
      <c r="E727" s="64" t="s">
        <v>2707</v>
      </c>
      <c r="F727" s="63">
        <v>8</v>
      </c>
      <c r="G727" s="63" t="s">
        <v>2752</v>
      </c>
      <c r="H727" s="208">
        <v>45211</v>
      </c>
      <c r="I727" s="65" t="s">
        <v>73</v>
      </c>
      <c r="J727" s="65" t="s">
        <v>1217</v>
      </c>
      <c r="K727" s="63" t="s">
        <v>2324</v>
      </c>
      <c r="L727" s="63" t="s">
        <v>789</v>
      </c>
      <c r="M727" s="63" t="s">
        <v>885</v>
      </c>
      <c r="N727" s="63" t="s">
        <v>3355</v>
      </c>
      <c r="O727" s="63" t="str">
        <f ca="1">IF(H727&lt;&gt;"",IF(H727&lt;=TODAY(),"SI","NO"),"LIMBO")</f>
        <v>SI</v>
      </c>
      <c r="P727" s="63" t="str">
        <f>IF($P$1=H727,"DIASOL", "DIANOSOL")</f>
        <v>DIANOSOL</v>
      </c>
      <c r="Q727" s="63" t="s">
        <v>902</v>
      </c>
      <c r="R727" s="63" t="str">
        <f>VLOOKUP($Q727,Resultados!$A$1:$B$49,2,FALSE)</f>
        <v>Juicio Abreviado</v>
      </c>
      <c r="S727" s="70" t="s">
        <v>1125</v>
      </c>
      <c r="T727" s="72" t="str">
        <f>IF(G727=$J$1,"SI","NO")</f>
        <v>NO</v>
      </c>
      <c r="U727" s="72"/>
      <c r="V727" s="7" t="str">
        <f ca="1">IF(color_Celda(E727)=12106214,"ROSA",IF(color_Celda(E727)=65535,"AMARILLO",IF(color_Celda(E727)=5296274,"VERDE",IF(color_Celda(E727)=16777215,"BLANCO","NO SE"))))</f>
        <v>ROSA</v>
      </c>
      <c r="W727" s="63" t="s">
        <v>1131</v>
      </c>
      <c r="X727" s="63" t="s">
        <v>2954</v>
      </c>
      <c r="Y727" s="63"/>
      <c r="Z727" s="304" t="s">
        <v>2869</v>
      </c>
      <c r="AA727" s="118" t="s">
        <v>2828</v>
      </c>
      <c r="AB727" s="118" t="s">
        <v>3258</v>
      </c>
      <c r="AC727" s="324"/>
    </row>
    <row r="728" spans="1:29" ht="60" customHeight="1">
      <c r="A728" s="63">
        <v>746</v>
      </c>
      <c r="B728" s="65">
        <v>45202</v>
      </c>
      <c r="C728" s="70">
        <v>0.47500000000000003</v>
      </c>
      <c r="D728" s="63" t="s">
        <v>3128</v>
      </c>
      <c r="E728" s="64" t="s">
        <v>3129</v>
      </c>
      <c r="F728" s="63">
        <v>1</v>
      </c>
      <c r="G728" s="63" t="s">
        <v>2766</v>
      </c>
      <c r="H728" s="208">
        <v>45211</v>
      </c>
      <c r="I728" s="65" t="s">
        <v>73</v>
      </c>
      <c r="J728" s="65" t="s">
        <v>1723</v>
      </c>
      <c r="K728" s="63" t="s">
        <v>1916</v>
      </c>
      <c r="L728" s="63" t="s">
        <v>800</v>
      </c>
      <c r="M728" s="63" t="s">
        <v>711</v>
      </c>
      <c r="N728" s="63" t="s">
        <v>3356</v>
      </c>
      <c r="O728" s="63" t="str">
        <f ca="1">IF(H728&lt;&gt;"",IF(H728&lt;=TODAY(),"SI","NO"),"LIMBO")</f>
        <v>SI</v>
      </c>
      <c r="P728" s="63" t="str">
        <f>IF($P$1=H728,"DIASOL", "DIANOSOL")</f>
        <v>DIANOSOL</v>
      </c>
      <c r="Q728" s="63" t="s">
        <v>903</v>
      </c>
      <c r="R728" s="63" t="str">
        <f>VLOOKUP($Q728,Resultados!$A$1:$B$49,2,FALSE)</f>
        <v>Juicio Abreviado</v>
      </c>
      <c r="S728" s="63" t="s">
        <v>1579</v>
      </c>
      <c r="T728" s="72" t="str">
        <f>IF(G728=$J$1,"SI","NO")</f>
        <v>NO</v>
      </c>
      <c r="U728" s="72"/>
      <c r="V728" s="7" t="str">
        <f ca="1">IF(color_Celda(E728)=12106214,"ROSA",IF(color_Celda(E728)=65535,"AMARILLO",IF(color_Celda(E728)=5296274,"VERDE",IF(color_Celda(E728)=16777215,"BLANCO","NO SE"))))</f>
        <v>ROSA</v>
      </c>
      <c r="W728" s="63" t="s">
        <v>1007</v>
      </c>
      <c r="X728" s="63" t="s">
        <v>2552</v>
      </c>
      <c r="Y728" s="63"/>
      <c r="Z728" s="304" t="s">
        <v>2843</v>
      </c>
      <c r="AA728" s="304" t="s">
        <v>1167</v>
      </c>
      <c r="AB728" s="118" t="s">
        <v>1171</v>
      </c>
      <c r="AC728" s="698"/>
    </row>
    <row r="729" spans="1:29" ht="60" customHeight="1">
      <c r="A729" s="63">
        <v>660</v>
      </c>
      <c r="B729" s="65">
        <v>45188</v>
      </c>
      <c r="C729" s="70">
        <v>0.50624999999999998</v>
      </c>
      <c r="D729" s="63" t="s">
        <v>2795</v>
      </c>
      <c r="E729" s="64" t="s">
        <v>2796</v>
      </c>
      <c r="F729" s="63">
        <v>8</v>
      </c>
      <c r="G729" s="63" t="s">
        <v>1433</v>
      </c>
      <c r="H729" s="208">
        <v>45211</v>
      </c>
      <c r="I729" s="65" t="s">
        <v>1083</v>
      </c>
      <c r="J729" s="65" t="s">
        <v>2922</v>
      </c>
      <c r="K729" s="63" t="s">
        <v>1916</v>
      </c>
      <c r="L729" s="63" t="s">
        <v>811</v>
      </c>
      <c r="M729" s="63" t="s">
        <v>1084</v>
      </c>
      <c r="N729" s="223" t="s">
        <v>3357</v>
      </c>
      <c r="O729" s="63" t="str">
        <f ca="1">IF(H729&lt;&gt;"",IF(H729&lt;=TODAY(),"SI","NO"),"LIMBO")</f>
        <v>SI</v>
      </c>
      <c r="P729" s="63" t="str">
        <f>IF($P$1=H729,"DIASOL", "DIANOSOL")</f>
        <v>DIANOSOL</v>
      </c>
      <c r="Q729" s="63" t="s">
        <v>902</v>
      </c>
      <c r="R729" s="63" t="str">
        <f>VLOOKUP($Q729,Resultados!$A$1:$B$49,2,FALSE)</f>
        <v>Juicio Abreviado</v>
      </c>
      <c r="S729" s="63" t="s">
        <v>3358</v>
      </c>
      <c r="T729" s="72" t="str">
        <f>IF(G729=$J$1,"SI","NO")</f>
        <v>NO</v>
      </c>
      <c r="U729" s="72"/>
      <c r="V729" s="7" t="str">
        <f ca="1">IF(color_Celda(E729)=12106214,"ROSA",IF(color_Celda(E729)=65535,"AMARILLO",IF(color_Celda(E729)=5296274,"VERDE",IF(color_Celda(E729)=16777215,"BLANCO","NO SE"))))</f>
        <v>ROSA</v>
      </c>
      <c r="W729" s="63" t="s">
        <v>1129</v>
      </c>
      <c r="X729" s="63" t="s">
        <v>2137</v>
      </c>
      <c r="Y729" s="63"/>
      <c r="Z729" s="304" t="s">
        <v>2843</v>
      </c>
      <c r="AA729" s="118" t="s">
        <v>1167</v>
      </c>
      <c r="AB729" s="118" t="s">
        <v>3322</v>
      </c>
      <c r="AC729" s="698"/>
    </row>
    <row r="730" spans="1:29" ht="60" customHeight="1">
      <c r="A730" s="63">
        <v>677</v>
      </c>
      <c r="B730" s="65">
        <v>45190</v>
      </c>
      <c r="C730" s="70">
        <v>0.3840277777777778</v>
      </c>
      <c r="D730" s="63" t="s">
        <v>2856</v>
      </c>
      <c r="E730" s="64" t="s">
        <v>2857</v>
      </c>
      <c r="F730" s="63">
        <v>8</v>
      </c>
      <c r="G730" s="63" t="s">
        <v>1434</v>
      </c>
      <c r="H730" s="208">
        <v>45211</v>
      </c>
      <c r="I730" s="65" t="s">
        <v>1083</v>
      </c>
      <c r="J730" s="65" t="s">
        <v>1217</v>
      </c>
      <c r="K730" s="63" t="s">
        <v>2324</v>
      </c>
      <c r="L730" s="63" t="s">
        <v>806</v>
      </c>
      <c r="M730" s="63" t="s">
        <v>885</v>
      </c>
      <c r="N730" s="223" t="s">
        <v>3359</v>
      </c>
      <c r="O730" s="63" t="str">
        <f ca="1">IF(H730&lt;&gt;"",IF(H730&lt;=TODAY(),"SI","NO"),"LIMBO")</f>
        <v>SI</v>
      </c>
      <c r="P730" s="63" t="str">
        <f>IF($P$1=H730,"DIASOL", "DIANOSOL")</f>
        <v>DIANOSOL</v>
      </c>
      <c r="Q730" s="63" t="s">
        <v>902</v>
      </c>
      <c r="R730" s="63" t="str">
        <f>VLOOKUP($Q730,Resultados!$A$1:$B$49,2,FALSE)</f>
        <v>Juicio Abreviado</v>
      </c>
      <c r="S730" s="63" t="s">
        <v>1033</v>
      </c>
      <c r="T730" s="72" t="str">
        <f>IF(G730=$J$1,"SI","NO")</f>
        <v>NO</v>
      </c>
      <c r="U730" s="72"/>
      <c r="V730" s="7" t="str">
        <f ca="1">IF(color_Celda(E730)=12106214,"ROSA",IF(color_Celda(E730)=65535,"AMARILLO",IF(color_Celda(E730)=5296274,"VERDE",IF(color_Celda(E730)=16777215,"BLANCO","NO SE"))))</f>
        <v>ROSA</v>
      </c>
      <c r="W730" s="63" t="s">
        <v>3360</v>
      </c>
      <c r="X730" s="63" t="s">
        <v>3155</v>
      </c>
      <c r="Y730" s="63"/>
      <c r="Z730" s="304" t="s">
        <v>2869</v>
      </c>
      <c r="AA730" s="118" t="s">
        <v>2828</v>
      </c>
      <c r="AB730" s="118" t="s">
        <v>1169</v>
      </c>
      <c r="AC730" s="698"/>
    </row>
    <row r="731" spans="1:29" ht="60" customHeight="1">
      <c r="A731" s="63">
        <v>715</v>
      </c>
      <c r="B731" s="65">
        <v>45197</v>
      </c>
      <c r="C731" s="63" t="s">
        <v>1442</v>
      </c>
      <c r="D731" s="63" t="s">
        <v>3008</v>
      </c>
      <c r="E731" s="64" t="s">
        <v>3070</v>
      </c>
      <c r="F731" s="63">
        <v>1</v>
      </c>
      <c r="G731" s="63" t="s">
        <v>2753</v>
      </c>
      <c r="H731" s="208">
        <v>45211</v>
      </c>
      <c r="I731" s="65" t="s">
        <v>2011</v>
      </c>
      <c r="J731" s="65" t="s">
        <v>33</v>
      </c>
      <c r="K731" s="63" t="s">
        <v>1916</v>
      </c>
      <c r="L731" s="63" t="s">
        <v>805</v>
      </c>
      <c r="M731" s="63" t="s">
        <v>711</v>
      </c>
      <c r="N731" s="63" t="s">
        <v>577</v>
      </c>
      <c r="O731" s="63" t="str">
        <f ca="1">IF(H731&lt;&gt;"",IF(H731&lt;=TODAY(),"SI","NO"),"LIMBO")</f>
        <v>SI</v>
      </c>
      <c r="P731" s="63" t="str">
        <f>IF($P$1=H731,"DIASOL", "DIANOSOL")</f>
        <v>DIANOSOL</v>
      </c>
      <c r="Q731" s="63" t="s">
        <v>151</v>
      </c>
      <c r="R731" s="63" t="str">
        <f>VLOOKUP($Q731,Resultados!$A$1:$B$49,2,FALSE)</f>
        <v>Prisión Preventiva</v>
      </c>
      <c r="S731" s="63" t="s">
        <v>1036</v>
      </c>
      <c r="T731" s="72" t="str">
        <f>IF(G731=$J$1,"SI","NO")</f>
        <v>NO</v>
      </c>
      <c r="U731" s="72"/>
      <c r="V731" s="7" t="str">
        <f ca="1">IF(color_Celda(E731)=12106214,"ROSA",IF(color_Celda(E731)=65535,"AMARILLO",IF(color_Celda(E731)=5296274,"VERDE",IF(color_Celda(E731)=16777215,"BLANCO","NO SE"))))</f>
        <v>ROSA</v>
      </c>
      <c r="W731" s="63" t="s">
        <v>2499</v>
      </c>
      <c r="X731" s="63" t="s">
        <v>3361</v>
      </c>
      <c r="Y731" s="63"/>
      <c r="Z731" s="304" t="s">
        <v>3321</v>
      </c>
      <c r="AA731" s="118" t="s">
        <v>1165</v>
      </c>
      <c r="AB731" s="118" t="s">
        <v>1171</v>
      </c>
      <c r="AC731" s="324"/>
    </row>
    <row r="732" spans="1:29" ht="60" customHeight="1">
      <c r="A732" s="63">
        <v>725</v>
      </c>
      <c r="B732" s="65">
        <v>45198</v>
      </c>
      <c r="C732" s="63" t="s">
        <v>547</v>
      </c>
      <c r="D732" s="63" t="s">
        <v>3050</v>
      </c>
      <c r="E732" s="64" t="s">
        <v>3079</v>
      </c>
      <c r="F732" s="63">
        <v>1</v>
      </c>
      <c r="G732" s="63" t="s">
        <v>2751</v>
      </c>
      <c r="H732" s="208">
        <v>45216</v>
      </c>
      <c r="I732" s="65" t="s">
        <v>73</v>
      </c>
      <c r="J732" s="65" t="s">
        <v>1217</v>
      </c>
      <c r="K732" s="63" t="s">
        <v>2324</v>
      </c>
      <c r="L732" s="63" t="s">
        <v>805</v>
      </c>
      <c r="M732" s="63" t="s">
        <v>711</v>
      </c>
      <c r="N732" s="63" t="s">
        <v>897</v>
      </c>
      <c r="O732" s="63" t="str">
        <f ca="1">IF(H732&lt;&gt;"",IF(H732&lt;=TODAY(),"SI","NO"),"LIMBO")</f>
        <v>SI</v>
      </c>
      <c r="P732" s="63" t="str">
        <f>IF($P$1=H732,"DIASOL", "DIANOSOL")</f>
        <v>DIANOSOL</v>
      </c>
      <c r="Q732" s="63" t="s">
        <v>897</v>
      </c>
      <c r="R732" s="63" t="str">
        <f>VLOOKUP($Q732,Resultados!$A$1:$B$49,2,FALSE)</f>
        <v>Libertad</v>
      </c>
      <c r="S732" s="63" t="s">
        <v>686</v>
      </c>
      <c r="T732" s="72" t="str">
        <f>IF(G732=$J$1,"SI","NO")</f>
        <v>NO</v>
      </c>
      <c r="U732" s="72"/>
      <c r="V732" s="7" t="str">
        <f ca="1">IF(color_Celda(E732)=12106214,"ROSA",IF(color_Celda(E732)=65535,"AMARILLO",IF(color_Celda(E732)=5296274,"VERDE",IF(color_Celda(E732)=16777215,"BLANCO","NO SE"))))</f>
        <v>ROSA</v>
      </c>
      <c r="W732" s="63" t="s">
        <v>1233</v>
      </c>
      <c r="X732" s="63" t="s">
        <v>2954</v>
      </c>
      <c r="Y732" s="63"/>
      <c r="Z732" s="304" t="s">
        <v>3368</v>
      </c>
      <c r="AA732" s="304" t="s">
        <v>1167</v>
      </c>
      <c r="AB732" s="304" t="s">
        <v>3322</v>
      </c>
      <c r="AC732" s="324"/>
    </row>
    <row r="733" spans="1:29" ht="60" customHeight="1">
      <c r="A733" s="63">
        <v>741</v>
      </c>
      <c r="B733" s="65">
        <v>45202</v>
      </c>
      <c r="C733" s="63" t="s">
        <v>1774</v>
      </c>
      <c r="D733" s="63" t="s">
        <v>3113</v>
      </c>
      <c r="E733" s="64" t="s">
        <v>3168</v>
      </c>
      <c r="F733" s="63">
        <v>1</v>
      </c>
      <c r="G733" s="63" t="s">
        <v>1435</v>
      </c>
      <c r="H733" s="208">
        <v>45216</v>
      </c>
      <c r="I733" s="65" t="s">
        <v>73</v>
      </c>
      <c r="J733" s="65" t="s">
        <v>2925</v>
      </c>
      <c r="K733" s="63" t="s">
        <v>1341</v>
      </c>
      <c r="L733" s="63" t="s">
        <v>792</v>
      </c>
      <c r="M733" s="63" t="s">
        <v>1084</v>
      </c>
      <c r="N733" s="63" t="s">
        <v>2952</v>
      </c>
      <c r="O733" s="63" t="str">
        <f ca="1">IF(H733&lt;&gt;"",IF(H733&lt;=TODAY(),"SI","NO"),"LIMBO")</f>
        <v>SI</v>
      </c>
      <c r="P733" s="63" t="str">
        <f>IF($P$1=H733,"DIASOL", "DIANOSOL")</f>
        <v>DIANOSOL</v>
      </c>
      <c r="Q733" s="63" t="s">
        <v>903</v>
      </c>
      <c r="R733" s="63" t="str">
        <f>VLOOKUP($Q733,Resultados!$A$1:$B$49,2,FALSE)</f>
        <v>Juicio Abreviado</v>
      </c>
      <c r="S733" s="63" t="s">
        <v>1641</v>
      </c>
      <c r="T733" s="72" t="str">
        <f>IF(G733=$J$1,"SI","NO")</f>
        <v>SI</v>
      </c>
      <c r="U733" s="72"/>
      <c r="V733" s="7" t="str">
        <f ca="1">IF(color_Celda(E733)=12106214,"ROSA",IF(color_Celda(E733)=65535,"AMARILLO",IF(color_Celda(E733)=5296274,"VERDE",IF(color_Celda(E733)=16777215,"BLANCO","NO SE"))))</f>
        <v>ROSA</v>
      </c>
      <c r="W733" s="63" t="s">
        <v>1081</v>
      </c>
      <c r="X733" s="63" t="s">
        <v>3387</v>
      </c>
      <c r="Y733" s="63"/>
      <c r="Z733" s="304" t="s">
        <v>748</v>
      </c>
      <c r="AA733" s="304" t="s">
        <v>1167</v>
      </c>
      <c r="AB733" s="304" t="s">
        <v>1173</v>
      </c>
      <c r="AC733" s="324"/>
    </row>
    <row r="734" spans="1:29" ht="60" customHeight="1">
      <c r="A734" s="63">
        <v>744</v>
      </c>
      <c r="B734" s="65">
        <v>45202</v>
      </c>
      <c r="C734" s="70">
        <v>0.45208333333333334</v>
      </c>
      <c r="D734" s="63" t="s">
        <v>3126</v>
      </c>
      <c r="E734" s="64" t="s">
        <v>3165</v>
      </c>
      <c r="F734" s="63">
        <v>2</v>
      </c>
      <c r="G734" s="63" t="s">
        <v>2752</v>
      </c>
      <c r="H734" s="208">
        <v>45216</v>
      </c>
      <c r="I734" s="65" t="s">
        <v>73</v>
      </c>
      <c r="J734" s="65" t="s">
        <v>2922</v>
      </c>
      <c r="K734" s="63" t="s">
        <v>1916</v>
      </c>
      <c r="L734" s="63" t="s">
        <v>807</v>
      </c>
      <c r="M734" s="63" t="s">
        <v>692</v>
      </c>
      <c r="N734" s="63" t="s">
        <v>577</v>
      </c>
      <c r="O734" s="63" t="str">
        <f ca="1">IF(H734&lt;&gt;"",IF(H734&lt;=TODAY(),"SI","NO"),"LIMBO")</f>
        <v>SI</v>
      </c>
      <c r="P734" s="63" t="str">
        <f>IF($P$1=H734,"DIASOL", "DIANOSOL")</f>
        <v>DIANOSOL</v>
      </c>
      <c r="Q734" s="63" t="s">
        <v>151</v>
      </c>
      <c r="R734" s="63" t="str">
        <f>VLOOKUP($Q734,Resultados!$A$1:$B$49,2,FALSE)</f>
        <v>Prisión Preventiva</v>
      </c>
      <c r="S734" s="70">
        <v>0.34513888888888888</v>
      </c>
      <c r="T734" s="72" t="str">
        <f>IF(G734=$J$1,"SI","NO")</f>
        <v>NO</v>
      </c>
      <c r="U734" s="72"/>
      <c r="V734" s="7" t="str">
        <f ca="1">IF(color_Celda(E734)=12106214,"ROSA",IF(color_Celda(E734)=65535,"AMARILLO",IF(color_Celda(E734)=5296274,"VERDE",IF(color_Celda(E734)=16777215,"BLANCO","NO SE"))))</f>
        <v>ROSA</v>
      </c>
      <c r="W734" s="63" t="s">
        <v>3094</v>
      </c>
      <c r="X734" s="63"/>
      <c r="Y734" s="63"/>
      <c r="Z734" s="304" t="s">
        <v>2843</v>
      </c>
      <c r="AA734" s="304" t="s">
        <v>1165</v>
      </c>
      <c r="AB734" s="304" t="s">
        <v>1170</v>
      </c>
      <c r="AC734" s="324"/>
    </row>
    <row r="735" spans="1:29" ht="60" customHeight="1">
      <c r="A735" s="63">
        <v>738</v>
      </c>
      <c r="B735" s="65">
        <v>45201</v>
      </c>
      <c r="C735" s="63" t="s">
        <v>2739</v>
      </c>
      <c r="D735" s="63" t="s">
        <v>3106</v>
      </c>
      <c r="E735" s="64" t="s">
        <v>3107</v>
      </c>
      <c r="F735" s="63">
        <v>1</v>
      </c>
      <c r="G735" s="63" t="s">
        <v>1433</v>
      </c>
      <c r="H735" s="208">
        <v>45216</v>
      </c>
      <c r="I735" s="65" t="s">
        <v>749</v>
      </c>
      <c r="J735" s="65" t="s">
        <v>1221</v>
      </c>
      <c r="K735" s="63" t="s">
        <v>2375</v>
      </c>
      <c r="L735" s="63" t="s">
        <v>810</v>
      </c>
      <c r="M735" s="63" t="s">
        <v>712</v>
      </c>
      <c r="N735" s="63" t="s">
        <v>3385</v>
      </c>
      <c r="O735" s="63" t="str">
        <f ca="1">IF(H735&lt;&gt;"",IF(H735&lt;=TODAY(),"SI","NO"),"LIMBO")</f>
        <v>SI</v>
      </c>
      <c r="P735" s="63" t="str">
        <f>IF($P$1=H735,"DIASOL", "DIANOSOL")</f>
        <v>DIANOSOL</v>
      </c>
      <c r="Q735" s="63" t="s">
        <v>151</v>
      </c>
      <c r="R735" s="63" t="str">
        <f>VLOOKUP($Q735,Resultados!$A$1:$B$49,2,FALSE)</f>
        <v>Prisión Preventiva</v>
      </c>
      <c r="S735" s="63" t="s">
        <v>1083</v>
      </c>
      <c r="T735" s="72" t="str">
        <f>IF(G735=$J$1,"SI","NO")</f>
        <v>NO</v>
      </c>
      <c r="U735" s="72"/>
      <c r="V735" s="7" t="str">
        <f ca="1">IF(color_Celda(E735)=12106214,"ROSA",IF(color_Celda(E735)=65535,"AMARILLO",IF(color_Celda(E735)=5296274,"VERDE",IF(color_Celda(E735)=16777215,"BLANCO","NO SE"))))</f>
        <v>ROSA</v>
      </c>
      <c r="W735" s="63" t="s">
        <v>1384</v>
      </c>
      <c r="X735" s="63" t="s">
        <v>3386</v>
      </c>
      <c r="Y735" s="63"/>
      <c r="Z735" s="304" t="s">
        <v>2869</v>
      </c>
      <c r="AA735" s="304" t="s">
        <v>1165</v>
      </c>
      <c r="AB735" s="304" t="s">
        <v>1169</v>
      </c>
      <c r="AC735" s="324"/>
    </row>
    <row r="736" spans="1:29" ht="60" customHeight="1">
      <c r="A736" s="63">
        <v>720</v>
      </c>
      <c r="B736" s="65">
        <v>45197</v>
      </c>
      <c r="C736" s="70">
        <v>0.42222222222222222</v>
      </c>
      <c r="D736" s="63" t="s">
        <v>3039</v>
      </c>
      <c r="E736" s="64" t="s">
        <v>3388</v>
      </c>
      <c r="F736" s="63">
        <v>1</v>
      </c>
      <c r="G736" s="63" t="s">
        <v>2815</v>
      </c>
      <c r="H736" s="208">
        <v>45216</v>
      </c>
      <c r="I736" s="65" t="s">
        <v>1083</v>
      </c>
      <c r="J736" s="65" t="s">
        <v>1217</v>
      </c>
      <c r="K736" s="63" t="s">
        <v>2324</v>
      </c>
      <c r="L736" s="63" t="s">
        <v>811</v>
      </c>
      <c r="M736" s="63" t="s">
        <v>711</v>
      </c>
      <c r="N736" s="63" t="s">
        <v>3389</v>
      </c>
      <c r="O736" s="63" t="str">
        <f ca="1">IF(H736&lt;&gt;"",IF(H736&lt;=TODAY(),"SI","NO"),"LIMBO")</f>
        <v>SI</v>
      </c>
      <c r="P736" s="63" t="str">
        <f>IF($P$1=H736,"DIASOL", "DIANOSOL")</f>
        <v>DIANOSOL</v>
      </c>
      <c r="Q736" s="63" t="s">
        <v>151</v>
      </c>
      <c r="R736" s="63" t="str">
        <f>VLOOKUP($Q736,Resultados!$A$1:$B$49,2,FALSE)</f>
        <v>Prisión Preventiva</v>
      </c>
      <c r="S736" s="63" t="s">
        <v>1530</v>
      </c>
      <c r="T736" s="72" t="str">
        <f>IF(G736=$J$1,"SI","NO")</f>
        <v>NO</v>
      </c>
      <c r="U736" s="72"/>
      <c r="V736" s="7" t="str">
        <f ca="1">IF(color_Celda(E736)=12106214,"ROSA",IF(color_Celda(E736)=65535,"AMARILLO",IF(color_Celda(E736)=5296274,"VERDE",IF(color_Celda(E736)=16777215,"BLANCO","NO SE"))))</f>
        <v>ROSA</v>
      </c>
      <c r="W736" s="63" t="s">
        <v>2663</v>
      </c>
      <c r="X736" s="63" t="s">
        <v>2919</v>
      </c>
      <c r="Y736" s="63"/>
      <c r="Z736" s="304" t="s">
        <v>3368</v>
      </c>
      <c r="AA736" s="304" t="s">
        <v>2828</v>
      </c>
      <c r="AB736" s="304" t="s">
        <v>3258</v>
      </c>
      <c r="AC736" s="645"/>
    </row>
    <row r="737" spans="1:29" ht="60" customHeight="1">
      <c r="A737" s="63">
        <v>737</v>
      </c>
      <c r="B737" s="65">
        <v>45202</v>
      </c>
      <c r="C737" s="63" t="s">
        <v>73</v>
      </c>
      <c r="D737" s="63" t="s">
        <v>3104</v>
      </c>
      <c r="E737" s="64" t="s">
        <v>3105</v>
      </c>
      <c r="F737" s="63">
        <v>1</v>
      </c>
      <c r="G737" s="63" t="s">
        <v>29</v>
      </c>
      <c r="H737" s="208">
        <v>45216</v>
      </c>
      <c r="I737" s="65" t="s">
        <v>1083</v>
      </c>
      <c r="J737" s="65" t="s">
        <v>1216</v>
      </c>
      <c r="K737" s="63" t="s">
        <v>1916</v>
      </c>
      <c r="L737" s="63" t="s">
        <v>792</v>
      </c>
      <c r="M737" s="63" t="s">
        <v>712</v>
      </c>
      <c r="N737" s="63" t="s">
        <v>3390</v>
      </c>
      <c r="O737" s="63" t="str">
        <f ca="1">IF(H737&lt;&gt;"",IF(H737&lt;=TODAY(),"SI","NO"),"LIMBO")</f>
        <v>SI</v>
      </c>
      <c r="P737" s="63" t="str">
        <f>IF($P$1=H737,"DIASOL", "DIANOSOL")</f>
        <v>DIANOSOL</v>
      </c>
      <c r="Q737" s="63" t="s">
        <v>151</v>
      </c>
      <c r="R737" s="63" t="str">
        <f>VLOOKUP($Q737,Resultados!$A$1:$B$49,2,FALSE)</f>
        <v>Prisión Preventiva</v>
      </c>
      <c r="S737" s="63" t="s">
        <v>1562</v>
      </c>
      <c r="T737" s="72" t="str">
        <f>IF(G737=$J$1,"SI","NO")</f>
        <v>NO</v>
      </c>
      <c r="U737" s="72"/>
      <c r="V737" s="7" t="str">
        <f ca="1">IF(color_Celda(E737)=12106214,"ROSA",IF(color_Celda(E737)=65535,"AMARILLO",IF(color_Celda(E737)=5296274,"VERDE",IF(color_Celda(E737)=16777215,"BLANCO","NO SE"))))</f>
        <v>ROSA</v>
      </c>
      <c r="W737" s="63" t="s">
        <v>3111</v>
      </c>
      <c r="X737" s="63" t="s">
        <v>3391</v>
      </c>
      <c r="Y737" s="63"/>
      <c r="Z737" s="304" t="s">
        <v>2843</v>
      </c>
      <c r="AA737" s="304" t="s">
        <v>1167</v>
      </c>
      <c r="AB737" s="304" t="s">
        <v>1171</v>
      </c>
      <c r="AC737" s="645"/>
    </row>
    <row r="738" spans="1:29" ht="60" customHeight="1">
      <c r="A738" s="63">
        <v>759</v>
      </c>
      <c r="B738" s="65">
        <v>45205</v>
      </c>
      <c r="C738" s="70">
        <v>0.48333333333333334</v>
      </c>
      <c r="D738" s="63" t="s">
        <v>3192</v>
      </c>
      <c r="E738" s="64" t="s">
        <v>3208</v>
      </c>
      <c r="F738" s="63">
        <v>2</v>
      </c>
      <c r="G738" s="63" t="s">
        <v>1434</v>
      </c>
      <c r="H738" s="208">
        <v>45216</v>
      </c>
      <c r="I738" s="65" t="s">
        <v>1083</v>
      </c>
      <c r="J738" s="65" t="s">
        <v>31</v>
      </c>
      <c r="K738" s="63">
        <f>IFERROR(VLOOKUP(J738,Jueces!$A$1:$B$11,2,FALSE),"")</f>
        <v>2</v>
      </c>
      <c r="L738" s="63" t="s">
        <v>810</v>
      </c>
      <c r="M738" s="63" t="s">
        <v>692</v>
      </c>
      <c r="N738" s="63" t="s">
        <v>577</v>
      </c>
      <c r="O738" s="63" t="str">
        <f ca="1">IF(H738&lt;&gt;"",IF(H738&lt;=TODAY(),"SI","NO"),"LIMBO")</f>
        <v>SI</v>
      </c>
      <c r="P738" s="63" t="str">
        <f>IF($P$1=H738,"DIASOL", "DIANOSOL")</f>
        <v>DIANOSOL</v>
      </c>
      <c r="Q738" s="63" t="s">
        <v>151</v>
      </c>
      <c r="R738" s="63" t="str">
        <f>VLOOKUP($Q738,Resultados!$A$1:$B$49,2,FALSE)</f>
        <v>Prisión Preventiva</v>
      </c>
      <c r="S738" s="63" t="s">
        <v>1332</v>
      </c>
      <c r="T738" s="72" t="str">
        <f>IF(G738=$J$1,"SI","NO")</f>
        <v>NO</v>
      </c>
      <c r="U738" s="72"/>
      <c r="V738" s="7" t="str">
        <f ca="1">IF(color_Celda(E738)=12106214,"ROSA",IF(color_Celda(E738)=65535,"AMARILLO",IF(color_Celda(E738)=5296274,"VERDE",IF(color_Celda(E738)=16777215,"BLANCO","NO SE"))))</f>
        <v>ROSA</v>
      </c>
      <c r="W738" s="63" t="s">
        <v>3171</v>
      </c>
      <c r="X738" s="63" t="s">
        <v>2552</v>
      </c>
      <c r="Y738" s="63"/>
      <c r="Z738" s="304" t="s">
        <v>770</v>
      </c>
      <c r="AA738" s="304" t="s">
        <v>2828</v>
      </c>
      <c r="AB738" s="304" t="s">
        <v>3322</v>
      </c>
      <c r="AC738" s="698"/>
    </row>
    <row r="739" spans="1:29" ht="60" customHeight="1">
      <c r="A739" s="63">
        <v>767</v>
      </c>
      <c r="B739" s="65">
        <v>45208</v>
      </c>
      <c r="C739" s="63" t="s">
        <v>3224</v>
      </c>
      <c r="D739" s="63" t="s">
        <v>3225</v>
      </c>
      <c r="E739" s="64" t="s">
        <v>3288</v>
      </c>
      <c r="F739" s="63">
        <v>8</v>
      </c>
      <c r="G739" s="63" t="s">
        <v>1435</v>
      </c>
      <c r="H739" s="208">
        <v>45216</v>
      </c>
      <c r="I739" s="65" t="s">
        <v>77</v>
      </c>
      <c r="J739" s="65" t="s">
        <v>1217</v>
      </c>
      <c r="K739" s="63" t="s">
        <v>1512</v>
      </c>
      <c r="L739" s="63" t="s">
        <v>790</v>
      </c>
      <c r="M739" s="63" t="s">
        <v>1408</v>
      </c>
      <c r="N739" s="63" t="s">
        <v>3392</v>
      </c>
      <c r="O739" s="63" t="str">
        <f ca="1">IF(H739&lt;&gt;"",IF(H739&lt;=TODAY(),"SI","NO"),"LIMBO")</f>
        <v>SI</v>
      </c>
      <c r="P739" s="63" t="str">
        <f>IF($P$1=H739,"DIASOL", "DIANOSOL")</f>
        <v>DIANOSOL</v>
      </c>
      <c r="Q739" s="63" t="s">
        <v>903</v>
      </c>
      <c r="R739" s="63" t="str">
        <f>VLOOKUP($Q739,Resultados!$A$1:$B$49,2,FALSE)</f>
        <v>Juicio Abreviado</v>
      </c>
      <c r="S739" s="63" t="s">
        <v>3393</v>
      </c>
      <c r="T739" s="72" t="str">
        <f>IF(G739=$J$1,"SI","NO")</f>
        <v>SI</v>
      </c>
      <c r="U739" s="72"/>
      <c r="V739" s="7" t="str">
        <f ca="1">IF(color_Celda(E739)=12106214,"ROSA",IF(color_Celda(E739)=65535,"AMARILLO",IF(color_Celda(E739)=5296274,"VERDE",IF(color_Celda(E739)=16777215,"BLANCO","NO SE"))))</f>
        <v>ROSA</v>
      </c>
      <c r="W739" s="63" t="s">
        <v>1203</v>
      </c>
      <c r="X739" s="63" t="s">
        <v>2552</v>
      </c>
      <c r="Y739" s="63"/>
      <c r="Z739" s="304" t="s">
        <v>770</v>
      </c>
      <c r="AA739" s="118" t="s">
        <v>3305</v>
      </c>
      <c r="AB739" s="118" t="s">
        <v>1173</v>
      </c>
      <c r="AC739" s="698"/>
    </row>
    <row r="740" spans="1:29" ht="60" customHeight="1">
      <c r="A740" s="63">
        <v>763</v>
      </c>
      <c r="B740" s="65">
        <v>45196</v>
      </c>
      <c r="C740" s="70">
        <v>0.4861111111111111</v>
      </c>
      <c r="D740" s="63" t="s">
        <v>3150</v>
      </c>
      <c r="E740" s="64" t="s">
        <v>3151</v>
      </c>
      <c r="F740" s="63">
        <v>8</v>
      </c>
      <c r="G740" s="63" t="s">
        <v>1435</v>
      </c>
      <c r="H740" s="208">
        <v>45217</v>
      </c>
      <c r="I740" s="65" t="s">
        <v>73</v>
      </c>
      <c r="J740" s="65" t="s">
        <v>2922</v>
      </c>
      <c r="K740" s="63" t="s">
        <v>1916</v>
      </c>
      <c r="L740" s="63" t="s">
        <v>2076</v>
      </c>
      <c r="M740" s="63" t="s">
        <v>1084</v>
      </c>
      <c r="N740" s="63" t="s">
        <v>2550</v>
      </c>
      <c r="O740" s="63" t="str">
        <f ca="1">IF(H740&lt;&gt;"",IF(H740&lt;=TODAY(),"SI","NO"),"LIMBO")</f>
        <v>SI</v>
      </c>
      <c r="P740" s="63" t="str">
        <f>IF($P$1=H740,"DIASOL", "DIANOSOL")</f>
        <v>DIANOSOL</v>
      </c>
      <c r="Q740" s="63" t="s">
        <v>897</v>
      </c>
      <c r="R740" s="63" t="s">
        <v>900</v>
      </c>
      <c r="S740" s="63" t="s">
        <v>2402</v>
      </c>
      <c r="T740" s="72" t="str">
        <f>IF(G740=$J$1,"SI","NO")</f>
        <v>SI</v>
      </c>
      <c r="U740" s="72"/>
      <c r="V740" s="7" t="str">
        <f ca="1">IF(color_Celda(E740)=12106214,"ROSA",IF(color_Celda(E740)=65535,"AMARILLO",IF(color_Celda(E740)=5296274,"VERDE",IF(color_Celda(E740)=16777215,"BLANCO","NO SE"))))</f>
        <v>ROSA</v>
      </c>
      <c r="W740" s="63" t="s">
        <v>1558</v>
      </c>
      <c r="X740" s="63" t="s">
        <v>3432</v>
      </c>
      <c r="Y740" s="63"/>
      <c r="Z740" s="327" t="s">
        <v>2869</v>
      </c>
      <c r="AA740" s="327" t="s">
        <v>2828</v>
      </c>
      <c r="AB740" s="327" t="s">
        <v>3258</v>
      </c>
      <c r="AC740" s="328"/>
    </row>
    <row r="741" spans="1:29" ht="60" customHeight="1">
      <c r="A741" s="63">
        <v>735</v>
      </c>
      <c r="B741" s="65">
        <v>45201</v>
      </c>
      <c r="C741" s="70">
        <v>0.49374999999999997</v>
      </c>
      <c r="D741" s="63" t="s">
        <v>3078</v>
      </c>
      <c r="E741" s="64" t="s">
        <v>3164</v>
      </c>
      <c r="F741" s="63">
        <v>1</v>
      </c>
      <c r="G741" s="63" t="s">
        <v>1433</v>
      </c>
      <c r="H741" s="208">
        <v>45217</v>
      </c>
      <c r="I741" s="65" t="s">
        <v>73</v>
      </c>
      <c r="J741" s="65" t="s">
        <v>2925</v>
      </c>
      <c r="K741" s="63" t="s">
        <v>1512</v>
      </c>
      <c r="L741" s="63" t="s">
        <v>807</v>
      </c>
      <c r="M741" s="63" t="s">
        <v>1175</v>
      </c>
      <c r="N741" s="63" t="s">
        <v>3430</v>
      </c>
      <c r="O741" s="63" t="str">
        <f ca="1">IF(H741&lt;&gt;"",IF(H741&lt;=TODAY(),"SI","NO"),"LIMBO")</f>
        <v>SI</v>
      </c>
      <c r="P741" s="63" t="str">
        <f>IF($P$1=H741,"DIASOL", "DIANOSOL")</f>
        <v>DIANOSOL</v>
      </c>
      <c r="Q741" s="63" t="s">
        <v>902</v>
      </c>
      <c r="R741" s="63" t="str">
        <f>VLOOKUP($Q741,Resultados!$A$1:$B$49,2,FALSE)</f>
        <v>Juicio Abreviado</v>
      </c>
      <c r="S741" s="63" t="s">
        <v>1061</v>
      </c>
      <c r="T741" s="72" t="str">
        <f>IF(G741=$J$1,"SI","NO")</f>
        <v>NO</v>
      </c>
      <c r="U741" s="72"/>
      <c r="V741" s="7" t="str">
        <f ca="1">IF(color_Celda(E741)=12106214,"ROSA",IF(color_Celda(E741)=65535,"AMARILLO",IF(color_Celda(E741)=5296274,"VERDE",IF(color_Celda(E741)=16777215,"BLANCO","NO SE"))))</f>
        <v>ROSA</v>
      </c>
      <c r="W741" s="63" t="s">
        <v>679</v>
      </c>
      <c r="X741" s="63" t="s">
        <v>3431</v>
      </c>
      <c r="Y741" s="63"/>
      <c r="Z741" s="327" t="s">
        <v>3368</v>
      </c>
      <c r="AA741" s="327" t="s">
        <v>1165</v>
      </c>
      <c r="AB741" s="327" t="s">
        <v>1170</v>
      </c>
      <c r="AC741" s="328"/>
    </row>
    <row r="742" spans="1:29" ht="60" customHeight="1">
      <c r="A742" s="63">
        <v>756</v>
      </c>
      <c r="B742" s="65">
        <v>45204</v>
      </c>
      <c r="C742" s="70">
        <v>0.36944444444444446</v>
      </c>
      <c r="D742" s="63" t="s">
        <v>2458</v>
      </c>
      <c r="E742" s="64" t="s">
        <v>3377</v>
      </c>
      <c r="F742" s="63">
        <v>7</v>
      </c>
      <c r="G742" s="63" t="s">
        <v>283</v>
      </c>
      <c r="H742" s="208">
        <v>45217</v>
      </c>
      <c r="I742" s="65" t="s">
        <v>73</v>
      </c>
      <c r="J742" s="65" t="s">
        <v>1217</v>
      </c>
      <c r="K742" s="63" t="s">
        <v>2324</v>
      </c>
      <c r="L742" s="63" t="s">
        <v>799</v>
      </c>
      <c r="M742" s="63" t="s">
        <v>725</v>
      </c>
      <c r="N742" s="63" t="s">
        <v>3433</v>
      </c>
      <c r="O742" s="63" t="str">
        <f ca="1">IF(H742&lt;&gt;"",IF(H742&lt;=TODAY(),"SI","NO"),"LIMBO")</f>
        <v>SI</v>
      </c>
      <c r="P742" s="63" t="str">
        <f>IF($P$1=H742,"DIASOL", "DIANOSOL")</f>
        <v>DIANOSOL</v>
      </c>
      <c r="Q742" s="63" t="s">
        <v>902</v>
      </c>
      <c r="R742" s="63" t="s">
        <v>100</v>
      </c>
      <c r="S742" s="63" t="s">
        <v>1062</v>
      </c>
      <c r="T742" s="72" t="str">
        <f>IF(G742=$J$1,"SI","NO")</f>
        <v>NO</v>
      </c>
      <c r="U742" s="72"/>
      <c r="V742" s="7" t="str">
        <f ca="1">IF(color_Celda(E742)=12106214,"ROSA",IF(color_Celda(E742)=65535,"AMARILLO",IF(color_Celda(E742)=5296274,"VERDE",IF(color_Celda(E742)=16777215,"BLANCO","NO SE"))))</f>
        <v>ROSA</v>
      </c>
      <c r="W742" s="63" t="s">
        <v>1126</v>
      </c>
      <c r="X742" s="63" t="s">
        <v>2552</v>
      </c>
      <c r="Y742" s="63"/>
      <c r="Z742" s="327" t="s">
        <v>2843</v>
      </c>
      <c r="AA742" s="327" t="s">
        <v>1167</v>
      </c>
      <c r="AB742" s="327" t="s">
        <v>1169</v>
      </c>
      <c r="AC742" s="328"/>
    </row>
    <row r="743" spans="1:29" ht="60" customHeight="1">
      <c r="A743" s="63">
        <v>732</v>
      </c>
      <c r="B743" s="65">
        <v>45201</v>
      </c>
      <c r="C743" s="70">
        <v>0.3972222222222222</v>
      </c>
      <c r="D743" s="63" t="s">
        <v>2093</v>
      </c>
      <c r="E743" s="64" t="s">
        <v>3075</v>
      </c>
      <c r="F743" s="63">
        <v>1</v>
      </c>
      <c r="G743" s="63" t="s">
        <v>568</v>
      </c>
      <c r="H743" s="208">
        <v>45217</v>
      </c>
      <c r="I743" s="65" t="s">
        <v>1083</v>
      </c>
      <c r="J743" s="65" t="s">
        <v>1216</v>
      </c>
      <c r="K743" s="63">
        <f>IFERROR(VLOOKUP(J743,Jueces!$A$1:$B$11,2,FALSE),"")</f>
        <v>1</v>
      </c>
      <c r="L743" s="63" t="s">
        <v>192</v>
      </c>
      <c r="M743" s="63" t="s">
        <v>712</v>
      </c>
      <c r="N743" s="63" t="s">
        <v>3434</v>
      </c>
      <c r="O743" s="78" t="str">
        <f ca="1">IF(H743&lt;&gt;"",IF(H743&lt;=TODAY(),"SI","NO"),"LIMBO")</f>
        <v>SI</v>
      </c>
      <c r="P743" s="78" t="str">
        <f>IF($P$1=H743,"DIASOL", "DIANOSOL")</f>
        <v>DIANOSOL</v>
      </c>
      <c r="Q743" s="63" t="s">
        <v>151</v>
      </c>
      <c r="R743" s="63" t="s">
        <v>151</v>
      </c>
      <c r="S743" s="63" t="s">
        <v>2688</v>
      </c>
      <c r="T743" s="81" t="str">
        <f>IF(G743=$J$1,"SI","NO")</f>
        <v>NO</v>
      </c>
      <c r="U743" s="81"/>
      <c r="V743" s="7" t="str">
        <f ca="1">IF(color_Celda(E743)=12106214,"ROSA",IF(color_Celda(E743)=65535,"AMARILLO",IF(color_Celda(E743)=5296274,"VERDE",IF(color_Celda(E743)=16777215,"BLANCO","NO SE"))))</f>
        <v>ROSA</v>
      </c>
      <c r="W743" s="63" t="s">
        <v>1003</v>
      </c>
      <c r="X743" s="63" t="s">
        <v>3044</v>
      </c>
      <c r="Y743" s="63"/>
      <c r="Z743" s="327" t="s">
        <v>748</v>
      </c>
      <c r="AA743" s="327" t="s">
        <v>1165</v>
      </c>
      <c r="AB743" s="327" t="s">
        <v>1171</v>
      </c>
      <c r="AC743" s="328"/>
    </row>
    <row r="744" spans="1:29" ht="60" customHeight="1">
      <c r="A744" s="63">
        <v>758</v>
      </c>
      <c r="B744" s="65">
        <v>45204</v>
      </c>
      <c r="C744" s="70">
        <v>0.51666666666666672</v>
      </c>
      <c r="D744" s="63" t="s">
        <v>3189</v>
      </c>
      <c r="E744" s="64" t="s">
        <v>3190</v>
      </c>
      <c r="F744" s="63">
        <v>2</v>
      </c>
      <c r="G744" s="63" t="s">
        <v>2752</v>
      </c>
      <c r="H744" s="208">
        <v>45217</v>
      </c>
      <c r="I744" s="65" t="s">
        <v>1083</v>
      </c>
      <c r="J744" s="65" t="s">
        <v>1221</v>
      </c>
      <c r="K744" s="63">
        <f>IFERROR(VLOOKUP(J744,Jueces!$A$1:$B$11,2,FALSE),"")</f>
        <v>6</v>
      </c>
      <c r="L744" s="63" t="s">
        <v>807</v>
      </c>
      <c r="M744" s="63" t="s">
        <v>692</v>
      </c>
      <c r="N744" s="63" t="s">
        <v>577</v>
      </c>
      <c r="O744" s="63" t="str">
        <f ca="1">IF(H744&lt;&gt;"",IF(H744&lt;=TODAY(),"SI","NO"),"LIMBO")</f>
        <v>SI</v>
      </c>
      <c r="P744" s="63" t="str">
        <f>IF($P$1=H744,"DIASOL", "DIANOSOL")</f>
        <v>DIANOSOL</v>
      </c>
      <c r="Q744" s="63" t="s">
        <v>151</v>
      </c>
      <c r="R744" s="63" t="str">
        <f>VLOOKUP($Q744,Resultados!$A$1:$B$49,2,FALSE)</f>
        <v>Prisión Preventiva</v>
      </c>
      <c r="S744" s="63" t="s">
        <v>1062</v>
      </c>
      <c r="T744" s="72" t="str">
        <f>IF(G744=$J$1,"SI","NO")</f>
        <v>NO</v>
      </c>
      <c r="U744" s="72"/>
      <c r="V744" s="7" t="str">
        <f ca="1">IF(color_Celda(E744)=12106214,"ROSA",IF(color_Celda(E744)=65535,"AMARILLO",IF(color_Celda(E744)=5296274,"VERDE",IF(color_Celda(E744)=16777215,"BLANCO","NO SE"))))</f>
        <v>ROSA</v>
      </c>
      <c r="W744" s="63" t="s">
        <v>1164</v>
      </c>
      <c r="X744" s="63"/>
      <c r="Y744" s="63"/>
      <c r="Z744" s="327" t="s">
        <v>770</v>
      </c>
      <c r="AA744" s="327" t="s">
        <v>1167</v>
      </c>
      <c r="AB744" s="327" t="s">
        <v>3322</v>
      </c>
      <c r="AC744" s="328"/>
    </row>
    <row r="745" spans="1:29" ht="60" customHeight="1">
      <c r="A745" s="63">
        <v>751</v>
      </c>
      <c r="B745" s="65">
        <v>45202</v>
      </c>
      <c r="C745" s="70">
        <v>0.55694444444444446</v>
      </c>
      <c r="D745" s="63" t="s">
        <v>3135</v>
      </c>
      <c r="E745" s="64" t="s">
        <v>3167</v>
      </c>
      <c r="F745" s="63">
        <v>1</v>
      </c>
      <c r="G745" s="63" t="s">
        <v>2751</v>
      </c>
      <c r="H745" s="208">
        <v>45217</v>
      </c>
      <c r="I745" s="65" t="s">
        <v>3171</v>
      </c>
      <c r="J745" s="65" t="s">
        <v>31</v>
      </c>
      <c r="K745" s="63">
        <f>IFERROR(VLOOKUP(J745,Jueces!$A$1:$B$11,2,FALSE),"")</f>
        <v>2</v>
      </c>
      <c r="L745" s="63" t="s">
        <v>805</v>
      </c>
      <c r="M745" s="63" t="s">
        <v>712</v>
      </c>
      <c r="N745" s="63" t="s">
        <v>3435</v>
      </c>
      <c r="O745" s="78" t="str">
        <f ca="1">IF(H745&lt;&gt;"",IF(H745&lt;=TODAY(),"SI","NO"),"LIMBO")</f>
        <v>SI</v>
      </c>
      <c r="P745" s="78" t="str">
        <f>IF($P$1=H745,"DIASOL", "DIANOSOL")</f>
        <v>DIANOSOL</v>
      </c>
      <c r="Q745" s="63" t="s">
        <v>902</v>
      </c>
      <c r="R745" s="63" t="str">
        <f>VLOOKUP($Q745,Resultados!$A$1:$B$49,2,FALSE)</f>
        <v>Juicio Abreviado</v>
      </c>
      <c r="S745" s="63" t="s">
        <v>3436</v>
      </c>
      <c r="T745" s="81" t="str">
        <f>IF(G745=$J$1,"SI","NO")</f>
        <v>NO</v>
      </c>
      <c r="U745" s="81"/>
      <c r="V745" s="7" t="str">
        <f ca="1">IF(color_Celda(E745)=12106214,"ROSA",IF(color_Celda(E745)=65535,"AMARILLO",IF(color_Celda(E745)=5296274,"VERDE",IF(color_Celda(E745)=16777215,"BLANCO","NO SE"))))</f>
        <v>ROSA</v>
      </c>
      <c r="W745" s="63" t="s">
        <v>3437</v>
      </c>
      <c r="X745" s="63" t="s">
        <v>3438</v>
      </c>
      <c r="Y745" s="63"/>
      <c r="Z745" s="327" t="s">
        <v>3368</v>
      </c>
      <c r="AA745" s="327" t="s">
        <v>2828</v>
      </c>
      <c r="AB745" s="327" t="s">
        <v>1173</v>
      </c>
      <c r="AC745" s="328"/>
    </row>
    <row r="746" spans="1:29" ht="60" customHeight="1">
      <c r="A746" s="63">
        <v>717</v>
      </c>
      <c r="B746" s="65">
        <v>45197</v>
      </c>
      <c r="C746" s="63" t="s">
        <v>1189</v>
      </c>
      <c r="D746" s="63" t="s">
        <v>3038</v>
      </c>
      <c r="E746" s="64" t="s">
        <v>3028</v>
      </c>
      <c r="F746" s="63">
        <v>4</v>
      </c>
      <c r="G746" s="63" t="s">
        <v>2753</v>
      </c>
      <c r="H746" s="208">
        <v>45217</v>
      </c>
      <c r="I746" s="65" t="s">
        <v>987</v>
      </c>
      <c r="J746" s="65" t="s">
        <v>33</v>
      </c>
      <c r="K746" s="63">
        <f>IFERROR(VLOOKUP(J746,Jueces!$A$1:$B$11,2,FALSE),"")</f>
        <v>4</v>
      </c>
      <c r="L746" s="63" t="s">
        <v>1067</v>
      </c>
      <c r="M746" s="63" t="s">
        <v>3029</v>
      </c>
      <c r="N746" s="63" t="s">
        <v>3441</v>
      </c>
      <c r="O746" s="78" t="str">
        <f ca="1">IF(H746&lt;&gt;"",IF(H746&lt;=TODAY(),"SI","NO"),"LIMBO")</f>
        <v>SI</v>
      </c>
      <c r="P746" s="78" t="str">
        <f>IF($P$1=H746,"DIASOL", "DIANOSOL")</f>
        <v>DIANOSOL</v>
      </c>
      <c r="Q746" s="63" t="s">
        <v>151</v>
      </c>
      <c r="R746" s="63" t="s">
        <v>151</v>
      </c>
      <c r="S746" s="63" t="s">
        <v>3439</v>
      </c>
      <c r="T746" s="81" t="str">
        <f>IF(G746=$J$1,"SI","NO")</f>
        <v>NO</v>
      </c>
      <c r="U746" s="81"/>
      <c r="V746" s="7" t="str">
        <f ca="1">IF(color_Celda(E746)=12106214,"ROSA",IF(color_Celda(E746)=65535,"AMARILLO",IF(color_Celda(E746)=5296274,"VERDE",IF(color_Celda(E746)=16777215,"BLANCO","NO SE"))))</f>
        <v>ROSA</v>
      </c>
      <c r="W746" s="63" t="s">
        <v>3440</v>
      </c>
      <c r="X746" s="63"/>
      <c r="Y746" s="63"/>
      <c r="Z746" s="327" t="s">
        <v>2843</v>
      </c>
      <c r="AA746" s="327" t="s">
        <v>1167</v>
      </c>
      <c r="AB746" s="327" t="s">
        <v>1170</v>
      </c>
      <c r="AC746" s="328"/>
    </row>
    <row r="747" spans="1:29" ht="60" customHeight="1">
      <c r="A747" s="63">
        <v>734</v>
      </c>
      <c r="B747" s="65">
        <v>45201</v>
      </c>
      <c r="C747" s="70">
        <v>0.4916666666666667</v>
      </c>
      <c r="D747" s="63" t="s">
        <v>3077</v>
      </c>
      <c r="E747" s="64" t="s">
        <v>3173</v>
      </c>
      <c r="F747" s="63">
        <v>1</v>
      </c>
      <c r="G747" s="63" t="s">
        <v>2753</v>
      </c>
      <c r="H747" s="208">
        <v>45218</v>
      </c>
      <c r="I747" s="65" t="s">
        <v>73</v>
      </c>
      <c r="J747" s="65" t="s">
        <v>33</v>
      </c>
      <c r="K747" s="63">
        <f>IFERROR(VLOOKUP(J747,Jueces!$A$1:$B$11,2,FALSE),"")</f>
        <v>4</v>
      </c>
      <c r="L747" s="63" t="s">
        <v>807</v>
      </c>
      <c r="M747" s="63" t="s">
        <v>711</v>
      </c>
      <c r="N747" s="63" t="s">
        <v>897</v>
      </c>
      <c r="O747" s="63" t="str">
        <f ca="1">IF(H747&lt;&gt;"",IF(H747&lt;=TODAY(),"SI","NO"),"LIMBO")</f>
        <v>SI</v>
      </c>
      <c r="P747" s="63" t="str">
        <f>IF($P$1=H747,"DIASOL", "DIANOSOL")</f>
        <v>DIANOSOL</v>
      </c>
      <c r="Q747" s="63" t="s">
        <v>897</v>
      </c>
      <c r="R747" s="63" t="str">
        <f>VLOOKUP($Q747,Resultados!$A$1:$B$49,2,FALSE)</f>
        <v>Libertad</v>
      </c>
      <c r="S747" s="63" t="s">
        <v>1524</v>
      </c>
      <c r="T747" s="72" t="str">
        <f>IF(G747=$J$1,"SI","NO")</f>
        <v>NO</v>
      </c>
      <c r="U747" s="72"/>
      <c r="V747" s="7" t="str">
        <f ca="1">IF(color_Celda(E747)=12106214,"ROSA",IF(color_Celda(E747)=65535,"AMARILLO",IF(color_Celda(E747)=5296274,"VERDE",IF(color_Celda(E747)=16777215,"BLANCO","NO SE"))))</f>
        <v>ROSA</v>
      </c>
      <c r="W747" s="63" t="s">
        <v>1083</v>
      </c>
      <c r="X747" s="63" t="s">
        <v>3432</v>
      </c>
      <c r="Y747" s="63"/>
      <c r="Z747" s="118" t="s">
        <v>3428</v>
      </c>
      <c r="AA747" s="304" t="s">
        <v>1165</v>
      </c>
      <c r="AB747" s="118" t="s">
        <v>1169</v>
      </c>
      <c r="AC747" s="328"/>
    </row>
    <row r="748" spans="1:29" ht="60" customHeight="1">
      <c r="A748" s="63">
        <v>772</v>
      </c>
      <c r="B748" s="65">
        <v>45205</v>
      </c>
      <c r="C748" s="63" t="s">
        <v>3239</v>
      </c>
      <c r="D748" s="63" t="s">
        <v>3240</v>
      </c>
      <c r="E748" s="64" t="s">
        <v>3408</v>
      </c>
      <c r="F748" s="63">
        <v>8</v>
      </c>
      <c r="G748" s="63" t="s">
        <v>29</v>
      </c>
      <c r="H748" s="208">
        <v>45218</v>
      </c>
      <c r="I748" s="65" t="s">
        <v>73</v>
      </c>
      <c r="J748" s="65" t="s">
        <v>2922</v>
      </c>
      <c r="K748" s="63" t="s">
        <v>2324</v>
      </c>
      <c r="L748" s="63" t="s">
        <v>789</v>
      </c>
      <c r="M748" s="63" t="s">
        <v>2103</v>
      </c>
      <c r="N748" s="63" t="s">
        <v>3152</v>
      </c>
      <c r="O748" s="63" t="str">
        <f ca="1">IF(H748&lt;&gt;"",IF(H748&lt;=TODAY(),"SI","NO"),"LIMBO")</f>
        <v>SI</v>
      </c>
      <c r="P748" s="63" t="str">
        <f>IF($P$1=H748,"DIASOL", "DIANOSOL")</f>
        <v>DIANOSOL</v>
      </c>
      <c r="Q748" s="63" t="s">
        <v>902</v>
      </c>
      <c r="R748" s="63" t="str">
        <f>VLOOKUP($Q748,Resultados!$A$1:$B$49,2,FALSE)</f>
        <v>Juicio Abreviado</v>
      </c>
      <c r="S748" s="63" t="s">
        <v>1126</v>
      </c>
      <c r="T748" s="72" t="str">
        <f>IF(G748=$J$1,"SI","NO")</f>
        <v>NO</v>
      </c>
      <c r="U748" s="72"/>
      <c r="V748" s="7" t="str">
        <f ca="1">IF(color_Celda(E748)=12106214,"ROSA",IF(color_Celda(E748)=65535,"AMARILLO",IF(color_Celda(E748)=5296274,"VERDE",IF(color_Celda(E748)=16777215,"BLANCO","NO SE"))))</f>
        <v>ROSA</v>
      </c>
      <c r="W748" s="63" t="s">
        <v>2662</v>
      </c>
      <c r="X748" s="63" t="s">
        <v>3462</v>
      </c>
      <c r="Y748" s="63"/>
      <c r="Z748" s="118" t="s">
        <v>748</v>
      </c>
      <c r="AA748" s="118" t="s">
        <v>3305</v>
      </c>
      <c r="AB748" s="118" t="s">
        <v>1171</v>
      </c>
      <c r="AC748" s="328"/>
    </row>
    <row r="749" spans="1:29" ht="60" customHeight="1">
      <c r="A749" s="63">
        <v>740</v>
      </c>
      <c r="B749" s="65">
        <v>45215</v>
      </c>
      <c r="C749" s="63" t="s">
        <v>3111</v>
      </c>
      <c r="D749" s="63" t="s">
        <v>3112</v>
      </c>
      <c r="E749" s="64" t="s">
        <v>3175</v>
      </c>
      <c r="F749" s="63">
        <v>1</v>
      </c>
      <c r="G749" s="63" t="s">
        <v>1433</v>
      </c>
      <c r="H749" s="208">
        <v>45218</v>
      </c>
      <c r="I749" s="65" t="s">
        <v>73</v>
      </c>
      <c r="J749" s="65" t="s">
        <v>1723</v>
      </c>
      <c r="K749" s="63" t="s">
        <v>1916</v>
      </c>
      <c r="L749" s="63" t="s">
        <v>789</v>
      </c>
      <c r="M749" s="63" t="s">
        <v>1175</v>
      </c>
      <c r="N749" s="63" t="s">
        <v>3458</v>
      </c>
      <c r="O749" s="63" t="str">
        <f ca="1">IF(H749&lt;&gt;"",IF(H749&lt;=TODAY(),"SI","NO"),"LIMBO")</f>
        <v>SI</v>
      </c>
      <c r="P749" s="63" t="str">
        <f>IF($P$1=H749,"DIASOL", "DIANOSOL")</f>
        <v>DIANOSOL</v>
      </c>
      <c r="Q749" s="63" t="s">
        <v>151</v>
      </c>
      <c r="R749" s="63" t="s">
        <v>151</v>
      </c>
      <c r="S749" s="63" t="s">
        <v>1291</v>
      </c>
      <c r="T749" s="72" t="str">
        <f>IF(G749=$J$1,"SI","NO")</f>
        <v>NO</v>
      </c>
      <c r="U749" s="72"/>
      <c r="V749" s="7" t="str">
        <f ca="1">IF(color_Celda(E749)=12106214,"ROSA",IF(color_Celda(E749)=65535,"AMARILLO",IF(color_Celda(E749)=5296274,"VERDE",IF(color_Celda(E749)=16777215,"BLANCO","NO SE"))))</f>
        <v>ROSA</v>
      </c>
      <c r="W749" s="63" t="s">
        <v>1491</v>
      </c>
      <c r="X749" s="63" t="s">
        <v>3459</v>
      </c>
      <c r="Y749" s="63"/>
      <c r="Z749" s="118" t="s">
        <v>1038</v>
      </c>
      <c r="AA749" s="304" t="s">
        <v>1167</v>
      </c>
      <c r="AB749" s="118" t="s">
        <v>3258</v>
      </c>
      <c r="AC749" s="328"/>
    </row>
    <row r="750" spans="1:29" ht="60" customHeight="1">
      <c r="A750" s="63">
        <v>739</v>
      </c>
      <c r="B750" s="65">
        <v>45202</v>
      </c>
      <c r="C750" s="63" t="s">
        <v>3108</v>
      </c>
      <c r="D750" s="63" t="s">
        <v>3109</v>
      </c>
      <c r="E750" s="64" t="s">
        <v>3110</v>
      </c>
      <c r="F750" s="63">
        <v>1</v>
      </c>
      <c r="G750" s="63" t="s">
        <v>3323</v>
      </c>
      <c r="H750" s="208">
        <v>45218</v>
      </c>
      <c r="I750" s="65" t="s">
        <v>1083</v>
      </c>
      <c r="J750" s="65" t="s">
        <v>1221</v>
      </c>
      <c r="K750" s="63">
        <f>IFERROR(VLOOKUP(J750,Jueces!$A$1:$B$11,2,FALSE),"")</f>
        <v>6</v>
      </c>
      <c r="L750" s="63" t="s">
        <v>2075</v>
      </c>
      <c r="M750" s="63" t="s">
        <v>712</v>
      </c>
      <c r="N750" s="63" t="s">
        <v>577</v>
      </c>
      <c r="O750" s="63" t="str">
        <f ca="1">IF(H750&lt;&gt;"",IF(H750&lt;=TODAY(),"SI","NO"),"LIMBO")</f>
        <v>SI</v>
      </c>
      <c r="P750" s="63" t="str">
        <f>IF($P$1=H750,"DIASOL", "DIANOSOL")</f>
        <v>DIANOSOL</v>
      </c>
      <c r="Q750" s="63" t="s">
        <v>151</v>
      </c>
      <c r="R750" s="63" t="str">
        <f>VLOOKUP($Q750,Resultados!$A$1:$B$49,2,FALSE)</f>
        <v>Prisión Preventiva</v>
      </c>
      <c r="S750" s="63" t="s">
        <v>1134</v>
      </c>
      <c r="T750" s="72" t="str">
        <f>IF(G750=$J$1,"SI","NO")</f>
        <v>NO</v>
      </c>
      <c r="U750" s="72"/>
      <c r="V750" s="7" t="str">
        <f ca="1">IF(color_Celda(E750)=12106214,"ROSA",IF(color_Celda(E750)=65535,"AMARILLO",IF(color_Celda(E750)=5296274,"VERDE",IF(color_Celda(E750)=16777215,"BLANCO","NO SE"))))</f>
        <v>ROSA</v>
      </c>
      <c r="W750" s="63" t="s">
        <v>1189</v>
      </c>
      <c r="X750" s="63"/>
      <c r="Y750" s="63"/>
      <c r="Z750" s="118" t="s">
        <v>2869</v>
      </c>
      <c r="AA750" s="304" t="s">
        <v>1165</v>
      </c>
      <c r="AB750" s="118" t="s">
        <v>3322</v>
      </c>
      <c r="AC750" s="328"/>
    </row>
    <row r="751" spans="1:29" ht="60" customHeight="1">
      <c r="A751" s="63">
        <v>764</v>
      </c>
      <c r="B751" s="65">
        <v>45203</v>
      </c>
      <c r="C751" s="63" t="s">
        <v>3161</v>
      </c>
      <c r="D751" s="63" t="s">
        <v>3162</v>
      </c>
      <c r="E751" s="64" t="s">
        <v>3210</v>
      </c>
      <c r="F751" s="63">
        <v>2</v>
      </c>
      <c r="G751" s="63" t="s">
        <v>43</v>
      </c>
      <c r="H751" s="208">
        <v>45218</v>
      </c>
      <c r="I751" s="65" t="s">
        <v>1083</v>
      </c>
      <c r="J751" s="65" t="s">
        <v>1217</v>
      </c>
      <c r="K751" s="63" t="s">
        <v>1321</v>
      </c>
      <c r="L751" s="63" t="s">
        <v>807</v>
      </c>
      <c r="M751" s="63" t="s">
        <v>692</v>
      </c>
      <c r="N751" s="63" t="s">
        <v>577</v>
      </c>
      <c r="O751" s="63" t="str">
        <f ca="1">IF(H751&lt;&gt;"",IF(H751&lt;=TODAY(),"SI","NO"),"LIMBO")</f>
        <v>SI</v>
      </c>
      <c r="P751" s="63" t="str">
        <f>IF($P$1=H751,"DIASOL", "DIANOSOL")</f>
        <v>DIANOSOL</v>
      </c>
      <c r="Q751" s="63" t="s">
        <v>151</v>
      </c>
      <c r="R751" s="63" t="str">
        <f>VLOOKUP($Q751,Resultados!$A$1:$B$49,2,FALSE)</f>
        <v>Prisión Preventiva</v>
      </c>
      <c r="S751" s="63" t="s">
        <v>1388</v>
      </c>
      <c r="T751" s="72" t="str">
        <f>IF(G751=$J$1,"SI","NO")</f>
        <v>NO</v>
      </c>
      <c r="U751" s="72"/>
      <c r="V751" s="7" t="str">
        <f ca="1">IF(color_Celda(E751)=12106214,"ROSA",IF(color_Celda(E751)=65535,"AMARILLO",IF(color_Celda(E751)=5296274,"VERDE",IF(color_Celda(E751)=16777215,"BLANCO","NO SE"))))</f>
        <v>ROSA</v>
      </c>
      <c r="W751" s="63" t="s">
        <v>1128</v>
      </c>
      <c r="X751" s="63" t="s">
        <v>3461</v>
      </c>
      <c r="Y751" s="63"/>
      <c r="Z751" s="118" t="s">
        <v>3368</v>
      </c>
      <c r="AA751" s="304" t="s">
        <v>2828</v>
      </c>
      <c r="AB751" s="118" t="s">
        <v>1173</v>
      </c>
      <c r="AC751" s="328"/>
    </row>
    <row r="752" spans="1:29" ht="60" customHeight="1">
      <c r="A752" s="63">
        <v>765</v>
      </c>
      <c r="B752" s="65">
        <v>45203</v>
      </c>
      <c r="C752" s="70">
        <v>0.4777777777777778</v>
      </c>
      <c r="D752" s="63" t="s">
        <v>3163</v>
      </c>
      <c r="E752" s="64" t="s">
        <v>3406</v>
      </c>
      <c r="F752" s="63">
        <v>8</v>
      </c>
      <c r="G752" s="63" t="s">
        <v>568</v>
      </c>
      <c r="H752" s="208">
        <v>45218</v>
      </c>
      <c r="I752" s="65" t="s">
        <v>1083</v>
      </c>
      <c r="J752" s="65" t="s">
        <v>1216</v>
      </c>
      <c r="K752" s="63" t="s">
        <v>2324</v>
      </c>
      <c r="L752" s="63" t="s">
        <v>791</v>
      </c>
      <c r="M752" s="63" t="s">
        <v>1028</v>
      </c>
      <c r="N752" s="63" t="s">
        <v>2180</v>
      </c>
      <c r="O752" s="63" t="str">
        <f ca="1">IF(H752&lt;&gt;"",IF(H752&lt;=TODAY(),"SI","NO"),"LIMBO")</f>
        <v>SI</v>
      </c>
      <c r="P752" s="63" t="str">
        <f>IF($P$1=H752,"DIASOL", "DIANOSOL")</f>
        <v>DIANOSOL</v>
      </c>
      <c r="Q752" s="63" t="s">
        <v>902</v>
      </c>
      <c r="R752" s="63" t="str">
        <f>VLOOKUP($Q752,Resultados!$A$1:$B$49,2,FALSE)</f>
        <v>Juicio Abreviado</v>
      </c>
      <c r="S752" s="63" t="s">
        <v>1126</v>
      </c>
      <c r="T752" s="72" t="str">
        <f>IF(G752=$J$1,"SI","NO")</f>
        <v>NO</v>
      </c>
      <c r="U752" s="72"/>
      <c r="V752" s="7" t="str">
        <f ca="1">IF(color_Celda(E752)=12106214,"ROSA",IF(color_Celda(E752)=65535,"AMARILLO",IF(color_Celda(E752)=5296274,"VERDE",IF(color_Celda(E752)=16777215,"BLANCO","NO SE"))))</f>
        <v>ROSA</v>
      </c>
      <c r="W752" s="63" t="s">
        <v>1737</v>
      </c>
      <c r="X752" s="63" t="s">
        <v>3460</v>
      </c>
      <c r="Y752" s="63"/>
      <c r="Z752" s="118" t="s">
        <v>748</v>
      </c>
      <c r="AA752" s="304" t="s">
        <v>1167</v>
      </c>
      <c r="AB752" s="118" t="s">
        <v>1170</v>
      </c>
      <c r="AC752" s="328"/>
    </row>
    <row r="753" spans="1:29" ht="60" customHeight="1">
      <c r="A753" s="63">
        <v>762</v>
      </c>
      <c r="B753" s="65">
        <v>45203</v>
      </c>
      <c r="C753" s="70">
        <v>0.33333333333333331</v>
      </c>
      <c r="D753" s="63" t="s">
        <v>3137</v>
      </c>
      <c r="E753" s="64" t="s">
        <v>3429</v>
      </c>
      <c r="F753" s="63">
        <v>2</v>
      </c>
      <c r="G753" s="63" t="s">
        <v>283</v>
      </c>
      <c r="H753" s="208">
        <v>45218</v>
      </c>
      <c r="I753" s="65" t="s">
        <v>1206</v>
      </c>
      <c r="J753" s="65" t="s">
        <v>31</v>
      </c>
      <c r="K753" s="63">
        <f>IFERROR(VLOOKUP(J753,Jueces!$A$1:$B$11,2,FALSE),"")</f>
        <v>2</v>
      </c>
      <c r="L753" s="63" t="s">
        <v>789</v>
      </c>
      <c r="M753" s="63" t="s">
        <v>692</v>
      </c>
      <c r="N753" s="63" t="s">
        <v>3463</v>
      </c>
      <c r="O753" s="63" t="str">
        <f ca="1">IF(H753&lt;&gt;"",IF(H753&lt;=TODAY(),"SI","NO"),"LIMBO")</f>
        <v>SI</v>
      </c>
      <c r="P753" s="63" t="str">
        <f>IF($P$1=H753,"DIASOL", "DIANOSOL")</f>
        <v>DIANOSOL</v>
      </c>
      <c r="Q753" s="63" t="s">
        <v>902</v>
      </c>
      <c r="R753" s="63" t="str">
        <f>VLOOKUP($Q753,Resultados!$A$1:$B$49,2,FALSE)</f>
        <v>Juicio Abreviado</v>
      </c>
      <c r="S753" s="63" t="s">
        <v>1793</v>
      </c>
      <c r="T753" s="72" t="str">
        <f>IF(G753=$J$1,"SI","NO")</f>
        <v>NO</v>
      </c>
      <c r="U753" s="72"/>
      <c r="V753" s="7" t="str">
        <f ca="1">IF(color_Celda(E753)=12106214,"ROSA",IF(color_Celda(E753)=65535,"AMARILLO",IF(color_Celda(E753)=5296274,"VERDE",IF(color_Celda(E753)=16777215,"BLANCO","NO SE"))))</f>
        <v>ROSA</v>
      </c>
      <c r="W753" s="63" t="s">
        <v>547</v>
      </c>
      <c r="X753" s="63" t="s">
        <v>3462</v>
      </c>
      <c r="Y753" s="63"/>
      <c r="Z753" s="118" t="s">
        <v>3368</v>
      </c>
      <c r="AA753" s="304" t="s">
        <v>2828</v>
      </c>
      <c r="AB753" s="118" t="s">
        <v>1169</v>
      </c>
      <c r="AC753" s="328"/>
    </row>
    <row r="754" spans="1:29" ht="60" customHeight="1">
      <c r="A754" s="63">
        <v>729</v>
      </c>
      <c r="B754" s="65">
        <v>45197</v>
      </c>
      <c r="C754" s="63" t="s">
        <v>2044</v>
      </c>
      <c r="D754" s="63" t="s">
        <v>3056</v>
      </c>
      <c r="E754" s="64" t="s">
        <v>3057</v>
      </c>
      <c r="F754" s="63">
        <v>8</v>
      </c>
      <c r="G754" s="63" t="s">
        <v>1433</v>
      </c>
      <c r="H754" s="208">
        <v>45218</v>
      </c>
      <c r="I754" s="65" t="s">
        <v>3171</v>
      </c>
      <c r="J754" s="65" t="s">
        <v>31</v>
      </c>
      <c r="K754" s="63">
        <f>IFERROR(VLOOKUP(J754,Jueces!$A$1:$B$11,2,FALSE),"")</f>
        <v>2</v>
      </c>
      <c r="L754" s="63" t="s">
        <v>807</v>
      </c>
      <c r="M754" s="63" t="s">
        <v>1408</v>
      </c>
      <c r="N754" s="63" t="s">
        <v>3464</v>
      </c>
      <c r="O754" s="63" t="str">
        <f ca="1">IF(H754&lt;&gt;"",IF(H754&lt;=TODAY(),"SI","NO"),"LIMBO")</f>
        <v>SI</v>
      </c>
      <c r="P754" s="63" t="str">
        <f>IF($P$1=H754,"DIASOL", "DIANOSOL")</f>
        <v>DIANOSOL</v>
      </c>
      <c r="Q754" s="63" t="s">
        <v>897</v>
      </c>
      <c r="R754" s="63" t="str">
        <f>VLOOKUP($Q754,Resultados!$A$1:$B$49,2,FALSE)</f>
        <v>Libertad</v>
      </c>
      <c r="S754" s="63" t="s">
        <v>3465</v>
      </c>
      <c r="T754" s="72" t="str">
        <f>IF(G754=$J$1,"SI","NO")</f>
        <v>NO</v>
      </c>
      <c r="U754" s="72"/>
      <c r="V754" s="7" t="str">
        <f ca="1">IF(color_Celda(E754)=12106214,"ROSA",IF(color_Celda(E754)=65535,"AMARILLO",IF(color_Celda(E754)=5296274,"VERDE",IF(color_Celda(E754)=16777215,"BLANCO","NO SE"))))</f>
        <v>ROSA</v>
      </c>
      <c r="W754" s="63" t="s">
        <v>3466</v>
      </c>
      <c r="X754" s="63" t="s">
        <v>3155</v>
      </c>
      <c r="Y754" s="63"/>
      <c r="Z754" s="118" t="s">
        <v>3368</v>
      </c>
      <c r="AA754" s="118" t="s">
        <v>1165</v>
      </c>
      <c r="AB754" s="118" t="s">
        <v>3258</v>
      </c>
      <c r="AC754" s="328"/>
    </row>
    <row r="755" spans="1:29" ht="60" customHeight="1">
      <c r="A755" s="63">
        <v>731</v>
      </c>
      <c r="B755" s="65">
        <v>45201</v>
      </c>
      <c r="C755" s="63" t="s">
        <v>1530</v>
      </c>
      <c r="D755" s="63" t="s">
        <v>3074</v>
      </c>
      <c r="E755" s="64" t="s">
        <v>3174</v>
      </c>
      <c r="F755" s="63">
        <v>1</v>
      </c>
      <c r="G755" s="63" t="s">
        <v>1434</v>
      </c>
      <c r="H755" s="208">
        <v>45219</v>
      </c>
      <c r="I755" s="65" t="s">
        <v>73</v>
      </c>
      <c r="J755" s="65" t="s">
        <v>2922</v>
      </c>
      <c r="K755" s="63" t="s">
        <v>1916</v>
      </c>
      <c r="L755" s="63" t="s">
        <v>805</v>
      </c>
      <c r="M755" s="63" t="s">
        <v>711</v>
      </c>
      <c r="N755" s="63" t="s">
        <v>911</v>
      </c>
      <c r="O755" s="78" t="str">
        <f ca="1">IF(H755&lt;&gt;"",IF(H755&lt;=TODAY(),"SI","NO"),"LIMBO")</f>
        <v>SI</v>
      </c>
      <c r="P755" s="78" t="str">
        <f>IF($P$1=H755,"DIASOL", "DIANOSOL")</f>
        <v>DIANOSOL</v>
      </c>
      <c r="Q755" s="63" t="s">
        <v>911</v>
      </c>
      <c r="R755" s="63" t="str">
        <f>VLOOKUP($Q755,Resultados!$A$1:$B$49,2,FALSE)</f>
        <v>Prision domiciliaria</v>
      </c>
      <c r="S755" s="63" t="s">
        <v>2047</v>
      </c>
      <c r="T755" s="81" t="str">
        <f>IF(G755=$J$1,"SI","NO")</f>
        <v>NO</v>
      </c>
      <c r="U755" s="81"/>
      <c r="V755" s="7" t="str">
        <f ca="1">IF(color_Celda(E755)=12106214,"ROSA",IF(color_Celda(E755)=65535,"AMARILLO",IF(color_Celda(E755)=5296274,"VERDE",IF(color_Celda(E755)=16777215,"BLANCO","NO SE"))))</f>
        <v>ROSA</v>
      </c>
      <c r="W755" s="63" t="s">
        <v>1206</v>
      </c>
      <c r="X755" s="63" t="s">
        <v>3480</v>
      </c>
      <c r="Y755" s="63"/>
      <c r="Z755" s="118" t="s">
        <v>2843</v>
      </c>
      <c r="AA755" s="304" t="s">
        <v>1165</v>
      </c>
      <c r="AB755" s="118" t="s">
        <v>1173</v>
      </c>
      <c r="AC755" s="328"/>
    </row>
    <row r="756" spans="1:29" ht="60" customHeight="1">
      <c r="A756" s="63">
        <v>749</v>
      </c>
      <c r="B756" s="65">
        <v>45202</v>
      </c>
      <c r="C756" s="70">
        <v>0.54513888888888895</v>
      </c>
      <c r="D756" s="63" t="s">
        <v>3133</v>
      </c>
      <c r="E756" s="64" t="s">
        <v>3172</v>
      </c>
      <c r="F756" s="63">
        <v>8</v>
      </c>
      <c r="G756" s="63" t="s">
        <v>3323</v>
      </c>
      <c r="H756" s="208">
        <v>45219</v>
      </c>
      <c r="I756" s="65" t="s">
        <v>73</v>
      </c>
      <c r="J756" s="65" t="s">
        <v>2925</v>
      </c>
      <c r="K756" s="63" t="s">
        <v>2324</v>
      </c>
      <c r="L756" s="63" t="s">
        <v>789</v>
      </c>
      <c r="M756" s="63" t="s">
        <v>1084</v>
      </c>
      <c r="N756" s="63" t="s">
        <v>3481</v>
      </c>
      <c r="O756" s="78" t="str">
        <f ca="1">IF(H756&lt;&gt;"",IF(H756&lt;=TODAY(),"SI","NO"),"LIMBO")</f>
        <v>SI</v>
      </c>
      <c r="P756" s="78" t="str">
        <f>IF($P$1=H756,"DIASOL", "DIANOSOL")</f>
        <v>DIANOSOL</v>
      </c>
      <c r="Q756" s="63" t="s">
        <v>897</v>
      </c>
      <c r="R756" s="63" t="str">
        <f>VLOOKUP($Q756,Resultados!$A$1:$B$49,2,FALSE)</f>
        <v>Libertad</v>
      </c>
      <c r="S756" s="63" t="s">
        <v>1125</v>
      </c>
      <c r="T756" s="81" t="str">
        <f>IF(G756=$J$1,"SI","NO")</f>
        <v>NO</v>
      </c>
      <c r="U756" s="81"/>
      <c r="V756" s="7" t="str">
        <f ca="1">IF(color_Celda(E756)=12106214,"ROSA",IF(color_Celda(E756)=65535,"AMARILLO",IF(color_Celda(E756)=5296274,"VERDE",IF(color_Celda(E756)=16777215,"BLANCO","NO SE"))))</f>
        <v>ROSA</v>
      </c>
      <c r="W756" s="63" t="s">
        <v>1556</v>
      </c>
      <c r="X756" s="63" t="s">
        <v>3482</v>
      </c>
      <c r="Y756" s="63"/>
      <c r="Z756" s="118" t="s">
        <v>3368</v>
      </c>
      <c r="AA756" s="304" t="s">
        <v>2828</v>
      </c>
      <c r="AB756" s="118" t="s">
        <v>3322</v>
      </c>
      <c r="AC756" s="328"/>
    </row>
    <row r="757" spans="1:29" ht="60" customHeight="1">
      <c r="A757" s="63">
        <v>757</v>
      </c>
      <c r="B757" s="65">
        <v>45204</v>
      </c>
      <c r="C757" s="70">
        <v>0.4201388888888889</v>
      </c>
      <c r="D757" s="63" t="s">
        <v>3181</v>
      </c>
      <c r="E757" s="64" t="s">
        <v>3450</v>
      </c>
      <c r="F757" s="63">
        <v>1</v>
      </c>
      <c r="G757" s="63" t="s">
        <v>283</v>
      </c>
      <c r="H757" s="208">
        <v>45219</v>
      </c>
      <c r="I757" s="65" t="s">
        <v>73</v>
      </c>
      <c r="J757" s="65" t="s">
        <v>31</v>
      </c>
      <c r="K757" s="63">
        <f>IFERROR(VLOOKUP(J757,Jueces!$A$1:$B$11,2,FALSE),"")</f>
        <v>2</v>
      </c>
      <c r="L757" s="63" t="s">
        <v>799</v>
      </c>
      <c r="M757" s="63" t="s">
        <v>712</v>
      </c>
      <c r="N757" s="63" t="s">
        <v>3486</v>
      </c>
      <c r="O757" s="78" t="str">
        <f ca="1">IF(H757&lt;&gt;"",IF(H757&lt;=TODAY(),"SI","NO"),"LIMBO")</f>
        <v>SI</v>
      </c>
      <c r="P757" s="78" t="str">
        <f>IF($P$1=H757,"DIASOL", "DIANOSOL")</f>
        <v>DIANOSOL</v>
      </c>
      <c r="Q757" s="63" t="s">
        <v>903</v>
      </c>
      <c r="R757" s="63" t="str">
        <f>VLOOKUP($Q757,Resultados!$A$1:$B$49,2,FALSE)</f>
        <v>Juicio Abreviado</v>
      </c>
      <c r="S757" s="63" t="s">
        <v>1336</v>
      </c>
      <c r="T757" s="81" t="str">
        <f>IF(G757=$J$1,"SI","NO")</f>
        <v>NO</v>
      </c>
      <c r="U757" s="81"/>
      <c r="V757" s="7" t="str">
        <f ca="1">IF(color_Celda(E757)=12106214,"ROSA",IF(color_Celda(E757)=65535,"AMARILLO",IF(color_Celda(E757)=5296274,"VERDE",IF(color_Celda(E757)=16777215,"BLANCO","NO SE"))))</f>
        <v>ROSA</v>
      </c>
      <c r="W757" s="63" t="s">
        <v>1232</v>
      </c>
      <c r="X757" s="63" t="s">
        <v>3487</v>
      </c>
      <c r="Y757" s="63"/>
      <c r="Z757" s="118" t="s">
        <v>3428</v>
      </c>
      <c r="AA757" s="304" t="s">
        <v>1167</v>
      </c>
      <c r="AB757" s="118" t="s">
        <v>1171</v>
      </c>
      <c r="AC757" s="328"/>
    </row>
    <row r="758" spans="1:29" ht="60" customHeight="1">
      <c r="A758" s="63">
        <v>733</v>
      </c>
      <c r="B758" s="65">
        <v>45201</v>
      </c>
      <c r="C758" s="70">
        <v>0.47916666666666669</v>
      </c>
      <c r="D758" s="63" t="s">
        <v>3076</v>
      </c>
      <c r="E758" s="64" t="s">
        <v>3176</v>
      </c>
      <c r="F758" s="63">
        <v>1</v>
      </c>
      <c r="G758" s="63" t="s">
        <v>2766</v>
      </c>
      <c r="H758" s="208">
        <v>45219</v>
      </c>
      <c r="I758" s="65" t="s">
        <v>1083</v>
      </c>
      <c r="J758" s="65" t="s">
        <v>1723</v>
      </c>
      <c r="K758" s="63" t="s">
        <v>1916</v>
      </c>
      <c r="L758" s="63" t="s">
        <v>789</v>
      </c>
      <c r="M758" s="63" t="s">
        <v>3177</v>
      </c>
      <c r="N758" s="63" t="s">
        <v>3483</v>
      </c>
      <c r="O758" s="78" t="str">
        <f ca="1">IF(H758&lt;&gt;"",IF(H758&lt;=TODAY(),"SI","NO"),"LIMBO")</f>
        <v>SI</v>
      </c>
      <c r="P758" s="78" t="str">
        <f>IF($P$1=H758,"DIASOL", "DIANOSOL")</f>
        <v>DIANOSOL</v>
      </c>
      <c r="Q758" s="63" t="s">
        <v>151</v>
      </c>
      <c r="R758" s="63" t="str">
        <f>VLOOKUP($Q758,Resultados!$A$1:$B$49,2,FALSE)</f>
        <v>Prisión Preventiva</v>
      </c>
      <c r="S758" s="63" t="s">
        <v>1226</v>
      </c>
      <c r="T758" s="81" t="str">
        <f>IF(G758=$J$1,"SI","NO")</f>
        <v>NO</v>
      </c>
      <c r="U758" s="81"/>
      <c r="V758" s="7" t="str">
        <f ca="1">IF(color_Celda(E758)=12106214,"ROSA",IF(color_Celda(E758)=65535,"AMARILLO",IF(color_Celda(E758)=5296274,"VERDE",IF(color_Celda(E758)=16777215,"BLANCO","NO SE"))))</f>
        <v>ROSA</v>
      </c>
      <c r="W758" s="63" t="s">
        <v>1626</v>
      </c>
      <c r="X758" s="63" t="s">
        <v>3484</v>
      </c>
      <c r="Y758" s="63"/>
      <c r="Z758" s="118" t="s">
        <v>2843</v>
      </c>
      <c r="AA758" s="304" t="s">
        <v>1165</v>
      </c>
      <c r="AB758" s="118" t="s">
        <v>1170</v>
      </c>
      <c r="AC758" s="328"/>
    </row>
    <row r="759" spans="1:29" ht="60" customHeight="1">
      <c r="A759" s="63">
        <v>743</v>
      </c>
      <c r="B759" s="65">
        <v>45202</v>
      </c>
      <c r="C759" s="70">
        <v>0.46249999999999997</v>
      </c>
      <c r="D759" s="63" t="s">
        <v>3124</v>
      </c>
      <c r="E759" s="64" t="s">
        <v>3125</v>
      </c>
      <c r="F759" s="63">
        <v>8</v>
      </c>
      <c r="G759" s="63" t="s">
        <v>1433</v>
      </c>
      <c r="H759" s="208">
        <v>45219</v>
      </c>
      <c r="I759" s="65" t="s">
        <v>1083</v>
      </c>
      <c r="J759" s="65" t="s">
        <v>1221</v>
      </c>
      <c r="K759" s="63">
        <f>IFERROR(VLOOKUP(J759,Jueces!$A$1:$B$11,2,FALSE),"")</f>
        <v>6</v>
      </c>
      <c r="L759" s="63" t="s">
        <v>2076</v>
      </c>
      <c r="M759" s="63" t="s">
        <v>711</v>
      </c>
      <c r="N759" s="63" t="s">
        <v>3479</v>
      </c>
      <c r="O759" s="78" t="str">
        <f ca="1">IF(H759&lt;&gt;"",IF(H759&lt;=TODAY(),"SI","NO"),"LIMBO")</f>
        <v>SI</v>
      </c>
      <c r="P759" s="78" t="str">
        <f>IF($P$1=H759,"DIASOL", "DIANOSOL")</f>
        <v>DIANOSOL</v>
      </c>
      <c r="Q759" s="63" t="s">
        <v>909</v>
      </c>
      <c r="R759" s="63" t="str">
        <f>VLOOKUP($Q759,Resultados!$A$1:$B$49,2,FALSE)</f>
        <v>Suspendida</v>
      </c>
      <c r="S759" s="63" t="s">
        <v>1006</v>
      </c>
      <c r="T759" s="81" t="str">
        <f>IF(G759=$J$1,"SI","NO")</f>
        <v>NO</v>
      </c>
      <c r="U759" s="81"/>
      <c r="V759" s="7" t="str">
        <f ca="1">IF(color_Celda(E759)=12106214,"ROSA",IF(color_Celda(E759)=65535,"AMARILLO",IF(color_Celda(E759)=5296274,"VERDE",IF(color_Celda(E759)=16777215,"BLANCO","NO SE"))))</f>
        <v>ROSA</v>
      </c>
      <c r="W759" s="63" t="s">
        <v>2063</v>
      </c>
      <c r="X759" s="63"/>
      <c r="Y759" s="63"/>
      <c r="Z759" s="118" t="s">
        <v>748</v>
      </c>
      <c r="AA759" s="304" t="s">
        <v>1167</v>
      </c>
      <c r="AB759" s="118" t="s">
        <v>1169</v>
      </c>
      <c r="AC759" s="328"/>
    </row>
    <row r="760" spans="1:29" ht="60" customHeight="1">
      <c r="A760" s="63">
        <v>761</v>
      </c>
      <c r="B760" s="65">
        <v>45205</v>
      </c>
      <c r="C760" s="70">
        <v>0.4548611111111111</v>
      </c>
      <c r="D760" s="63" t="s">
        <v>3195</v>
      </c>
      <c r="E760" s="64" t="s">
        <v>3211</v>
      </c>
      <c r="F760" s="63">
        <v>1</v>
      </c>
      <c r="G760" s="63" t="s">
        <v>2752</v>
      </c>
      <c r="H760" s="208">
        <v>45219</v>
      </c>
      <c r="I760" s="65" t="s">
        <v>1083</v>
      </c>
      <c r="J760" s="65" t="s">
        <v>1216</v>
      </c>
      <c r="K760" s="63">
        <f>IFERROR(VLOOKUP(J760,Jueces!$A$1:$B$11,2,FALSE),"")</f>
        <v>1</v>
      </c>
      <c r="L760" s="63" t="s">
        <v>807</v>
      </c>
      <c r="M760" s="63" t="s">
        <v>697</v>
      </c>
      <c r="N760" s="63" t="s">
        <v>577</v>
      </c>
      <c r="O760" s="78" t="str">
        <f ca="1">IF(H760&lt;&gt;"",IF(H760&lt;=TODAY(),"SI","NO"),"LIMBO")</f>
        <v>SI</v>
      </c>
      <c r="P760" s="78" t="str">
        <f>IF($P$1=H760,"DIASOL", "DIANOSOL")</f>
        <v>DIANOSOL</v>
      </c>
      <c r="Q760" s="63" t="s">
        <v>151</v>
      </c>
      <c r="R760" s="63" t="str">
        <f>VLOOKUP($Q760,Resultados!$A$1:$B$49,2,FALSE)</f>
        <v>Prisión Preventiva</v>
      </c>
      <c r="S760" s="63" t="s">
        <v>1227</v>
      </c>
      <c r="T760" s="81" t="str">
        <f>IF(G760=$J$1,"SI","NO")</f>
        <v>NO</v>
      </c>
      <c r="U760" s="81"/>
      <c r="V760" s="7" t="str">
        <f ca="1">IF(color_Celda(E760)=12106214,"ROSA",IF(color_Celda(E760)=65535,"AMARILLO",IF(color_Celda(E760)=5296274,"VERDE",IF(color_Celda(E760)=16777215,"BLANCO","NO SE"))))</f>
        <v>ROSA</v>
      </c>
      <c r="W760" s="63" t="s">
        <v>2878</v>
      </c>
      <c r="X760" s="63"/>
      <c r="Y760" s="63"/>
      <c r="Z760" s="118" t="s">
        <v>2869</v>
      </c>
      <c r="AA760" s="304" t="s">
        <v>2828</v>
      </c>
      <c r="AB760" s="118" t="s">
        <v>3258</v>
      </c>
      <c r="AC760" s="328"/>
    </row>
    <row r="761" spans="1:29" ht="60" customHeight="1">
      <c r="A761" s="63">
        <v>755</v>
      </c>
      <c r="B761" s="65">
        <v>45204</v>
      </c>
      <c r="C761" s="70">
        <v>0.37291666666666662</v>
      </c>
      <c r="D761" s="325" t="s">
        <v>3179</v>
      </c>
      <c r="E761" s="64" t="s">
        <v>3180</v>
      </c>
      <c r="F761" s="63">
        <v>1</v>
      </c>
      <c r="G761" s="63" t="s">
        <v>2815</v>
      </c>
      <c r="H761" s="208">
        <v>45219</v>
      </c>
      <c r="I761" s="65" t="s">
        <v>1206</v>
      </c>
      <c r="J761" s="65" t="s">
        <v>33</v>
      </c>
      <c r="K761" s="63" t="s">
        <v>3264</v>
      </c>
      <c r="L761" s="63" t="s">
        <v>806</v>
      </c>
      <c r="M761" s="63" t="s">
        <v>712</v>
      </c>
      <c r="N761" s="63" t="s">
        <v>3488</v>
      </c>
      <c r="O761" s="78" t="str">
        <f ca="1">IF(H761&lt;&gt;"",IF(H761&lt;=TODAY(),"SI","NO"),"LIMBO")</f>
        <v>SI</v>
      </c>
      <c r="P761" s="78" t="str">
        <f>IF($P$1=H761,"DIASOL", "DIANOSOL")</f>
        <v>DIANOSOL</v>
      </c>
      <c r="Q761" s="63" t="s">
        <v>909</v>
      </c>
      <c r="R761" s="63" t="str">
        <f>VLOOKUP($Q761,Resultados!$A$1:$B$49,2,FALSE)</f>
        <v>Suspendida</v>
      </c>
      <c r="S761" s="63"/>
      <c r="T761" s="81" t="str">
        <f>IF(G761=$J$1,"SI","NO")</f>
        <v>NO</v>
      </c>
      <c r="U761" s="81"/>
      <c r="V761" s="7" t="str">
        <f ca="1">IF(color_Celda(E761)=12106214,"ROSA",IF(color_Celda(E761)=65535,"AMARILLO",IF(color_Celda(E761)=5296274,"VERDE",IF(color_Celda(E761)=16777215,"BLANCO","NO SE"))))</f>
        <v>ROSA</v>
      </c>
      <c r="W761" s="63"/>
      <c r="X761" s="63" t="s">
        <v>3489</v>
      </c>
      <c r="Y761" s="63"/>
      <c r="Z761" s="118" t="s">
        <v>3368</v>
      </c>
      <c r="AA761" s="118" t="s">
        <v>3305</v>
      </c>
      <c r="AB761" s="118" t="s">
        <v>1171</v>
      </c>
      <c r="AC761" s="328" t="s">
        <v>1792</v>
      </c>
    </row>
    <row r="762" spans="1:29" ht="60" customHeight="1">
      <c r="A762" s="63">
        <v>833</v>
      </c>
      <c r="B762" s="65">
        <v>45217</v>
      </c>
      <c r="C762" s="70">
        <v>0.33333333333333331</v>
      </c>
      <c r="D762" s="63" t="s">
        <v>3455</v>
      </c>
      <c r="E762" s="64" t="s">
        <v>3456</v>
      </c>
      <c r="F762" s="63">
        <v>2</v>
      </c>
      <c r="G762" s="63" t="s">
        <v>29</v>
      </c>
      <c r="H762" s="208">
        <v>45219</v>
      </c>
      <c r="I762" s="65" t="s">
        <v>228</v>
      </c>
      <c r="J762" s="65" t="s">
        <v>31</v>
      </c>
      <c r="K762" s="63">
        <v>2</v>
      </c>
      <c r="L762" s="63" t="s">
        <v>1301</v>
      </c>
      <c r="M762" s="63" t="s">
        <v>3457</v>
      </c>
      <c r="N762" s="63" t="s">
        <v>3485</v>
      </c>
      <c r="O762" s="78" t="str">
        <f ca="1">IF(H762&lt;&gt;"",IF(H762&lt;=TODAY(),"SI","NO"),"LIMBO")</f>
        <v>SI</v>
      </c>
      <c r="P762" s="78" t="str">
        <f>IF($P$1=H762,"DIASOL", "DIANOSOL")</f>
        <v>DIANOSOL</v>
      </c>
      <c r="Q762" s="63" t="s">
        <v>903</v>
      </c>
      <c r="R762" s="63" t="str">
        <f>VLOOKUP($Q762,Resultados!$A$1:$B$49,2,FALSE)</f>
        <v>Juicio Abreviado</v>
      </c>
      <c r="S762" s="63" t="s">
        <v>3363</v>
      </c>
      <c r="T762" s="81" t="str">
        <f>IF(G762=$J$1,"SI","NO")</f>
        <v>NO</v>
      </c>
      <c r="U762" s="81"/>
      <c r="V762" s="7" t="str">
        <f ca="1">IF(color_Celda(E762)=12106214,"ROSA",IF(color_Celda(E762)=65535,"AMARILLO",IF(color_Celda(E762)=5296274,"VERDE",IF(color_Celda(E762)=16777215,"BLANCO","NO SE"))))</f>
        <v>ROSA</v>
      </c>
      <c r="W762" s="63" t="s">
        <v>3239</v>
      </c>
      <c r="X762" s="63" t="s">
        <v>3044</v>
      </c>
      <c r="Y762" s="63"/>
      <c r="Z762" s="118" t="s">
        <v>748</v>
      </c>
      <c r="AA762" s="63"/>
      <c r="AB762" s="118" t="s">
        <v>3322</v>
      </c>
      <c r="AC762" s="328"/>
    </row>
    <row r="763" spans="1:29" ht="60" customHeight="1">
      <c r="A763" s="63">
        <v>748</v>
      </c>
      <c r="B763" s="65">
        <v>45202</v>
      </c>
      <c r="C763" s="70">
        <v>0.53194444444444444</v>
      </c>
      <c r="D763" s="63" t="s">
        <v>3131</v>
      </c>
      <c r="E763" s="64" t="s">
        <v>3132</v>
      </c>
      <c r="F763" s="63">
        <v>1</v>
      </c>
      <c r="G763" s="63" t="s">
        <v>1434</v>
      </c>
      <c r="H763" s="208">
        <v>45222</v>
      </c>
      <c r="I763" s="65" t="s">
        <v>73</v>
      </c>
      <c r="J763" s="65" t="s">
        <v>2922</v>
      </c>
      <c r="K763" s="63" t="s">
        <v>1916</v>
      </c>
      <c r="L763" s="63" t="s">
        <v>812</v>
      </c>
      <c r="M763" s="63" t="s">
        <v>711</v>
      </c>
      <c r="N763" s="63" t="s">
        <v>3510</v>
      </c>
      <c r="O763" s="63" t="str">
        <f ca="1">IF(H763&lt;&gt;"",IF(H763&lt;=TODAY(),"SI","NO"),"LIMBO")</f>
        <v>SI</v>
      </c>
      <c r="P763" s="63" t="str">
        <f>IF($P$1=H763,"DIASOL", "DIANOSOL")</f>
        <v>DIANOSOL</v>
      </c>
      <c r="Q763" s="63" t="s">
        <v>151</v>
      </c>
      <c r="R763" s="63" t="str">
        <f>VLOOKUP($Q763,Resultados!$A$1:$B$49,2,FALSE)</f>
        <v>Prisión Preventiva</v>
      </c>
      <c r="S763" s="63" t="s">
        <v>1287</v>
      </c>
      <c r="T763" s="72" t="str">
        <f>IF(G763=$J$1,"SI","NO")</f>
        <v>NO</v>
      </c>
      <c r="U763" s="72"/>
      <c r="V763" s="7" t="str">
        <f ca="1">IF(color_Celda(E763)=12106214,"ROSA",IF(color_Celda(E763)=65535,"AMARILLO",IF(color_Celda(E763)=5296274,"VERDE",IF(color_Celda(E763)=16777215,"BLANCO","NO SE"))))</f>
        <v>ROSA</v>
      </c>
      <c r="W763" s="63" t="s">
        <v>1248</v>
      </c>
      <c r="X763" s="63" t="s">
        <v>3511</v>
      </c>
      <c r="Y763" s="63"/>
      <c r="Z763" s="118" t="s">
        <v>748</v>
      </c>
      <c r="AA763" s="304" t="s">
        <v>1167</v>
      </c>
      <c r="AB763" s="118" t="s">
        <v>1173</v>
      </c>
      <c r="AC763" s="328"/>
    </row>
    <row r="764" spans="1:29" ht="60" customHeight="1">
      <c r="A764" s="63">
        <v>774</v>
      </c>
      <c r="B764" s="65">
        <v>45209</v>
      </c>
      <c r="C764" s="70">
        <v>0.40069444444444446</v>
      </c>
      <c r="D764" s="325" t="s">
        <v>3256</v>
      </c>
      <c r="E764" s="64" t="s">
        <v>3299</v>
      </c>
      <c r="F764" s="63">
        <v>1</v>
      </c>
      <c r="G764" s="63" t="s">
        <v>2815</v>
      </c>
      <c r="H764" s="208">
        <v>45222</v>
      </c>
      <c r="I764" s="65" t="s">
        <v>73</v>
      </c>
      <c r="J764" s="65" t="s">
        <v>2925</v>
      </c>
      <c r="K764" s="63" t="s">
        <v>1341</v>
      </c>
      <c r="L764" s="63" t="s">
        <v>569</v>
      </c>
      <c r="M764" s="63" t="s">
        <v>3300</v>
      </c>
      <c r="N764" s="63" t="s">
        <v>3518</v>
      </c>
      <c r="O764" s="63" t="str">
        <f ca="1">IF(H764&lt;&gt;"",IF(H764&lt;=TODAY(),"SI","NO"),"LIMBO")</f>
        <v>SI</v>
      </c>
      <c r="P764" s="63" t="str">
        <f>IF($P$1=H764,"DIASOL", "DIANOSOL")</f>
        <v>DIANOSOL</v>
      </c>
      <c r="Q764" s="63" t="s">
        <v>902</v>
      </c>
      <c r="R764" s="63" t="str">
        <f>VLOOKUP($Q764,Resultados!$A$1:$B$49,2,FALSE)</f>
        <v>Juicio Abreviado</v>
      </c>
      <c r="S764" s="63" t="s">
        <v>2402</v>
      </c>
      <c r="T764" s="72" t="str">
        <f>IF(G764=$J$1,"SI","NO")</f>
        <v>NO</v>
      </c>
      <c r="U764" s="72"/>
      <c r="V764" s="7" t="str">
        <f ca="1">IF(color_Celda(E764)=12106214,"ROSA",IF(color_Celda(E764)=65535,"AMARILLO",IF(color_Celda(E764)=5296274,"VERDE",IF(color_Celda(E764)=16777215,"BLANCO","NO SE"))))</f>
        <v>ROSA</v>
      </c>
      <c r="W764" s="63" t="s">
        <v>1134</v>
      </c>
      <c r="X764" s="63" t="s">
        <v>3519</v>
      </c>
      <c r="Y764" s="63"/>
      <c r="Z764" s="118" t="s">
        <v>3428</v>
      </c>
      <c r="AA764" s="118"/>
      <c r="AB764" s="118" t="s">
        <v>1170</v>
      </c>
      <c r="AC764" s="328" t="s">
        <v>1792</v>
      </c>
    </row>
    <row r="765" spans="1:29" ht="60" customHeight="1">
      <c r="A765" s="63">
        <v>776</v>
      </c>
      <c r="B765" s="65">
        <v>45218</v>
      </c>
      <c r="C765" s="70">
        <v>0.33333333333333331</v>
      </c>
      <c r="D765" s="63" t="s">
        <v>3262</v>
      </c>
      <c r="E765" s="64" t="s">
        <v>3263</v>
      </c>
      <c r="F765" s="63">
        <v>1</v>
      </c>
      <c r="G765" s="63" t="s">
        <v>1435</v>
      </c>
      <c r="H765" s="208">
        <v>45222</v>
      </c>
      <c r="I765" s="65" t="s">
        <v>73</v>
      </c>
      <c r="J765" s="65" t="s">
        <v>1723</v>
      </c>
      <c r="K765" s="63" t="s">
        <v>2324</v>
      </c>
      <c r="L765" s="63" t="s">
        <v>810</v>
      </c>
      <c r="M765" s="330" t="s">
        <v>2220</v>
      </c>
      <c r="N765" s="63" t="s">
        <v>3516</v>
      </c>
      <c r="O765" s="63" t="str">
        <f ca="1">IF(H765&lt;&gt;"",IF(H765&lt;=TODAY(),"SI","NO"),"LIMBO")</f>
        <v>SI</v>
      </c>
      <c r="P765" s="63" t="str">
        <f>IF($P$1=H765,"DIASOL", "DIANOSOL")</f>
        <v>DIANOSOL</v>
      </c>
      <c r="Q765" s="63" t="s">
        <v>151</v>
      </c>
      <c r="R765" s="63" t="str">
        <f>VLOOKUP($Q765,Resultados!$A$1:$B$49,2,FALSE)</f>
        <v>Prisión Preventiva</v>
      </c>
      <c r="S765" s="63" t="s">
        <v>1130</v>
      </c>
      <c r="T765" s="72" t="str">
        <f>IF(G765=$J$1,"SI","NO")</f>
        <v>SI</v>
      </c>
      <c r="U765" s="72"/>
      <c r="V765" s="7" t="str">
        <f ca="1">IF(color_Celda(E765)=12106214,"ROSA",IF(color_Celda(E765)=65535,"AMARILLO",IF(color_Celda(E765)=5296274,"VERDE",IF(color_Celda(E765)=16777215,"BLANCO","NO SE"))))</f>
        <v>ROSA</v>
      </c>
      <c r="W765" s="63" t="s">
        <v>76</v>
      </c>
      <c r="X765" s="63" t="s">
        <v>3517</v>
      </c>
      <c r="Y765" s="63"/>
      <c r="Z765" s="118" t="s">
        <v>2843</v>
      </c>
      <c r="AA765" s="304" t="s">
        <v>2828</v>
      </c>
      <c r="AB765" s="118" t="s">
        <v>1169</v>
      </c>
      <c r="AC765" s="328"/>
    </row>
    <row r="766" spans="1:29" ht="60" customHeight="1">
      <c r="A766" s="63">
        <v>768</v>
      </c>
      <c r="B766" s="65">
        <v>45208</v>
      </c>
      <c r="C766" s="63" t="s">
        <v>3226</v>
      </c>
      <c r="D766" s="63" t="s">
        <v>3227</v>
      </c>
      <c r="E766" s="64" t="s">
        <v>3295</v>
      </c>
      <c r="F766" s="63">
        <v>2</v>
      </c>
      <c r="G766" s="63" t="s">
        <v>3324</v>
      </c>
      <c r="H766" s="208">
        <v>45222</v>
      </c>
      <c r="I766" s="65" t="s">
        <v>1206</v>
      </c>
      <c r="J766" s="65" t="s">
        <v>78</v>
      </c>
      <c r="K766" s="63">
        <f>IFERROR(VLOOKUP(J766,Jueces!$A$1:$B$11,2,FALSE),"")</f>
        <v>8</v>
      </c>
      <c r="L766" s="63" t="s">
        <v>805</v>
      </c>
      <c r="M766" s="7" t="s">
        <v>692</v>
      </c>
      <c r="N766" s="63" t="s">
        <v>3512</v>
      </c>
      <c r="O766" s="63" t="str">
        <f ca="1">IF(H766&lt;&gt;"",IF(H766&lt;=TODAY(),"SI","NO"),"LIMBO")</f>
        <v>SI</v>
      </c>
      <c r="P766" s="63" t="str">
        <f>IF($P$1=H766,"DIASOL", "DIANOSOL")</f>
        <v>DIANOSOL</v>
      </c>
      <c r="Q766" s="63" t="s">
        <v>902</v>
      </c>
      <c r="R766" s="63" t="str">
        <f>VLOOKUP($Q766,Resultados!$A$1:$B$49,2,FALSE)</f>
        <v>Juicio Abreviado</v>
      </c>
      <c r="S766" s="63" t="s">
        <v>3513</v>
      </c>
      <c r="T766" s="72" t="str">
        <f>IF(G766=$J$1,"SI","NO")</f>
        <v>NO</v>
      </c>
      <c r="U766" s="72"/>
      <c r="V766" s="7" t="str">
        <f ca="1">IF(color_Celda(E766)=12106214,"ROSA",IF(color_Celda(E766)=65535,"AMARILLO",IF(color_Celda(E766)=5296274,"VERDE",IF(color_Celda(E766)=16777215,"BLANCO","NO SE"))))</f>
        <v>ROSA</v>
      </c>
      <c r="W766" s="63" t="s">
        <v>3514</v>
      </c>
      <c r="X766" s="63" t="s">
        <v>3515</v>
      </c>
      <c r="Y766" s="63"/>
      <c r="Z766" s="118" t="s">
        <v>3368</v>
      </c>
      <c r="AA766" s="118" t="s">
        <v>3378</v>
      </c>
      <c r="AB766" s="118" t="s">
        <v>3258</v>
      </c>
      <c r="AC766" s="328"/>
    </row>
    <row r="767" spans="1:29" ht="60" customHeight="1">
      <c r="A767" s="63">
        <v>770</v>
      </c>
      <c r="B767" s="65">
        <v>45209</v>
      </c>
      <c r="C767" s="70">
        <v>0.33333333333333331</v>
      </c>
      <c r="D767" s="63" t="s">
        <v>3230</v>
      </c>
      <c r="E767" s="64" t="s">
        <v>3231</v>
      </c>
      <c r="F767" s="63">
        <v>1</v>
      </c>
      <c r="G767" s="63" t="s">
        <v>3323</v>
      </c>
      <c r="H767" s="208">
        <v>45222</v>
      </c>
      <c r="I767" s="65" t="s">
        <v>3171</v>
      </c>
      <c r="J767" s="65" t="s">
        <v>33</v>
      </c>
      <c r="K767" s="63" t="s">
        <v>2324</v>
      </c>
      <c r="L767" s="63" t="s">
        <v>805</v>
      </c>
      <c r="M767" s="63" t="s">
        <v>1175</v>
      </c>
      <c r="N767" s="63" t="s">
        <v>3528</v>
      </c>
      <c r="O767" s="63" t="str">
        <f ca="1">IF(H767&lt;&gt;"",IF(H767&lt;=TODAY(),"SI","NO"),"LIMBO")</f>
        <v>SI</v>
      </c>
      <c r="P767" s="63" t="str">
        <f>IF($P$1=H767,"DIASOL", "DIANOSOL")</f>
        <v>DIANOSOL</v>
      </c>
      <c r="Q767" s="63" t="s">
        <v>903</v>
      </c>
      <c r="R767" s="63" t="str">
        <f>VLOOKUP($Q767,Resultados!$A$1:$B$49,2,FALSE)</f>
        <v>Juicio Abreviado</v>
      </c>
      <c r="S767" s="63" t="s">
        <v>987</v>
      </c>
      <c r="T767" s="72" t="str">
        <f>IF(G767=$J$1,"SI","NO")</f>
        <v>NO</v>
      </c>
      <c r="U767" s="72"/>
      <c r="V767" s="7" t="str">
        <f ca="1">IF(color_Celda(E767)=12106214,"ROSA",IF(color_Celda(E767)=65535,"AMARILLO",IF(color_Celda(E767)=5296274,"VERDE",IF(color_Celda(E767)=16777215,"BLANCO","NO SE"))))</f>
        <v>ROSA</v>
      </c>
      <c r="W767" s="63" t="s">
        <v>3527</v>
      </c>
      <c r="X767" s="366" t="s">
        <v>3529</v>
      </c>
      <c r="Y767" s="63"/>
      <c r="Z767" s="118" t="s">
        <v>748</v>
      </c>
      <c r="AA767" s="118" t="s">
        <v>1167</v>
      </c>
      <c r="AB767" s="118" t="s">
        <v>3322</v>
      </c>
      <c r="AC767" s="328"/>
    </row>
    <row r="768" spans="1:29" ht="60" customHeight="1">
      <c r="A768" s="63">
        <v>747</v>
      </c>
      <c r="B768" s="65">
        <v>45202</v>
      </c>
      <c r="C768" s="70">
        <v>0.47638888888888892</v>
      </c>
      <c r="D768" s="63" t="s">
        <v>3130</v>
      </c>
      <c r="E768" s="64" t="s">
        <v>3287</v>
      </c>
      <c r="F768" s="63">
        <v>1</v>
      </c>
      <c r="G768" s="63" t="s">
        <v>568</v>
      </c>
      <c r="H768" s="208">
        <v>45222</v>
      </c>
      <c r="I768" s="65" t="s">
        <v>987</v>
      </c>
      <c r="J768" s="65" t="s">
        <v>1217</v>
      </c>
      <c r="K768" s="63" t="s">
        <v>1916</v>
      </c>
      <c r="L768" s="63" t="s">
        <v>810</v>
      </c>
      <c r="M768" s="63" t="s">
        <v>712</v>
      </c>
      <c r="N768" s="63" t="s">
        <v>3520</v>
      </c>
      <c r="O768" s="63" t="str">
        <f ca="1">IF(H768&lt;&gt;"",IF(H768&lt;=TODAY(),"SI","NO"),"LIMBO")</f>
        <v>SI</v>
      </c>
      <c r="P768" s="63" t="str">
        <f>IF($P$1=H768,"DIASOL", "DIANOSOL")</f>
        <v>DIANOSOL</v>
      </c>
      <c r="Q768" s="63" t="s">
        <v>902</v>
      </c>
      <c r="R768" s="63" t="str">
        <f>VLOOKUP($Q768,Resultados!$A$1:$B$49,2,FALSE)</f>
        <v>Juicio Abreviado</v>
      </c>
      <c r="S768" s="63" t="s">
        <v>3521</v>
      </c>
      <c r="T768" s="72" t="str">
        <f>IF(G768=$J$1,"SI","NO")</f>
        <v>NO</v>
      </c>
      <c r="U768" s="72"/>
      <c r="V768" s="7" t="str">
        <f ca="1">IF(color_Celda(E768)=12106214,"ROSA",IF(color_Celda(E768)=65535,"AMARILLO",IF(color_Celda(E768)=5296274,"VERDE",IF(color_Celda(E768)=16777215,"BLANCO","NO SE"))))</f>
        <v>ROSA</v>
      </c>
      <c r="W768" s="63" t="s">
        <v>77</v>
      </c>
      <c r="X768" s="63" t="s">
        <v>3522</v>
      </c>
      <c r="Y768" s="63"/>
      <c r="Z768" s="118" t="s">
        <v>3428</v>
      </c>
      <c r="AA768" s="304" t="s">
        <v>1165</v>
      </c>
      <c r="AB768" s="118" t="s">
        <v>1173</v>
      </c>
      <c r="AC768" s="328"/>
    </row>
    <row r="769" spans="1:29" ht="60" customHeight="1">
      <c r="A769" s="63">
        <v>722</v>
      </c>
      <c r="B769" s="65">
        <v>45197</v>
      </c>
      <c r="C769" s="70">
        <v>0.50138888888888888</v>
      </c>
      <c r="D769" s="63" t="s">
        <v>3041</v>
      </c>
      <c r="E769" s="64" t="s">
        <v>3042</v>
      </c>
      <c r="F769" s="63">
        <v>1</v>
      </c>
      <c r="G769" s="63" t="s">
        <v>3323</v>
      </c>
      <c r="H769" s="208">
        <v>45223</v>
      </c>
      <c r="I769" s="65" t="s">
        <v>73</v>
      </c>
      <c r="J769" s="65" t="s">
        <v>31</v>
      </c>
      <c r="K769" s="63">
        <f>IFERROR(VLOOKUP(J769,Jueces!$A$1:$B$11,2,FALSE),"")</f>
        <v>2</v>
      </c>
      <c r="L769" s="63" t="s">
        <v>2077</v>
      </c>
      <c r="M769" s="63" t="s">
        <v>3209</v>
      </c>
      <c r="N769" s="63" t="s">
        <v>3544</v>
      </c>
      <c r="O769" s="63" t="str">
        <f ca="1">IF(H769&lt;&gt;"",IF(H769&lt;=TODAY(),"SI","NO"),"LIMBO")</f>
        <v>SI</v>
      </c>
      <c r="P769" s="63" t="str">
        <f>IF($P$1=H769,"DIASOL", "DIANOSOL")</f>
        <v>DIANOSOL</v>
      </c>
      <c r="Q769" s="63" t="s">
        <v>151</v>
      </c>
      <c r="R769" s="63" t="str">
        <f>VLOOKUP($Q769,Resultados!$A$1:$B$49,2,FALSE)</f>
        <v>Prisión Preventiva</v>
      </c>
      <c r="S769" s="63" t="s">
        <v>3094</v>
      </c>
      <c r="T769" s="72" t="str">
        <f>IF(G769=$J$1,"SI","NO")</f>
        <v>NO</v>
      </c>
      <c r="U769" s="72"/>
      <c r="V769" s="7" t="str">
        <f ca="1">IF(color_Celda(E769)=12106214,"ROSA",IF(color_Celda(E769)=65535,"AMARILLO",IF(color_Celda(E769)=5296274,"VERDE",IF(color_Celda(E769)=16777215,"BLANCO","NO SE"))))</f>
        <v>ROSA</v>
      </c>
      <c r="W769" s="63" t="s">
        <v>1131</v>
      </c>
      <c r="X769" s="63" t="s">
        <v>3545</v>
      </c>
      <c r="Y769" s="63"/>
      <c r="Z769" s="118" t="s">
        <v>3428</v>
      </c>
      <c r="AA769" s="304" t="s">
        <v>1165</v>
      </c>
      <c r="AB769" s="118" t="s">
        <v>1170</v>
      </c>
      <c r="AC769" s="328"/>
    </row>
    <row r="770" spans="1:29" ht="60" customHeight="1">
      <c r="A770" s="63">
        <v>742</v>
      </c>
      <c r="B770" s="65">
        <v>45202</v>
      </c>
      <c r="C770" s="70">
        <v>0.47083333333333338</v>
      </c>
      <c r="D770" s="63" t="s">
        <v>3122</v>
      </c>
      <c r="E770" s="64" t="s">
        <v>3123</v>
      </c>
      <c r="F770" s="63">
        <v>8</v>
      </c>
      <c r="G770" s="63" t="s">
        <v>3324</v>
      </c>
      <c r="H770" s="208">
        <v>45223</v>
      </c>
      <c r="I770" s="65" t="s">
        <v>73</v>
      </c>
      <c r="J770" s="65" t="s">
        <v>2922</v>
      </c>
      <c r="K770" s="63" t="s">
        <v>1341</v>
      </c>
      <c r="L770" s="63" t="s">
        <v>791</v>
      </c>
      <c r="M770" s="63" t="s">
        <v>885</v>
      </c>
      <c r="N770" s="63" t="s">
        <v>3538</v>
      </c>
      <c r="O770" s="78" t="str">
        <f ca="1">IF(H770&lt;&gt;"",IF(H770&lt;=TODAY(),"SI","NO"),"LIMBO")</f>
        <v>SI</v>
      </c>
      <c r="P770" s="78" t="str">
        <f>IF($P$1=H770,"DIASOL", "DIANOSOL")</f>
        <v>DIANOSOL</v>
      </c>
      <c r="Q770" s="63" t="s">
        <v>903</v>
      </c>
      <c r="R770" s="63" t="str">
        <f>VLOOKUP($Q770,Resultados!$A$1:$B$49,2,FALSE)</f>
        <v>Juicio Abreviado</v>
      </c>
      <c r="S770" s="63" t="s">
        <v>2238</v>
      </c>
      <c r="T770" s="81" t="str">
        <f>IF(G770=$J$1,"SI","NO")</f>
        <v>NO</v>
      </c>
      <c r="U770" s="81"/>
      <c r="V770" s="7" t="str">
        <f ca="1">IF(color_Celda(E770)=12106214,"ROSA",IF(color_Celda(E770)=65535,"AMARILLO",IF(color_Celda(E770)=5296274,"VERDE",IF(color_Celda(E770)=16777215,"BLANCO","NO SE"))))</f>
        <v>ROSA</v>
      </c>
      <c r="W770" s="63" t="s">
        <v>1491</v>
      </c>
      <c r="X770" s="63"/>
      <c r="Y770" s="63"/>
      <c r="Z770" s="118" t="s">
        <v>748</v>
      </c>
      <c r="AA770" s="304" t="s">
        <v>2828</v>
      </c>
      <c r="AB770" s="118" t="s">
        <v>1169</v>
      </c>
      <c r="AC770" s="328"/>
    </row>
    <row r="771" spans="1:29" ht="60" customHeight="1">
      <c r="A771" s="63">
        <v>775</v>
      </c>
      <c r="B771" s="65">
        <v>45208</v>
      </c>
      <c r="C771" s="63" t="s">
        <v>73</v>
      </c>
      <c r="D771" s="63" t="s">
        <v>3257</v>
      </c>
      <c r="E771" s="64" t="s">
        <v>3297</v>
      </c>
      <c r="F771" s="63">
        <v>2</v>
      </c>
      <c r="G771" s="63" t="s">
        <v>1433</v>
      </c>
      <c r="H771" s="208">
        <v>45223</v>
      </c>
      <c r="I771" s="65" t="s">
        <v>73</v>
      </c>
      <c r="J771" s="65" t="s">
        <v>33</v>
      </c>
      <c r="K771" s="63">
        <f>IFERROR(VLOOKUP(J771,Jueces!$A$1:$B$11,2,FALSE),"")</f>
        <v>4</v>
      </c>
      <c r="L771" s="63" t="s">
        <v>811</v>
      </c>
      <c r="M771" s="63" t="s">
        <v>692</v>
      </c>
      <c r="N771" s="63" t="s">
        <v>151</v>
      </c>
      <c r="O771" s="78" t="str">
        <f ca="1">IF(H771&lt;&gt;"",IF(H771&lt;=TODAY(),"SI","NO"),"LIMBO")</f>
        <v>SI</v>
      </c>
      <c r="P771" s="78" t="str">
        <f>IF($P$1=H771,"DIASOL", "DIANOSOL")</f>
        <v>DIANOSOL</v>
      </c>
      <c r="Q771" s="63" t="s">
        <v>151</v>
      </c>
      <c r="R771" s="63" t="str">
        <f>VLOOKUP($Q771,Resultados!$A$1:$B$49,2,FALSE)</f>
        <v>Prisión Preventiva</v>
      </c>
      <c r="S771" s="63" t="s">
        <v>1031</v>
      </c>
      <c r="T771" s="81" t="str">
        <f>IF(G771=$J$1,"SI","NO")</f>
        <v>NO</v>
      </c>
      <c r="U771" s="81"/>
      <c r="V771" s="7" t="str">
        <f ca="1">IF(color_Celda(E771)=12106214,"ROSA",IF(color_Celda(E771)=65535,"AMARILLO",IF(color_Celda(E771)=5296274,"VERDE",IF(color_Celda(E771)=16777215,"BLANCO","NO SE"))))</f>
        <v>ROSA</v>
      </c>
      <c r="W771" s="63" t="s">
        <v>1227</v>
      </c>
      <c r="X771" s="63" t="s">
        <v>2552</v>
      </c>
      <c r="Y771" s="63"/>
      <c r="Z771" s="118" t="s">
        <v>2843</v>
      </c>
      <c r="AA771" s="118" t="s">
        <v>3378</v>
      </c>
      <c r="AB771" s="118" t="s">
        <v>3258</v>
      </c>
      <c r="AC771" s="328"/>
    </row>
    <row r="772" spans="1:29" ht="60" customHeight="1">
      <c r="A772" s="63">
        <v>786</v>
      </c>
      <c r="B772" s="65">
        <v>45209</v>
      </c>
      <c r="C772" s="70">
        <v>0.38958333333333334</v>
      </c>
      <c r="D772" s="63" t="s">
        <v>3280</v>
      </c>
      <c r="E772" s="64" t="s">
        <v>3281</v>
      </c>
      <c r="F772" s="63">
        <v>1</v>
      </c>
      <c r="G772" s="63" t="s">
        <v>1434</v>
      </c>
      <c r="H772" s="208">
        <v>45223</v>
      </c>
      <c r="I772" s="65" t="s">
        <v>73</v>
      </c>
      <c r="J772" s="65" t="s">
        <v>78</v>
      </c>
      <c r="K772" s="63">
        <f>IFERROR(VLOOKUP(J772,Jueces!$A$1:$B$11,2,FALSE),"")</f>
        <v>8</v>
      </c>
      <c r="L772" s="63" t="s">
        <v>809</v>
      </c>
      <c r="M772" s="63" t="s">
        <v>712</v>
      </c>
      <c r="N772" s="63" t="s">
        <v>2566</v>
      </c>
      <c r="O772" s="78" t="str">
        <f ca="1">IF(H772&lt;&gt;"",IF(H772&lt;=TODAY(),"SI","NO"),"LIMBO")</f>
        <v>SI</v>
      </c>
      <c r="P772" s="78" t="str">
        <f>IF($P$1=H772,"DIASOL", "DIANOSOL")</f>
        <v>DIANOSOL</v>
      </c>
      <c r="Q772" s="63" t="s">
        <v>902</v>
      </c>
      <c r="R772" s="63" t="str">
        <f>VLOOKUP($Q772,Resultados!$A$1:$B$49,2,FALSE)</f>
        <v>Juicio Abreviado</v>
      </c>
      <c r="S772" s="63" t="s">
        <v>1556</v>
      </c>
      <c r="T772" s="81" t="str">
        <f>IF(G772=$J$1,"SI","NO")</f>
        <v>NO</v>
      </c>
      <c r="U772" s="81"/>
      <c r="V772" s="7" t="str">
        <f ca="1">IF(color_Celda(E772)=12106214,"ROSA",IF(color_Celda(E772)=65535,"AMARILLO",IF(color_Celda(E772)=5296274,"VERDE",IF(color_Celda(E772)=16777215,"BLANCO","NO SE"))))</f>
        <v>ROSA</v>
      </c>
      <c r="W772" s="63" t="s">
        <v>3539</v>
      </c>
      <c r="X772" s="63" t="s">
        <v>3540</v>
      </c>
      <c r="Y772" s="63"/>
      <c r="Z772" s="118" t="s">
        <v>3368</v>
      </c>
      <c r="AA772" s="304" t="s">
        <v>2828</v>
      </c>
      <c r="AB772" s="118" t="s">
        <v>2865</v>
      </c>
      <c r="AC772" s="328"/>
    </row>
    <row r="773" spans="1:29" ht="60" customHeight="1">
      <c r="A773" s="63">
        <v>773</v>
      </c>
      <c r="B773" s="65">
        <v>45209</v>
      </c>
      <c r="C773" s="63" t="s">
        <v>3244</v>
      </c>
      <c r="D773" s="63" t="s">
        <v>3245</v>
      </c>
      <c r="E773" s="64" t="s">
        <v>3286</v>
      </c>
      <c r="F773" s="63">
        <v>1</v>
      </c>
      <c r="G773" s="63" t="s">
        <v>2815</v>
      </c>
      <c r="H773" s="208">
        <v>45223</v>
      </c>
      <c r="I773" s="65" t="s">
        <v>1083</v>
      </c>
      <c r="J773" s="65" t="s">
        <v>1216</v>
      </c>
      <c r="K773" s="63">
        <f>IFERROR(VLOOKUP(J773,Jueces!$A$1:$B$11,2,FALSE),"")</f>
        <v>1</v>
      </c>
      <c r="L773" s="63" t="s">
        <v>805</v>
      </c>
      <c r="M773" s="63" t="s">
        <v>1175</v>
      </c>
      <c r="N773" s="63" t="s">
        <v>621</v>
      </c>
      <c r="O773" s="78" t="str">
        <f ca="1">IF(H773&lt;&gt;"",IF(H773&lt;=TODAY(),"SI","NO"),"LIMBO")</f>
        <v>SI</v>
      </c>
      <c r="P773" s="78" t="str">
        <f>IF($P$1=H773,"DIASOL", "DIANOSOL")</f>
        <v>DIANOSOL</v>
      </c>
      <c r="Q773" s="63" t="s">
        <v>151</v>
      </c>
      <c r="R773" s="63" t="str">
        <f>VLOOKUP($Q773,Resultados!$A$1:$B$49,2,FALSE)</f>
        <v>Prisión Preventiva</v>
      </c>
      <c r="S773" s="63" t="s">
        <v>1033</v>
      </c>
      <c r="T773" s="81" t="str">
        <f>IF(G773=$J$1,"SI","NO")</f>
        <v>NO</v>
      </c>
      <c r="U773" s="81"/>
      <c r="V773" s="7" t="str">
        <f ca="1">IF(color_Celda(E773)=12106214,"ROSA",IF(color_Celda(E773)=65535,"AMARILLO",IF(color_Celda(E773)=5296274,"VERDE",IF(color_Celda(E773)=16777215,"BLANCO","NO SE"))))</f>
        <v>ROSA</v>
      </c>
      <c r="W773" s="63" t="s">
        <v>1003</v>
      </c>
      <c r="X773" s="63" t="s">
        <v>2552</v>
      </c>
      <c r="Y773" s="63"/>
      <c r="Z773" s="118" t="s">
        <v>748</v>
      </c>
      <c r="AA773" s="118" t="s">
        <v>1167</v>
      </c>
      <c r="AB773" s="118" t="s">
        <v>3322</v>
      </c>
      <c r="AC773" s="328"/>
    </row>
    <row r="774" spans="1:29" ht="60" customHeight="1">
      <c r="A774" s="63">
        <v>790</v>
      </c>
      <c r="B774" s="65">
        <v>45210</v>
      </c>
      <c r="C774" s="70">
        <v>0.41250000000000003</v>
      </c>
      <c r="D774" s="63" t="s">
        <v>3294</v>
      </c>
      <c r="E774" s="64" t="s">
        <v>3293</v>
      </c>
      <c r="F774" s="63">
        <v>2</v>
      </c>
      <c r="G774" s="63" t="s">
        <v>568</v>
      </c>
      <c r="H774" s="208">
        <v>45223</v>
      </c>
      <c r="I774" s="65" t="s">
        <v>1083</v>
      </c>
      <c r="J774" s="65" t="s">
        <v>1217</v>
      </c>
      <c r="K774" s="63" t="s">
        <v>1916</v>
      </c>
      <c r="L774" s="63" t="s">
        <v>811</v>
      </c>
      <c r="M774" s="63" t="s">
        <v>693</v>
      </c>
      <c r="N774" s="63" t="s">
        <v>2178</v>
      </c>
      <c r="O774" s="78" t="str">
        <f ca="1">IF(H774&lt;&gt;"",IF(H774&lt;=TODAY(),"SI","NO"),"LIMBO")</f>
        <v>SI</v>
      </c>
      <c r="P774" s="78" t="str">
        <f>IF($P$1=H774,"DIASOL", "DIANOSOL")</f>
        <v>DIANOSOL</v>
      </c>
      <c r="Q774" s="63" t="s">
        <v>902</v>
      </c>
      <c r="R774" s="63" t="str">
        <f>VLOOKUP($Q774,Resultados!$A$1:$B$49,2,FALSE)</f>
        <v>Juicio Abreviado</v>
      </c>
      <c r="S774" s="63" t="s">
        <v>1601</v>
      </c>
      <c r="T774" s="81" t="str">
        <f>IF(G774=$J$1,"SI","NO")</f>
        <v>NO</v>
      </c>
      <c r="U774" s="81"/>
      <c r="V774" s="7" t="str">
        <f ca="1">IF(color_Celda(E774)=12106214,"ROSA",IF(color_Celda(E774)=65535,"AMARILLO",IF(color_Celda(E774)=5296274,"VERDE",IF(color_Celda(E774)=16777215,"BLANCO","NO SE"))))</f>
        <v>ROSA</v>
      </c>
      <c r="W774" s="63" t="s">
        <v>1001</v>
      </c>
      <c r="X774" s="63" t="s">
        <v>2552</v>
      </c>
      <c r="Y774" s="63"/>
      <c r="Z774" s="118" t="s">
        <v>3368</v>
      </c>
      <c r="AA774" s="304" t="s">
        <v>1165</v>
      </c>
      <c r="AB774" s="118" t="s">
        <v>1173</v>
      </c>
      <c r="AC774" s="328"/>
    </row>
    <row r="775" spans="1:29" ht="60" customHeight="1">
      <c r="A775" s="63">
        <v>797</v>
      </c>
      <c r="B775" s="65">
        <v>45210</v>
      </c>
      <c r="C775" s="70">
        <v>0.38472222222222219</v>
      </c>
      <c r="D775" s="63" t="s">
        <v>3339</v>
      </c>
      <c r="E775" s="64" t="s">
        <v>3340</v>
      </c>
      <c r="F775" s="63">
        <v>2</v>
      </c>
      <c r="G775" s="63" t="s">
        <v>2752</v>
      </c>
      <c r="H775" s="208">
        <v>45223</v>
      </c>
      <c r="I775" s="65" t="s">
        <v>1083</v>
      </c>
      <c r="J775" s="65" t="s">
        <v>1221</v>
      </c>
      <c r="K775" s="63">
        <f>IFERROR(VLOOKUP(J775,Jueces!$A$1:$B$11,2,FALSE),"")</f>
        <v>6</v>
      </c>
      <c r="L775" s="63" t="s">
        <v>810</v>
      </c>
      <c r="M775" s="63" t="s">
        <v>692</v>
      </c>
      <c r="N775" s="63" t="s">
        <v>621</v>
      </c>
      <c r="O775" s="78" t="str">
        <f ca="1">IF(H775&lt;&gt;"",IF(H775&lt;=TODAY(),"SI","NO"),"LIMBO")</f>
        <v>SI</v>
      </c>
      <c r="P775" s="78" t="str">
        <f>IF($P$1=H775,"DIASOL", "DIANOSOL")</f>
        <v>DIANOSOL</v>
      </c>
      <c r="Q775" s="63" t="s">
        <v>151</v>
      </c>
      <c r="R775" s="63" t="str">
        <f>VLOOKUP($Q775,Resultados!$A$1:$B$49,2,FALSE)</f>
        <v>Prisión Preventiva</v>
      </c>
      <c r="S775" s="63" t="s">
        <v>2063</v>
      </c>
      <c r="T775" s="81" t="str">
        <f>IF(G775=$J$1,"SI","NO")</f>
        <v>NO</v>
      </c>
      <c r="U775" s="81"/>
      <c r="V775" s="7" t="str">
        <f ca="1">IF(color_Celda(E775)=12106214,"ROSA",IF(color_Celda(E775)=65535,"AMARILLO",IF(color_Celda(E775)=5296274,"VERDE",IF(color_Celda(E775)=16777215,"BLANCO","NO SE"))))</f>
        <v>ROSA</v>
      </c>
      <c r="W775" s="63" t="s">
        <v>1570</v>
      </c>
      <c r="X775" s="63"/>
      <c r="Y775" s="63"/>
      <c r="Z775" s="118" t="s">
        <v>3428</v>
      </c>
      <c r="AA775" s="118" t="s">
        <v>3378</v>
      </c>
      <c r="AB775" s="118" t="s">
        <v>1170</v>
      </c>
      <c r="AC775" s="328"/>
    </row>
    <row r="776" spans="1:29" ht="60" customHeight="1">
      <c r="A776" s="63">
        <v>781</v>
      </c>
      <c r="B776" s="65">
        <v>45209</v>
      </c>
      <c r="C776" s="63" t="s">
        <v>1037</v>
      </c>
      <c r="D776" s="63" t="s">
        <v>3272</v>
      </c>
      <c r="E776" s="64" t="s">
        <v>3301</v>
      </c>
      <c r="F776" s="63">
        <v>2</v>
      </c>
      <c r="G776" s="63" t="s">
        <v>283</v>
      </c>
      <c r="H776" s="208">
        <v>45223</v>
      </c>
      <c r="I776" s="65" t="s">
        <v>1442</v>
      </c>
      <c r="J776" s="65" t="s">
        <v>31</v>
      </c>
      <c r="K776" s="63" t="s">
        <v>2285</v>
      </c>
      <c r="L776" s="63" t="s">
        <v>805</v>
      </c>
      <c r="M776" s="63" t="s">
        <v>692</v>
      </c>
      <c r="N776" s="63" t="s">
        <v>3541</v>
      </c>
      <c r="O776" s="78" t="str">
        <f ca="1">IF(H776&lt;&gt;"",IF(H776&lt;=TODAY(),"SI","NO"),"LIMBO")</f>
        <v>SI</v>
      </c>
      <c r="P776" s="78" t="str">
        <f>IF($P$1=H776,"DIASOL", "DIANOSOL")</f>
        <v>DIANOSOL</v>
      </c>
      <c r="Q776" s="63" t="s">
        <v>903</v>
      </c>
      <c r="R776" s="63" t="str">
        <f>VLOOKUP($Q776,Resultados!$A$1:$B$49,2,FALSE)</f>
        <v>Juicio Abreviado</v>
      </c>
      <c r="S776" s="63" t="s">
        <v>3236</v>
      </c>
      <c r="T776" s="81" t="str">
        <f>IF(G776=$J$1,"SI","NO")</f>
        <v>NO</v>
      </c>
      <c r="U776" s="81"/>
      <c r="V776" s="7" t="str">
        <f ca="1">IF(color_Celda(E776)=12106214,"ROSA",IF(color_Celda(E776)=65535,"AMARILLO",IF(color_Celda(E776)=5296274,"VERDE",IF(color_Celda(E776)=16777215,"BLANCO","NO SE"))))</f>
        <v>ROSA</v>
      </c>
      <c r="W776" s="63" t="s">
        <v>3542</v>
      </c>
      <c r="X776" s="63" t="s">
        <v>2552</v>
      </c>
      <c r="Y776" s="63"/>
      <c r="Z776" s="118" t="s">
        <v>2843</v>
      </c>
      <c r="AA776" s="118" t="s">
        <v>1167</v>
      </c>
      <c r="AB776" s="118" t="s">
        <v>1169</v>
      </c>
      <c r="AC776" s="328"/>
    </row>
    <row r="777" spans="1:29" ht="60" customHeight="1">
      <c r="A777" s="63">
        <v>780</v>
      </c>
      <c r="B777" s="65">
        <v>45209</v>
      </c>
      <c r="C777" s="63" t="s">
        <v>3270</v>
      </c>
      <c r="D777" s="63" t="s">
        <v>3271</v>
      </c>
      <c r="E777" s="64" t="s">
        <v>3304</v>
      </c>
      <c r="F777" s="63">
        <v>2</v>
      </c>
      <c r="G777" s="63" t="s">
        <v>1433</v>
      </c>
      <c r="H777" s="208">
        <v>45224</v>
      </c>
      <c r="I777" s="65" t="s">
        <v>73</v>
      </c>
      <c r="J777" s="65" t="s">
        <v>33</v>
      </c>
      <c r="K777" s="63">
        <f>IFERROR(VLOOKUP(J777,Jueces!$A$1:$B$11,2,FALSE),"")</f>
        <v>4</v>
      </c>
      <c r="L777" s="63" t="s">
        <v>805</v>
      </c>
      <c r="M777" s="63" t="s">
        <v>692</v>
      </c>
      <c r="N777" s="63" t="s">
        <v>3561</v>
      </c>
      <c r="O777" s="78" t="str">
        <f ca="1">IF(H777&lt;&gt;"",IF(H777&lt;=TODAY(),"SI","NO"),"LIMBO")</f>
        <v>SI</v>
      </c>
      <c r="P777" s="78" t="str">
        <f>IF($P$1=H777,"DIASOL", "DIANOSOL")</f>
        <v>DIANOSOL</v>
      </c>
      <c r="Q777" s="63" t="s">
        <v>903</v>
      </c>
      <c r="R777" s="63" t="str">
        <f>VLOOKUP($Q777,Resultados!$A$1:$B$49,2,FALSE)</f>
        <v>Juicio Abreviado</v>
      </c>
      <c r="S777" s="63" t="s">
        <v>1006</v>
      </c>
      <c r="T777" s="81" t="str">
        <f>IF(G777=$J$1,"SI","NO")</f>
        <v>NO</v>
      </c>
      <c r="U777" s="81"/>
      <c r="V777" s="7" t="str">
        <f ca="1">IF(color_Celda(E777)=12106214,"ROSA",IF(color_Celda(E777)=65535,"AMARILLO",IF(color_Celda(E777)=5296274,"VERDE",IF(color_Celda(E777)=16777215,"BLANCO","NO SE"))))</f>
        <v>ROSA</v>
      </c>
      <c r="W777" s="63" t="s">
        <v>1388</v>
      </c>
      <c r="X777" s="63" t="s">
        <v>2552</v>
      </c>
      <c r="Y777" s="63"/>
      <c r="Z777" s="118" t="s">
        <v>3368</v>
      </c>
      <c r="AA777" s="118" t="s">
        <v>1165</v>
      </c>
      <c r="AB777" s="118" t="s">
        <v>3258</v>
      </c>
      <c r="AC777" s="328"/>
    </row>
    <row r="778" spans="1:29" ht="60" customHeight="1">
      <c r="A778" s="63">
        <v>799</v>
      </c>
      <c r="B778" s="65">
        <v>45210</v>
      </c>
      <c r="C778" s="70">
        <v>0.3840277777777778</v>
      </c>
      <c r="D778" s="63" t="s">
        <v>3343</v>
      </c>
      <c r="E778" s="64" t="s">
        <v>3344</v>
      </c>
      <c r="F778" s="63">
        <v>1</v>
      </c>
      <c r="G778" s="63" t="s">
        <v>3323</v>
      </c>
      <c r="H778" s="208">
        <v>45224</v>
      </c>
      <c r="I778" s="65" t="s">
        <v>73</v>
      </c>
      <c r="J778" s="65" t="s">
        <v>78</v>
      </c>
      <c r="K778" s="63">
        <f>IFERROR(VLOOKUP(J778,Jueces!$A$1:$B$11,2,FALSE),"")</f>
        <v>8</v>
      </c>
      <c r="L778" s="63" t="s">
        <v>827</v>
      </c>
      <c r="M778" s="63" t="s">
        <v>1175</v>
      </c>
      <c r="N778" s="63" t="s">
        <v>3564</v>
      </c>
      <c r="O778" s="78" t="str">
        <f ca="1">IF(H778&lt;&gt;"",IF(H778&lt;=TODAY(),"SI","NO"),"LIMBO")</f>
        <v>SI</v>
      </c>
      <c r="P778" s="78" t="str">
        <f>IF($P$1=H778,"DIASOL", "DIANOSOL")</f>
        <v>DIANOSOL</v>
      </c>
      <c r="Q778" s="63" t="s">
        <v>909</v>
      </c>
      <c r="R778" s="63" t="str">
        <f>VLOOKUP($Q778,Resultados!$A$1:$B$49,2,FALSE)</f>
        <v>Suspendida</v>
      </c>
      <c r="S778" s="63" t="s">
        <v>3565</v>
      </c>
      <c r="T778" s="81" t="str">
        <f>IF(G778=$J$1,"SI","NO")</f>
        <v>NO</v>
      </c>
      <c r="U778" s="81"/>
      <c r="V778" s="7" t="str">
        <f ca="1">IF(color_Celda(E778)=12106214,"ROSA",IF(color_Celda(E778)=65535,"AMARILLO",IF(color_Celda(E778)=5296274,"VERDE",IF(color_Celda(E778)=16777215,"BLANCO","NO SE"))))</f>
        <v>ROSA</v>
      </c>
      <c r="W778" s="63" t="s">
        <v>987</v>
      </c>
      <c r="X778" s="63" t="s">
        <v>2137</v>
      </c>
      <c r="Y778" s="63"/>
      <c r="Z778" s="118" t="s">
        <v>748</v>
      </c>
      <c r="AA778" s="118" t="s">
        <v>3378</v>
      </c>
      <c r="AB778" s="118" t="s">
        <v>3322</v>
      </c>
      <c r="AC778" s="328"/>
    </row>
    <row r="779" spans="1:29" ht="60" customHeight="1">
      <c r="A779" s="63">
        <v>791</v>
      </c>
      <c r="B779" s="65">
        <v>45222</v>
      </c>
      <c r="C779" s="63" t="s">
        <v>228</v>
      </c>
      <c r="D779" s="63" t="s">
        <v>3325</v>
      </c>
      <c r="E779" s="64" t="s">
        <v>3326</v>
      </c>
      <c r="F779" s="63">
        <v>5</v>
      </c>
      <c r="G779" s="63" t="s">
        <v>2752</v>
      </c>
      <c r="H779" s="208">
        <v>45224</v>
      </c>
      <c r="I779" s="65" t="s">
        <v>73</v>
      </c>
      <c r="J779" s="65" t="s">
        <v>31</v>
      </c>
      <c r="K779" s="63">
        <f>IFERROR(VLOOKUP(J779,Jueces!$A$1:$B$11,2,FALSE),"")</f>
        <v>2</v>
      </c>
      <c r="L779" s="63" t="s">
        <v>795</v>
      </c>
      <c r="M779" s="63" t="s">
        <v>3327</v>
      </c>
      <c r="N779" s="63" t="s">
        <v>3559</v>
      </c>
      <c r="O779" s="78" t="str">
        <f ca="1">IF(H779&lt;&gt;"",IF(H779&lt;=TODAY(),"SI","NO"),"LIMBO")</f>
        <v>SI</v>
      </c>
      <c r="P779" s="78" t="str">
        <f>IF($P$1=H779,"DIASOL", "DIANOSOL")</f>
        <v>DIANOSOL</v>
      </c>
      <c r="Q779" s="63" t="s">
        <v>151</v>
      </c>
      <c r="R779" s="63" t="str">
        <f>VLOOKUP($Q779,Resultados!$A$1:$B$49,2,FALSE)</f>
        <v>Prisión Preventiva</v>
      </c>
      <c r="S779" s="63" t="s">
        <v>1007</v>
      </c>
      <c r="T779" s="81" t="str">
        <f>IF(G779=$J$1,"SI","NO")</f>
        <v>NO</v>
      </c>
      <c r="U779" s="81"/>
      <c r="V779" s="7" t="str">
        <f ca="1">IF(color_Celda(E779)=12106214,"ROSA",IF(color_Celda(E779)=65535,"AMARILLO",IF(color_Celda(E779)=5296274,"VERDE",IF(color_Celda(E779)=16777215,"BLANCO","NO SE"))))</f>
        <v>ROSA</v>
      </c>
      <c r="W779" s="63" t="s">
        <v>1206</v>
      </c>
      <c r="X779" s="63" t="s">
        <v>3560</v>
      </c>
      <c r="Y779" s="63"/>
      <c r="Z779" s="118" t="s">
        <v>3428</v>
      </c>
      <c r="AA779" s="118" t="s">
        <v>2828</v>
      </c>
      <c r="AB779" s="118" t="s">
        <v>1171</v>
      </c>
      <c r="AC779" s="328"/>
    </row>
    <row r="780" spans="1:29" ht="60" customHeight="1">
      <c r="A780" s="63">
        <v>809</v>
      </c>
      <c r="B780" s="65">
        <v>45211</v>
      </c>
      <c r="C780" s="70">
        <v>0.54166666666666663</v>
      </c>
      <c r="D780" s="63" t="s">
        <v>3375</v>
      </c>
      <c r="E780" s="64" t="s">
        <v>3376</v>
      </c>
      <c r="F780" s="63">
        <v>1</v>
      </c>
      <c r="G780" s="63" t="s">
        <v>283</v>
      </c>
      <c r="H780" s="208">
        <v>45224</v>
      </c>
      <c r="I780" s="65" t="s">
        <v>1083</v>
      </c>
      <c r="J780" s="65" t="s">
        <v>1216</v>
      </c>
      <c r="K780" s="63">
        <f>IFERROR(VLOOKUP(J780,Jueces!$A$1:$B$11,2,FALSE),"")</f>
        <v>1</v>
      </c>
      <c r="L780" s="63" t="s">
        <v>809</v>
      </c>
      <c r="M780" s="63" t="s">
        <v>712</v>
      </c>
      <c r="N780" s="63" t="s">
        <v>3551</v>
      </c>
      <c r="O780" s="78" t="str">
        <f ca="1">IF(H780&lt;&gt;"",IF(H780&lt;=TODAY(),"SI","NO"),"LIMBO")</f>
        <v>SI</v>
      </c>
      <c r="P780" s="78" t="str">
        <f>IF($P$1=H780,"DIASOL", "DIANOSOL")</f>
        <v>DIANOSOL</v>
      </c>
      <c r="Q780" s="63" t="s">
        <v>151</v>
      </c>
      <c r="R780" s="63" t="str">
        <f>VLOOKUP($Q780,Resultados!$A$1:$B$49,2,FALSE)</f>
        <v>Prisión Preventiva</v>
      </c>
      <c r="S780" s="63" t="s">
        <v>1004</v>
      </c>
      <c r="T780" s="81" t="str">
        <f>IF(G780=$J$1,"SI","NO")</f>
        <v>NO</v>
      </c>
      <c r="U780" s="81"/>
      <c r="V780" s="7" t="str">
        <f ca="1">IF(color_Celda(E780)=12106214,"ROSA",IF(color_Celda(E780)=65535,"AMARILLO",IF(color_Celda(E780)=5296274,"VERDE",IF(color_Celda(E780)=16777215,"BLANCO","NO SE"))))</f>
        <v>ROSA</v>
      </c>
      <c r="W780" s="63" t="s">
        <v>1239</v>
      </c>
      <c r="X780" s="63" t="s">
        <v>3552</v>
      </c>
      <c r="Y780" s="63"/>
      <c r="Z780" s="118" t="s">
        <v>2843</v>
      </c>
      <c r="AA780" s="118" t="s">
        <v>3537</v>
      </c>
      <c r="AB780" s="118" t="s">
        <v>1170</v>
      </c>
      <c r="AC780" s="328"/>
    </row>
    <row r="781" spans="1:29" ht="60" customHeight="1">
      <c r="A781" s="63">
        <v>769</v>
      </c>
      <c r="B781" s="65">
        <v>45208</v>
      </c>
      <c r="C781" s="63" t="s">
        <v>3228</v>
      </c>
      <c r="D781" s="63" t="s">
        <v>3229</v>
      </c>
      <c r="E781" s="64" t="s">
        <v>3296</v>
      </c>
      <c r="F781" s="63">
        <v>2</v>
      </c>
      <c r="G781" s="63" t="s">
        <v>2815</v>
      </c>
      <c r="H781" s="208">
        <v>45224</v>
      </c>
      <c r="I781" s="65" t="s">
        <v>547</v>
      </c>
      <c r="J781" s="65" t="s">
        <v>33</v>
      </c>
      <c r="K781" s="63" t="s">
        <v>3448</v>
      </c>
      <c r="L781" s="63" t="s">
        <v>192</v>
      </c>
      <c r="M781" s="63" t="s">
        <v>3394</v>
      </c>
      <c r="N781" s="63" t="s">
        <v>3562</v>
      </c>
      <c r="O781" s="78" t="str">
        <f ca="1">IF(H781&lt;&gt;"",IF(H781&lt;=TODAY(),"SI","NO"),"LIMBO")</f>
        <v>SI</v>
      </c>
      <c r="P781" s="78" t="str">
        <f>IF($P$1=H781,"DIASOL", "DIANOSOL")</f>
        <v>DIANOSOL</v>
      </c>
      <c r="Q781" s="63" t="s">
        <v>151</v>
      </c>
      <c r="R781" s="63" t="str">
        <f>VLOOKUP($Q781,Resultados!$A$1:$B$49,2,FALSE)</f>
        <v>Prisión Preventiva</v>
      </c>
      <c r="S781" s="63" t="s">
        <v>1396</v>
      </c>
      <c r="T781" s="81" t="str">
        <f>IF(G781=$J$1,"SI","NO")</f>
        <v>NO</v>
      </c>
      <c r="U781" s="81"/>
      <c r="V781" s="7" t="str">
        <f ca="1">IF(color_Celda(E781)=12106214,"ROSA",IF(color_Celda(E781)=65535,"AMARILLO",IF(color_Celda(E781)=5296274,"VERDE",IF(color_Celda(E781)=16777215,"BLANCO","NO SE"))))</f>
        <v>ROSA</v>
      </c>
      <c r="W781" s="63" t="s">
        <v>3563</v>
      </c>
      <c r="X781" s="63"/>
      <c r="Y781" s="63"/>
      <c r="Z781" s="118" t="s">
        <v>3546</v>
      </c>
      <c r="AA781" s="118" t="s">
        <v>1167</v>
      </c>
      <c r="AB781" s="118" t="s">
        <v>1169</v>
      </c>
      <c r="AC781" s="328"/>
    </row>
    <row r="782" spans="1:29" ht="60" customHeight="1">
      <c r="A782" s="63">
        <v>779</v>
      </c>
      <c r="B782" s="65">
        <v>45209</v>
      </c>
      <c r="C782" s="63" t="s">
        <v>1270</v>
      </c>
      <c r="D782" s="63" t="s">
        <v>3268</v>
      </c>
      <c r="E782" s="64" t="s">
        <v>3353</v>
      </c>
      <c r="F782" s="63">
        <v>1</v>
      </c>
      <c r="G782" s="63" t="s">
        <v>283</v>
      </c>
      <c r="H782" s="208">
        <v>45225</v>
      </c>
      <c r="I782" s="65" t="s">
        <v>73</v>
      </c>
      <c r="J782" s="65" t="s">
        <v>2925</v>
      </c>
      <c r="K782" s="63" t="s">
        <v>1916</v>
      </c>
      <c r="L782" s="63" t="s">
        <v>809</v>
      </c>
      <c r="M782" s="63" t="s">
        <v>712</v>
      </c>
      <c r="N782" s="63" t="s">
        <v>3600</v>
      </c>
      <c r="O782" s="78" t="str">
        <f ca="1">IF(H782&lt;&gt;"",IF(H782&lt;=TODAY(),"SI","NO"),"LIMBO")</f>
        <v>SI</v>
      </c>
      <c r="P782" s="78" t="str">
        <f>IF($P$1=H782,"DIASOL", "DIANOSOL")</f>
        <v>DIANOSOL</v>
      </c>
      <c r="Q782" s="63" t="s">
        <v>903</v>
      </c>
      <c r="R782" s="63" t="str">
        <f>VLOOKUP($Q782,Resultados!$A$1:$B$49,2,FALSE)</f>
        <v>Juicio Abreviado</v>
      </c>
      <c r="S782" s="63" t="s">
        <v>1134</v>
      </c>
      <c r="T782" s="81" t="str">
        <f>IF(G782=$J$1,"SI","NO")</f>
        <v>NO</v>
      </c>
      <c r="U782" s="81"/>
      <c r="V782" s="7" t="str">
        <f ca="1">IF(color_Celda(E782)=12106214,"ROSA",IF(color_Celda(E782)=65535,"AMARILLO",IF(color_Celda(E782)=5296274,"VERDE",IF(color_Celda(E782)=16777215,"BLANCO","NO SE"))))</f>
        <v>ROSA</v>
      </c>
      <c r="W782" s="63" t="s">
        <v>1126</v>
      </c>
      <c r="X782" s="63" t="s">
        <v>2138</v>
      </c>
      <c r="Y782" s="63"/>
      <c r="Z782" s="118" t="s">
        <v>2843</v>
      </c>
      <c r="AA782" s="118" t="s">
        <v>3379</v>
      </c>
      <c r="AB782" s="118" t="s">
        <v>3258</v>
      </c>
      <c r="AC782" s="328"/>
    </row>
    <row r="783" spans="1:29" ht="60" customHeight="1">
      <c r="A783" s="63">
        <v>787</v>
      </c>
      <c r="B783" s="65">
        <v>45209</v>
      </c>
      <c r="C783" s="70">
        <v>0.38819444444444445</v>
      </c>
      <c r="D783" s="63" t="s">
        <v>3282</v>
      </c>
      <c r="E783" s="64" t="s">
        <v>3283</v>
      </c>
      <c r="F783" s="63">
        <v>1</v>
      </c>
      <c r="G783" s="63" t="s">
        <v>1435</v>
      </c>
      <c r="H783" s="208">
        <v>45225</v>
      </c>
      <c r="I783" s="65" t="s">
        <v>73</v>
      </c>
      <c r="J783" s="65" t="s">
        <v>78</v>
      </c>
      <c r="K783" s="63">
        <f>IFERROR(VLOOKUP(J783,Jueces!$A$1:$B$11,2,FALSE),"")</f>
        <v>8</v>
      </c>
      <c r="L783" s="63" t="s">
        <v>800</v>
      </c>
      <c r="M783" s="63" t="s">
        <v>692</v>
      </c>
      <c r="N783" s="63" t="s">
        <v>3060</v>
      </c>
      <c r="O783" s="78" t="str">
        <f ca="1">IF(H783&lt;&gt;"",IF(H783&lt;=TODAY(),"SI","NO"),"LIMBO")</f>
        <v>SI</v>
      </c>
      <c r="P783" s="78" t="str">
        <f>IF($P$1=H783,"DIASOL", "DIANOSOL")</f>
        <v>DIANOSOL</v>
      </c>
      <c r="Q783" s="63" t="s">
        <v>902</v>
      </c>
      <c r="R783" s="63" t="s">
        <v>100</v>
      </c>
      <c r="S783" s="63" t="s">
        <v>1125</v>
      </c>
      <c r="T783" s="81" t="str">
        <f>IF(G783=$J$1,"SI","NO")</f>
        <v>SI</v>
      </c>
      <c r="U783" s="81"/>
      <c r="V783" s="7" t="str">
        <f ca="1">IF(color_Celda(E783)=12106214,"ROSA",IF(color_Celda(E783)=65535,"AMARILLO",IF(color_Celda(E783)=5296274,"VERDE",IF(color_Celda(E783)=16777215,"BLANCO","NO SE"))))</f>
        <v>ROSA</v>
      </c>
      <c r="W783" s="63" t="s">
        <v>1004</v>
      </c>
      <c r="X783" s="63" t="s">
        <v>2552</v>
      </c>
      <c r="Y783" s="63"/>
      <c r="Z783" s="118" t="s">
        <v>748</v>
      </c>
      <c r="AA783" s="118" t="s">
        <v>1167</v>
      </c>
      <c r="AB783" s="118" t="s">
        <v>1171</v>
      </c>
      <c r="AC783" s="328"/>
    </row>
    <row r="784" spans="1:29" ht="60" customHeight="1">
      <c r="A784" s="63">
        <v>805</v>
      </c>
      <c r="B784" s="65">
        <v>45222</v>
      </c>
      <c r="C784" s="70">
        <v>0.33333333333333331</v>
      </c>
      <c r="D784" s="325" t="s">
        <v>2901</v>
      </c>
      <c r="E784" s="64" t="s">
        <v>2854</v>
      </c>
      <c r="F784" s="63">
        <v>1</v>
      </c>
      <c r="G784" s="63" t="s">
        <v>1433</v>
      </c>
      <c r="H784" s="208">
        <v>45225</v>
      </c>
      <c r="I784" s="65" t="s">
        <v>749</v>
      </c>
      <c r="J784" s="65" t="s">
        <v>1221</v>
      </c>
      <c r="K784" s="63">
        <f>IFERROR(VLOOKUP(J784,Jueces!$A$1:$B$11,2,FALSE),"")</f>
        <v>6</v>
      </c>
      <c r="L784" s="63" t="s">
        <v>569</v>
      </c>
      <c r="M784" s="63" t="s">
        <v>1084</v>
      </c>
      <c r="N784" s="333" t="s">
        <v>2550</v>
      </c>
      <c r="O784" s="78" t="str">
        <f ca="1">IF(H784&lt;&gt;"",IF(H784&lt;=TODAY(),"SI","NO"),"LIMBO")</f>
        <v>SI</v>
      </c>
      <c r="P784" s="78" t="str">
        <f>IF($P$1=H784,"DIASOL", "DIANOSOL")</f>
        <v>DIANOSOL</v>
      </c>
      <c r="Q784" s="63" t="s">
        <v>897</v>
      </c>
      <c r="R784" s="63" t="str">
        <f>VLOOKUP($Q784,Resultados!$A$1:$B$49,2,FALSE)</f>
        <v>Libertad</v>
      </c>
      <c r="S784" s="63" t="s">
        <v>2789</v>
      </c>
      <c r="T784" s="81" t="str">
        <f>IF(G784=$J$1,"SI","NO")</f>
        <v>NO</v>
      </c>
      <c r="U784" s="81"/>
      <c r="V784" s="7" t="str">
        <f ca="1">IF(color_Celda(E784)=12106214,"ROSA",IF(color_Celda(E784)=65535,"AMARILLO",IF(color_Celda(E784)=5296274,"VERDE",IF(color_Celda(E784)=16777215,"BLANCO","NO SE"))))</f>
        <v>ROSA</v>
      </c>
      <c r="W784" s="63" t="s">
        <v>1119</v>
      </c>
      <c r="X784" s="63"/>
      <c r="Y784" s="63"/>
      <c r="Z784" s="118" t="s">
        <v>770</v>
      </c>
      <c r="AA784" s="118"/>
      <c r="AB784" s="118" t="s">
        <v>3322</v>
      </c>
      <c r="AC784" s="328" t="s">
        <v>1792</v>
      </c>
    </row>
    <row r="785" spans="1:29" ht="60" customHeight="1">
      <c r="A785" s="63">
        <v>782</v>
      </c>
      <c r="B785" s="65">
        <v>45209</v>
      </c>
      <c r="C785" s="70">
        <v>0.52361111111111114</v>
      </c>
      <c r="D785" s="63" t="s">
        <v>3276</v>
      </c>
      <c r="E785" s="64" t="s">
        <v>3302</v>
      </c>
      <c r="F785" s="63">
        <v>2</v>
      </c>
      <c r="G785" s="63" t="s">
        <v>3323</v>
      </c>
      <c r="H785" s="208">
        <v>45225</v>
      </c>
      <c r="I785" s="65" t="s">
        <v>1083</v>
      </c>
      <c r="J785" s="65" t="s">
        <v>33</v>
      </c>
      <c r="K785" s="63">
        <f>IFERROR(VLOOKUP(J785,Jueces!$A$1:$B$11,2,FALSE),"")</f>
        <v>4</v>
      </c>
      <c r="L785" s="63" t="s">
        <v>809</v>
      </c>
      <c r="M785" s="63" t="s">
        <v>692</v>
      </c>
      <c r="N785" s="63" t="s">
        <v>3602</v>
      </c>
      <c r="O785" s="78" t="str">
        <f ca="1">IF(H785&lt;&gt;"",IF(H785&lt;=TODAY(),"SI","NO"),"LIMBO")</f>
        <v>SI</v>
      </c>
      <c r="P785" s="78" t="str">
        <f>IF($P$1=H785,"DIASOL", "DIANOSOL")</f>
        <v>DIANOSOL</v>
      </c>
      <c r="Q785" s="63" t="s">
        <v>902</v>
      </c>
      <c r="R785" s="63" t="str">
        <f>VLOOKUP($Q785,Resultados!$A$1:$B$49,2,FALSE)</f>
        <v>Juicio Abreviado</v>
      </c>
      <c r="S785" s="63" t="s">
        <v>1226</v>
      </c>
      <c r="T785" s="81" t="str">
        <f>IF(G785=$J$1,"SI","NO")</f>
        <v>NO</v>
      </c>
      <c r="U785" s="81"/>
      <c r="V785" s="7" t="str">
        <f ca="1">IF(color_Celda(E785)=12106214,"ROSA",IF(color_Celda(E785)=65535,"AMARILLO",IF(color_Celda(E785)=5296274,"VERDE",IF(color_Celda(E785)=16777215,"BLANCO","NO SE"))))</f>
        <v>ROSA</v>
      </c>
      <c r="W785" s="63" t="s">
        <v>1457</v>
      </c>
      <c r="X785" s="63" t="s">
        <v>3155</v>
      </c>
      <c r="Y785" s="63"/>
      <c r="Z785" s="118" t="s">
        <v>3368</v>
      </c>
      <c r="AA785" s="118" t="s">
        <v>2869</v>
      </c>
      <c r="AB785" s="118" t="s">
        <v>1170</v>
      </c>
      <c r="AC785" s="328"/>
    </row>
    <row r="786" spans="1:29" ht="60" customHeight="1">
      <c r="A786" s="63">
        <v>810</v>
      </c>
      <c r="B786" s="65">
        <v>45216</v>
      </c>
      <c r="C786" s="70">
        <v>0.50972222222222219</v>
      </c>
      <c r="D786" s="325" t="s">
        <v>3382</v>
      </c>
      <c r="E786" s="64" t="s">
        <v>3383</v>
      </c>
      <c r="F786" s="63">
        <v>5</v>
      </c>
      <c r="G786" s="63" t="s">
        <v>2752</v>
      </c>
      <c r="H786" s="208">
        <v>45225</v>
      </c>
      <c r="I786" s="65" t="s">
        <v>1083</v>
      </c>
      <c r="J786" s="65" t="s">
        <v>78</v>
      </c>
      <c r="K786" s="63">
        <f>IFERROR(VLOOKUP(J786,Jueces!$A$1:$B$11,2,FALSE),"")</f>
        <v>8</v>
      </c>
      <c r="L786" s="63" t="s">
        <v>582</v>
      </c>
      <c r="M786" s="63" t="s">
        <v>3384</v>
      </c>
      <c r="N786" s="63" t="s">
        <v>3601</v>
      </c>
      <c r="O786" s="78" t="str">
        <f ca="1">IF(H786&lt;&gt;"",IF(H786&lt;=TODAY(),"SI","NO"),"LIMBO")</f>
        <v>SI</v>
      </c>
      <c r="P786" s="78" t="str">
        <f>IF($P$1=H786,"DIASOL", "DIANOSOL")</f>
        <v>DIANOSOL</v>
      </c>
      <c r="Q786" s="63" t="s">
        <v>903</v>
      </c>
      <c r="R786" s="63" t="str">
        <f>VLOOKUP($Q786,Resultados!$A$1:$B$49,2,FALSE)</f>
        <v>Juicio Abreviado</v>
      </c>
      <c r="S786" s="63" t="s">
        <v>1185</v>
      </c>
      <c r="T786" s="81" t="str">
        <f>IF(G786=$J$1,"SI","NO")</f>
        <v>NO</v>
      </c>
      <c r="U786" s="81"/>
      <c r="V786" s="7" t="str">
        <f ca="1">IF(color_Celda(E786)=12106214,"ROSA",IF(color_Celda(E786)=65535,"AMARILLO",IF(color_Celda(E786)=5296274,"VERDE",IF(color_Celda(E786)=16777215,"BLANCO","NO SE"))))</f>
        <v>ROSA</v>
      </c>
      <c r="W786" s="63" t="s">
        <v>1556</v>
      </c>
      <c r="X786" s="63" t="s">
        <v>3155</v>
      </c>
      <c r="Y786" s="63"/>
      <c r="Z786" s="118" t="s">
        <v>748</v>
      </c>
      <c r="AA786" s="118"/>
      <c r="AB786" s="118" t="s">
        <v>1169</v>
      </c>
      <c r="AC786" s="328" t="s">
        <v>1792</v>
      </c>
    </row>
    <row r="787" spans="1:29" ht="60" customHeight="1">
      <c r="A787" s="63">
        <v>794</v>
      </c>
      <c r="B787" s="65">
        <v>45210</v>
      </c>
      <c r="C787" s="70">
        <v>0.51597222222222217</v>
      </c>
      <c r="D787" s="325" t="s">
        <v>3331</v>
      </c>
      <c r="E787" s="64" t="s">
        <v>3338</v>
      </c>
      <c r="F787" s="63">
        <v>1</v>
      </c>
      <c r="G787" s="63" t="s">
        <v>1434</v>
      </c>
      <c r="H787" s="208">
        <v>45225</v>
      </c>
      <c r="I787" s="65" t="s">
        <v>228</v>
      </c>
      <c r="J787" s="65" t="s">
        <v>31</v>
      </c>
      <c r="K787" s="63">
        <f>IFERROR(VLOOKUP(J787,Jueces!$A$1:$B$11,2,FALSE),"")</f>
        <v>2</v>
      </c>
      <c r="L787" s="63" t="s">
        <v>582</v>
      </c>
      <c r="M787" s="63" t="s">
        <v>783</v>
      </c>
      <c r="N787" s="63" t="s">
        <v>3603</v>
      </c>
      <c r="O787" s="78" t="str">
        <f ca="1">IF(H787&lt;&gt;"",IF(H787&lt;=TODAY(),"SI","NO"),"LIMBO")</f>
        <v>SI</v>
      </c>
      <c r="P787" s="78" t="str">
        <f>IF($P$1=H787,"DIASOL", "DIANOSOL")</f>
        <v>DIANOSOL</v>
      </c>
      <c r="Q787" s="63" t="s">
        <v>902</v>
      </c>
      <c r="R787" s="63" t="str">
        <f>VLOOKUP($Q787,Resultados!$A$1:$B$49,2,FALSE)</f>
        <v>Juicio Abreviado</v>
      </c>
      <c r="S787" s="63" t="s">
        <v>2739</v>
      </c>
      <c r="T787" s="81" t="str">
        <f>IF(G787=$J$1,"SI","NO")</f>
        <v>NO</v>
      </c>
      <c r="U787" s="81"/>
      <c r="V787" s="7" t="str">
        <f ca="1">IF(color_Celda(E787)=12106214,"ROSA",IF(color_Celda(E787)=65535,"AMARILLO",IF(color_Celda(E787)=5296274,"VERDE",IF(color_Celda(E787)=16777215,"BLANCO","NO SE"))))</f>
        <v>ROSA</v>
      </c>
      <c r="W787" s="63" t="s">
        <v>3604</v>
      </c>
      <c r="X787" s="63" t="s">
        <v>3216</v>
      </c>
      <c r="Y787" s="63"/>
      <c r="Z787" s="118" t="s">
        <v>2843</v>
      </c>
      <c r="AA787" s="118"/>
      <c r="AB787" s="118" t="s">
        <v>3258</v>
      </c>
      <c r="AC787" s="328" t="s">
        <v>1792</v>
      </c>
    </row>
    <row r="788" spans="1:29" ht="60" customHeight="1">
      <c r="A788" s="63">
        <v>796</v>
      </c>
      <c r="B788" s="65">
        <v>45209</v>
      </c>
      <c r="C788" s="70">
        <v>0.4458333333333333</v>
      </c>
      <c r="D788" s="63" t="s">
        <v>3336</v>
      </c>
      <c r="E788" s="64" t="s">
        <v>3337</v>
      </c>
      <c r="F788" s="63">
        <v>1</v>
      </c>
      <c r="G788" s="63" t="s">
        <v>1435</v>
      </c>
      <c r="H788" s="208">
        <v>45226</v>
      </c>
      <c r="I788" s="65" t="s">
        <v>73</v>
      </c>
      <c r="J788" s="65" t="s">
        <v>2922</v>
      </c>
      <c r="K788" s="63" t="s">
        <v>1916</v>
      </c>
      <c r="L788" s="63" t="s">
        <v>792</v>
      </c>
      <c r="M788" s="63" t="s">
        <v>692</v>
      </c>
      <c r="N788" s="63" t="s">
        <v>3622</v>
      </c>
      <c r="O788" s="63" t="str">
        <f ca="1">IF(H788&lt;&gt;"",IF(H788&lt;=TODAY(),"SI","NO"),"LIMBO")</f>
        <v>SI</v>
      </c>
      <c r="P788" s="63" t="str">
        <f>IF($P$1=H788,"DIASOL", "DIANOSOL")</f>
        <v>DIANOSOL</v>
      </c>
      <c r="Q788" s="63" t="s">
        <v>902</v>
      </c>
      <c r="R788" s="63" t="str">
        <f>VLOOKUP($Q788,Resultados!$A$1:$B$49,2,FALSE)</f>
        <v>Juicio Abreviado</v>
      </c>
      <c r="S788" s="63" t="s">
        <v>1604</v>
      </c>
      <c r="T788" s="72" t="str">
        <f>IF(G788=$J$1,"SI","NO")</f>
        <v>SI</v>
      </c>
      <c r="U788" s="72"/>
      <c r="V788" s="7" t="str">
        <f ca="1">IF(color_Celda(E788)=12106214,"ROSA",IF(color_Celda(E788)=65535,"AMARILLO",IF(color_Celda(E788)=5296274,"VERDE",IF(color_Celda(E788)=16777215,"BLANCO","NO SE"))))</f>
        <v>ROSA</v>
      </c>
      <c r="W788" s="63" t="s">
        <v>2047</v>
      </c>
      <c r="X788" s="63" t="s">
        <v>2552</v>
      </c>
      <c r="Y788" s="63"/>
      <c r="Z788" s="118" t="s">
        <v>2843</v>
      </c>
      <c r="AA788" s="118" t="s">
        <v>1167</v>
      </c>
      <c r="AB788" s="118" t="s">
        <v>1171</v>
      </c>
      <c r="AC788" s="328"/>
    </row>
    <row r="789" spans="1:29" ht="60" customHeight="1">
      <c r="A789" s="63">
        <v>793</v>
      </c>
      <c r="B789" s="65">
        <v>45210</v>
      </c>
      <c r="C789" s="70">
        <v>0.51874999999999993</v>
      </c>
      <c r="D789" s="63" t="s">
        <v>3330</v>
      </c>
      <c r="E789" s="64" t="s">
        <v>3332</v>
      </c>
      <c r="F789" s="63">
        <v>1</v>
      </c>
      <c r="G789" s="63" t="s">
        <v>1433</v>
      </c>
      <c r="H789" s="208">
        <v>45226</v>
      </c>
      <c r="I789" s="65" t="s">
        <v>749</v>
      </c>
      <c r="J789" s="65" t="s">
        <v>2925</v>
      </c>
      <c r="K789" s="63" t="s">
        <v>2375</v>
      </c>
      <c r="L789" s="63" t="s">
        <v>582</v>
      </c>
      <c r="M789" s="63" t="s">
        <v>783</v>
      </c>
      <c r="N789" s="205" t="s">
        <v>3621</v>
      </c>
      <c r="O789" s="63" t="str">
        <f ca="1">IF(H789&lt;&gt;"",IF(H789&lt;=TODAY(),"SI","NO"),"LIMBO")</f>
        <v>SI</v>
      </c>
      <c r="P789" s="63" t="str">
        <f>IF($P$1=H789,"DIASOL", "DIANOSOL")</f>
        <v>DIANOSOL</v>
      </c>
      <c r="Q789" s="63" t="s">
        <v>902</v>
      </c>
      <c r="R789" s="63" t="str">
        <f>VLOOKUP($Q789,Resultados!$A$1:$B$49,2,FALSE)</f>
        <v>Juicio Abreviado</v>
      </c>
      <c r="S789" s="63" t="s">
        <v>1576</v>
      </c>
      <c r="T789" s="72" t="str">
        <f>IF(G789=$J$1,"SI","NO")</f>
        <v>NO</v>
      </c>
      <c r="U789" s="72"/>
      <c r="V789" s="7" t="str">
        <f ca="1">IF(color_Celda(E789)=12106214,"ROSA",IF(color_Celda(E789)=65535,"AMARILLO",IF(color_Celda(E789)=5296274,"VERDE",IF(color_Celda(E789)=16777215,"BLANCO","NO SE"))))</f>
        <v>ROSA</v>
      </c>
      <c r="W789" s="63" t="s">
        <v>3094</v>
      </c>
      <c r="X789" s="63"/>
      <c r="Y789" s="63"/>
      <c r="Z789" s="118" t="s">
        <v>748</v>
      </c>
      <c r="AA789" s="118"/>
      <c r="AB789" s="118" t="s">
        <v>3322</v>
      </c>
      <c r="AC789" s="328"/>
    </row>
    <row r="790" spans="1:29" ht="60" customHeight="1">
      <c r="A790" s="63">
        <v>785</v>
      </c>
      <c r="B790" s="65">
        <v>45209</v>
      </c>
      <c r="C790" s="70">
        <v>0.44861111111111113</v>
      </c>
      <c r="D790" s="63" t="s">
        <v>3279</v>
      </c>
      <c r="E790" s="64" t="s">
        <v>1192</v>
      </c>
      <c r="F790" s="63">
        <v>2</v>
      </c>
      <c r="G790" s="63" t="s">
        <v>3323</v>
      </c>
      <c r="H790" s="208">
        <v>45226</v>
      </c>
      <c r="I790" s="65" t="s">
        <v>1083</v>
      </c>
      <c r="J790" s="65" t="s">
        <v>78</v>
      </c>
      <c r="K790" s="63">
        <v>8</v>
      </c>
      <c r="L790" s="63" t="s">
        <v>800</v>
      </c>
      <c r="M790" s="63" t="s">
        <v>692</v>
      </c>
      <c r="N790" s="63" t="s">
        <v>3627</v>
      </c>
      <c r="O790" s="63" t="str">
        <f ca="1">IF(H790&lt;&gt;"",IF(H790&lt;=TODAY(),"SI","NO"),"LIMBO")</f>
        <v>SI</v>
      </c>
      <c r="P790" s="63" t="str">
        <f>IF($P$1=H790,"DIASOL", "DIANOSOL")</f>
        <v>DIANOSOL</v>
      </c>
      <c r="Q790" s="63" t="s">
        <v>902</v>
      </c>
      <c r="R790" s="63" t="str">
        <f>VLOOKUP($Q790,Resultados!$A$1:$B$49,2,FALSE)</f>
        <v>Juicio Abreviado</v>
      </c>
      <c r="S790" s="63" t="s">
        <v>1007</v>
      </c>
      <c r="T790" s="72" t="str">
        <f>IF(G790=$J$1,"SI","NO")</f>
        <v>NO</v>
      </c>
      <c r="U790" s="72"/>
      <c r="V790" s="7" t="str">
        <f ca="1">IF(color_Celda(E790)=12106214,"ROSA",IF(color_Celda(E790)=65535,"AMARILLO",IF(color_Celda(E790)=5296274,"VERDE",IF(color_Celda(E790)=16777215,"BLANCO","NO SE"))))</f>
        <v>ROSA</v>
      </c>
      <c r="W790" s="63" t="s">
        <v>1562</v>
      </c>
      <c r="X790" s="63" t="s">
        <v>2552</v>
      </c>
      <c r="Y790" s="63"/>
      <c r="Z790" s="118" t="s">
        <v>770</v>
      </c>
      <c r="AA790" s="118" t="s">
        <v>2869</v>
      </c>
      <c r="AB790" s="118" t="s">
        <v>1173</v>
      </c>
      <c r="AC790" s="328"/>
    </row>
    <row r="791" spans="1:29" ht="60" customHeight="1">
      <c r="A791" s="63">
        <v>789</v>
      </c>
      <c r="B791" s="65">
        <v>45210</v>
      </c>
      <c r="C791" s="70">
        <v>0.36249999999999999</v>
      </c>
      <c r="D791" s="63" t="s">
        <v>3290</v>
      </c>
      <c r="E791" s="64" t="s">
        <v>3291</v>
      </c>
      <c r="F791" s="63">
        <v>1</v>
      </c>
      <c r="G791" s="63" t="s">
        <v>283</v>
      </c>
      <c r="H791" s="208">
        <v>45226</v>
      </c>
      <c r="I791" s="65" t="s">
        <v>1083</v>
      </c>
      <c r="J791" s="65" t="s">
        <v>1217</v>
      </c>
      <c r="K791" s="63" t="s">
        <v>1916</v>
      </c>
      <c r="L791" s="63" t="s">
        <v>508</v>
      </c>
      <c r="M791" s="63" t="s">
        <v>711</v>
      </c>
      <c r="N791" s="63" t="s">
        <v>3356</v>
      </c>
      <c r="O791" s="63" t="str">
        <f ca="1">IF(H791&lt;&gt;"",IF(H791&lt;=TODAY(),"SI","NO"),"LIMBO")</f>
        <v>SI</v>
      </c>
      <c r="P791" s="63" t="str">
        <f>IF($P$1=H791,"DIASOL", "DIANOSOL")</f>
        <v>DIANOSOL</v>
      </c>
      <c r="Q791" s="63" t="s">
        <v>903</v>
      </c>
      <c r="R791" s="63" t="str">
        <f>VLOOKUP($Q791,Resultados!$A$1:$B$49,2,FALSE)</f>
        <v>Juicio Abreviado</v>
      </c>
      <c r="S791" s="63" t="s">
        <v>2662</v>
      </c>
      <c r="T791" s="72" t="str">
        <f>IF(G791=$J$1,"SI","NO")</f>
        <v>NO</v>
      </c>
      <c r="U791" s="72"/>
      <c r="V791" s="7" t="str">
        <f ca="1">IF(color_Celda(E791)=12106214,"ROSA",IF(color_Celda(E791)=65535,"AMARILLO",IF(color_Celda(E791)=5296274,"VERDE",IF(color_Celda(E791)=16777215,"BLANCO","NO SE"))))</f>
        <v>ROSA</v>
      </c>
      <c r="W791" s="63" t="s">
        <v>3628</v>
      </c>
      <c r="X791" s="63" t="s">
        <v>3155</v>
      </c>
      <c r="Y791" s="63"/>
      <c r="Z791" s="118" t="s">
        <v>2843</v>
      </c>
      <c r="AA791" s="118" t="s">
        <v>2828</v>
      </c>
      <c r="AB791" s="118" t="s">
        <v>1170</v>
      </c>
      <c r="AC791" s="328"/>
    </row>
    <row r="792" spans="1:29" ht="60" customHeight="1">
      <c r="A792" s="63">
        <v>798</v>
      </c>
      <c r="B792" s="65">
        <v>45210</v>
      </c>
      <c r="C792" s="70">
        <v>0.38819444444444445</v>
      </c>
      <c r="D792" s="63" t="s">
        <v>3341</v>
      </c>
      <c r="E792" s="64" t="s">
        <v>3342</v>
      </c>
      <c r="F792" s="63">
        <v>1</v>
      </c>
      <c r="G792" s="63" t="s">
        <v>568</v>
      </c>
      <c r="H792" s="208">
        <v>45226</v>
      </c>
      <c r="I792" s="65" t="s">
        <v>1083</v>
      </c>
      <c r="J792" s="65" t="s">
        <v>31</v>
      </c>
      <c r="K792" s="63">
        <f>IFERROR(VLOOKUP(J792,Jueces!$A$1:$B$11,2,FALSE),"")</f>
        <v>2</v>
      </c>
      <c r="L792" s="63" t="s">
        <v>582</v>
      </c>
      <c r="M792" s="63" t="s">
        <v>712</v>
      </c>
      <c r="N792" s="102" t="s">
        <v>3623</v>
      </c>
      <c r="O792" s="63" t="str">
        <f ca="1">IF(H792&lt;&gt;"",IF(H792&lt;=TODAY(),"SI","NO"),"LIMBO")</f>
        <v>SI</v>
      </c>
      <c r="P792" s="63" t="str">
        <f>IF($P$1=H792,"DIASOL", "DIANOSOL")</f>
        <v>DIANOSOL</v>
      </c>
      <c r="Q792" s="63" t="s">
        <v>902</v>
      </c>
      <c r="R792" s="63" t="str">
        <f>VLOOKUP($Q792,Resultados!$A$1:$B$49,2,FALSE)</f>
        <v>Juicio Abreviado</v>
      </c>
      <c r="S792" s="63" t="s">
        <v>2935</v>
      </c>
      <c r="T792" s="72" t="str">
        <f>IF(G792=$J$1,"SI","NO")</f>
        <v>NO</v>
      </c>
      <c r="U792" s="72"/>
      <c r="V792" s="7" t="str">
        <f ca="1">IF(color_Celda(E792)=12106214,"ROSA",IF(color_Celda(E792)=65535,"AMARILLO",IF(color_Celda(E792)=5296274,"VERDE",IF(color_Celda(E792)=16777215,"BLANCO","NO SE"))))</f>
        <v>ROSA</v>
      </c>
      <c r="W792" s="63" t="s">
        <v>75</v>
      </c>
      <c r="X792" s="63" t="s">
        <v>3624</v>
      </c>
      <c r="Y792" s="63"/>
      <c r="Z792" s="118" t="s">
        <v>748</v>
      </c>
      <c r="AA792" s="118"/>
      <c r="AB792" s="118" t="s">
        <v>1169</v>
      </c>
      <c r="AC792" s="328"/>
    </row>
    <row r="793" spans="1:29" ht="60" customHeight="1">
      <c r="A793" s="63">
        <v>804</v>
      </c>
      <c r="B793" s="65">
        <v>45211</v>
      </c>
      <c r="C793" s="63" t="s">
        <v>1231</v>
      </c>
      <c r="D793" s="63" t="s">
        <v>3352</v>
      </c>
      <c r="E793" s="64" t="s">
        <v>3354</v>
      </c>
      <c r="F793" s="63">
        <v>1</v>
      </c>
      <c r="G793" s="63" t="s">
        <v>1434</v>
      </c>
      <c r="H793" s="208">
        <v>45226</v>
      </c>
      <c r="I793" s="65" t="s">
        <v>1206</v>
      </c>
      <c r="J793" s="65" t="s">
        <v>33</v>
      </c>
      <c r="K793" s="63">
        <f>IFERROR(VLOOKUP(J793,Jueces!$A$1:$B$11,2,FALSE),"")</f>
        <v>4</v>
      </c>
      <c r="L793" s="63" t="s">
        <v>810</v>
      </c>
      <c r="M793" s="63" t="s">
        <v>1175</v>
      </c>
      <c r="N793" s="63" t="s">
        <v>577</v>
      </c>
      <c r="O793" s="63" t="str">
        <f ca="1">IF(H793&lt;&gt;"",IF(H793&lt;=TODAY(),"SI","NO"),"LIMBO")</f>
        <v>SI</v>
      </c>
      <c r="P793" s="63" t="str">
        <f>IF($P$1=H793,"DIASOL", "DIANOSOL")</f>
        <v>DIANOSOL</v>
      </c>
      <c r="Q793" s="63" t="s">
        <v>151</v>
      </c>
      <c r="R793" s="63" t="str">
        <f>VLOOKUP($Q793,Resultados!$A$1:$B$49,2,FALSE)</f>
        <v>Prisión Preventiva</v>
      </c>
      <c r="S793" s="63" t="s">
        <v>1332</v>
      </c>
      <c r="T793" s="72" t="str">
        <f>IF(G793=$J$1,"SI","NO")</f>
        <v>NO</v>
      </c>
      <c r="U793" s="72"/>
      <c r="V793" s="7" t="str">
        <f ca="1">IF(color_Celda(E793)=12106214,"ROSA",IF(color_Celda(E793)=65535,"AMARILLO",IF(color_Celda(E793)=5296274,"VERDE",IF(color_Celda(E793)=16777215,"BLANCO","NO SE"))))</f>
        <v>ROSA</v>
      </c>
      <c r="W793" s="63" t="s">
        <v>2663</v>
      </c>
      <c r="X793" s="63" t="s">
        <v>2552</v>
      </c>
      <c r="Y793" s="63"/>
      <c r="Z793" s="118" t="s">
        <v>3368</v>
      </c>
      <c r="AA793" s="118" t="s">
        <v>3378</v>
      </c>
      <c r="AB793" s="118" t="s">
        <v>3258</v>
      </c>
      <c r="AC793" s="328"/>
    </row>
    <row r="794" spans="1:29" ht="60" customHeight="1">
      <c r="A794" s="63">
        <v>854</v>
      </c>
      <c r="B794" s="65">
        <v>45222</v>
      </c>
      <c r="C794" s="70">
        <v>0.50555555555555554</v>
      </c>
      <c r="D794" s="63" t="s">
        <v>3530</v>
      </c>
      <c r="E794" s="64" t="s">
        <v>3532</v>
      </c>
      <c r="F794" s="63">
        <v>2</v>
      </c>
      <c r="G794" s="63" t="s">
        <v>2752</v>
      </c>
      <c r="H794" s="208">
        <v>45226</v>
      </c>
      <c r="I794" s="65" t="s">
        <v>75</v>
      </c>
      <c r="J794" s="65" t="s">
        <v>31</v>
      </c>
      <c r="K794" s="63">
        <f>IFERROR(VLOOKUP(J794,Jueces!$A$1:$B$11,2,FALSE),"")</f>
        <v>2</v>
      </c>
      <c r="L794" s="63" t="s">
        <v>811</v>
      </c>
      <c r="M794" s="63" t="s">
        <v>692</v>
      </c>
      <c r="N794" s="63" t="s">
        <v>3630</v>
      </c>
      <c r="O794" s="63" t="str">
        <f ca="1">IF(H794&lt;&gt;"",IF(H794&lt;=TODAY(),"SI","NO"),"LIMBO")</f>
        <v>SI</v>
      </c>
      <c r="P794" s="63" t="str">
        <f>IF($P$1=H794,"DIASOL", "DIANOSOL")</f>
        <v>DIANOSOL</v>
      </c>
      <c r="Q794" s="63" t="s">
        <v>907</v>
      </c>
      <c r="R794" s="63" t="s">
        <v>907</v>
      </c>
      <c r="S794" s="63" t="s">
        <v>3629</v>
      </c>
      <c r="T794" s="72" t="str">
        <f>IF(G794=$J$1,"SI","NO")</f>
        <v>NO</v>
      </c>
      <c r="U794" s="72"/>
      <c r="V794" s="7" t="str">
        <f ca="1">IF(color_Celda(E794)=12106214,"ROSA",IF(color_Celda(E794)=65535,"AMARILLO",IF(color_Celda(E794)=5296274,"VERDE",IF(color_Celda(E794)=16777215,"BLANCO","NO SE"))))</f>
        <v>ROSA</v>
      </c>
      <c r="W794" s="63" t="s">
        <v>2327</v>
      </c>
      <c r="X794" s="63" t="s">
        <v>2552</v>
      </c>
      <c r="Y794" s="63"/>
      <c r="Z794" s="118" t="s">
        <v>770</v>
      </c>
      <c r="AA794" s="118" t="s">
        <v>1167</v>
      </c>
      <c r="AB794" s="118" t="s">
        <v>1171</v>
      </c>
      <c r="AC794" s="328"/>
    </row>
    <row r="795" spans="1:29" ht="60" customHeight="1">
      <c r="A795" s="63">
        <v>808</v>
      </c>
      <c r="B795" s="65">
        <v>45211</v>
      </c>
      <c r="C795" s="70">
        <v>0.55069444444444449</v>
      </c>
      <c r="D795" s="63" t="s">
        <v>3373</v>
      </c>
      <c r="E795" s="64" t="s">
        <v>3374</v>
      </c>
      <c r="F795" s="63">
        <v>1</v>
      </c>
      <c r="G795" s="63" t="s">
        <v>3324</v>
      </c>
      <c r="H795" s="208">
        <v>45226</v>
      </c>
      <c r="I795" s="65" t="s">
        <v>547</v>
      </c>
      <c r="J795" s="65" t="s">
        <v>1216</v>
      </c>
      <c r="K795" s="63" t="s">
        <v>1916</v>
      </c>
      <c r="L795" s="63" t="s">
        <v>810</v>
      </c>
      <c r="M795" s="63" t="s">
        <v>712</v>
      </c>
      <c r="N795" s="63" t="s">
        <v>3625</v>
      </c>
      <c r="O795" s="63" t="str">
        <f ca="1">IF(H795&lt;&gt;"",IF(H795&lt;=TODAY(),"SI","NO"),"LIMBO")</f>
        <v>SI</v>
      </c>
      <c r="P795" s="63" t="str">
        <f>IF($P$1=H795,"DIASOL", "DIANOSOL")</f>
        <v>DIANOSOL</v>
      </c>
      <c r="Q795" s="63" t="s">
        <v>151</v>
      </c>
      <c r="R795" s="63" t="str">
        <f>VLOOKUP($Q795,Resultados!$A$1:$B$49,2,FALSE)</f>
        <v>Prisión Preventiva</v>
      </c>
      <c r="S795" s="63" t="s">
        <v>1796</v>
      </c>
      <c r="T795" s="72" t="str">
        <f>IF(G795=$J$1,"SI","NO")</f>
        <v>NO</v>
      </c>
      <c r="U795" s="72"/>
      <c r="V795" s="7" t="str">
        <f ca="1">IF(color_Celda(E795)=12106214,"ROSA",IF(color_Celda(E795)=65535,"AMARILLO",IF(color_Celda(E795)=5296274,"VERDE",IF(color_Celda(E795)=16777215,"BLANCO","NO SE"))))</f>
        <v>ROSA</v>
      </c>
      <c r="W795" s="63" t="s">
        <v>3626</v>
      </c>
      <c r="X795" s="63" t="s">
        <v>2552</v>
      </c>
      <c r="Y795" s="63"/>
      <c r="Z795" s="118" t="s">
        <v>2843</v>
      </c>
      <c r="AA795" s="118" t="s">
        <v>3379</v>
      </c>
      <c r="AB795" s="118" t="s">
        <v>3322</v>
      </c>
      <c r="AC795" s="328"/>
    </row>
    <row r="796" spans="1:29" ht="60" customHeight="1">
      <c r="A796" s="63">
        <v>784</v>
      </c>
      <c r="B796" s="65">
        <v>45209</v>
      </c>
      <c r="C796" s="70">
        <v>0.52361111111111114</v>
      </c>
      <c r="D796" s="63" t="s">
        <v>3303</v>
      </c>
      <c r="E796" s="64" t="s">
        <v>3278</v>
      </c>
      <c r="F796" s="63">
        <v>2</v>
      </c>
      <c r="G796" s="63" t="s">
        <v>3323</v>
      </c>
      <c r="H796" s="208">
        <v>45229</v>
      </c>
      <c r="I796" s="65" t="s">
        <v>73</v>
      </c>
      <c r="J796" s="65" t="s">
        <v>78</v>
      </c>
      <c r="K796" s="63">
        <f>IFERROR(VLOOKUP(J796,Jueces!$A$1:$B$11,2,FALSE),"")</f>
        <v>8</v>
      </c>
      <c r="L796" s="63" t="s">
        <v>808</v>
      </c>
      <c r="M796" s="398" t="s">
        <v>1408</v>
      </c>
      <c r="N796" s="63" t="s">
        <v>3635</v>
      </c>
      <c r="O796" s="78" t="str">
        <f ca="1">IF(H796&lt;&gt;"",IF(H796&lt;=TODAY(),"SI","NO"),"LIMBO")</f>
        <v>SI</v>
      </c>
      <c r="P796" s="78" t="str">
        <f>IF($P$1=H796,"DIASOL", "DIANOSOL")</f>
        <v>DIANOSOL</v>
      </c>
      <c r="Q796" s="63" t="s">
        <v>897</v>
      </c>
      <c r="R796" s="63" t="str">
        <f>VLOOKUP($Q796,Resultados!$A$1:$B$49,2,FALSE)</f>
        <v>Libertad</v>
      </c>
      <c r="S796" s="70">
        <v>0.37152777777777773</v>
      </c>
      <c r="T796" s="81" t="str">
        <f>IF(G796=$J$1,"SI","NO")</f>
        <v>NO</v>
      </c>
      <c r="U796" s="81"/>
      <c r="V796" s="7" t="str">
        <f ca="1">IF(color_Celda(E796)=12106214,"ROSA",IF(color_Celda(E796)=65535,"AMARILLO",IF(color_Celda(E796)=5296274,"VERDE",IF(color_Celda(E796)=16777215,"BLANCO","NO SE"))))</f>
        <v>ROSA</v>
      </c>
      <c r="W796" s="63" t="s">
        <v>1047</v>
      </c>
      <c r="X796" s="63"/>
      <c r="Y796" s="63"/>
      <c r="Z796" s="118" t="s">
        <v>748</v>
      </c>
      <c r="AA796" s="118" t="s">
        <v>3379</v>
      </c>
      <c r="AB796" s="118" t="s">
        <v>1170</v>
      </c>
      <c r="AC796" s="328"/>
    </row>
    <row r="797" spans="1:29" ht="60" customHeight="1">
      <c r="A797" s="63">
        <v>800</v>
      </c>
      <c r="B797" s="65">
        <v>45210</v>
      </c>
      <c r="C797" s="70">
        <v>0.37013888888888885</v>
      </c>
      <c r="D797" s="63" t="s">
        <v>3345</v>
      </c>
      <c r="E797" s="64" t="s">
        <v>3346</v>
      </c>
      <c r="F797" s="63">
        <v>1</v>
      </c>
      <c r="G797" s="63" t="s">
        <v>1435</v>
      </c>
      <c r="H797" s="208">
        <v>45229</v>
      </c>
      <c r="I797" s="65" t="s">
        <v>73</v>
      </c>
      <c r="J797" s="65" t="s">
        <v>2922</v>
      </c>
      <c r="K797" s="63" t="s">
        <v>1341</v>
      </c>
      <c r="L797" s="63" t="s">
        <v>811</v>
      </c>
      <c r="M797" s="63" t="s">
        <v>711</v>
      </c>
      <c r="N797" s="63" t="s">
        <v>1522</v>
      </c>
      <c r="O797" s="78" t="str">
        <f ca="1">IF(H797&lt;&gt;"",IF(H797&lt;=TODAY(),"SI","NO"),"LIMBO")</f>
        <v>SI</v>
      </c>
      <c r="P797" s="78" t="str">
        <f>IF($P$1=H797,"DIASOL", "DIANOSOL")</f>
        <v>DIANOSOL</v>
      </c>
      <c r="Q797" s="63" t="s">
        <v>897</v>
      </c>
      <c r="R797" s="63" t="str">
        <f>VLOOKUP($Q797,Resultados!$A$1:$B$49,2,FALSE)</f>
        <v>Libertad</v>
      </c>
      <c r="S797" s="63" t="s">
        <v>3097</v>
      </c>
      <c r="T797" s="81" t="str">
        <f>IF(G797=$J$1,"SI","NO")</f>
        <v>SI</v>
      </c>
      <c r="U797" s="81"/>
      <c r="V797" s="7" t="str">
        <f ca="1">IF(color_Celda(E797)=12106214,"ROSA",IF(color_Celda(E797)=65535,"AMARILLO",IF(color_Celda(E797)=5296274,"VERDE",IF(color_Celda(E797)=16777215,"BLANCO","NO SE"))))</f>
        <v>ROSA</v>
      </c>
      <c r="W797" s="63" t="s">
        <v>1013</v>
      </c>
      <c r="X797" s="63"/>
      <c r="Y797" s="63"/>
      <c r="Z797" s="118" t="s">
        <v>770</v>
      </c>
      <c r="AA797" s="118" t="s">
        <v>2869</v>
      </c>
      <c r="AB797" s="118" t="s">
        <v>3258</v>
      </c>
      <c r="AC797" s="328"/>
    </row>
    <row r="798" spans="1:29" ht="60" customHeight="1">
      <c r="A798" s="63">
        <v>837</v>
      </c>
      <c r="B798" s="65">
        <v>45219</v>
      </c>
      <c r="C798" s="70">
        <v>0.53055555555555556</v>
      </c>
      <c r="D798" s="63" t="s">
        <v>3475</v>
      </c>
      <c r="E798" s="64" t="s">
        <v>3477</v>
      </c>
      <c r="F798" s="63">
        <v>2</v>
      </c>
      <c r="G798" s="63" t="s">
        <v>1434</v>
      </c>
      <c r="H798" s="208">
        <v>45229</v>
      </c>
      <c r="I798" s="65" t="s">
        <v>73</v>
      </c>
      <c r="J798" s="65" t="s">
        <v>31</v>
      </c>
      <c r="K798" s="63">
        <f>IFERROR(VLOOKUP(J798,Jueces!$A$1:$B$11,2,FALSE),"")</f>
        <v>2</v>
      </c>
      <c r="L798" s="63" t="s">
        <v>3638</v>
      </c>
      <c r="M798" s="63" t="s">
        <v>692</v>
      </c>
      <c r="N798" s="63" t="s">
        <v>3641</v>
      </c>
      <c r="O798" s="78" t="str">
        <f ca="1">IF(H798&lt;&gt;"",IF(H798&lt;=TODAY(),"SI","NO"),"LIMBO")</f>
        <v>SI</v>
      </c>
      <c r="P798" s="78" t="str">
        <f>IF($P$1=H798,"DIASOL", "DIANOSOL")</f>
        <v>DIANOSOL</v>
      </c>
      <c r="Q798" s="63" t="s">
        <v>903</v>
      </c>
      <c r="R798" s="63" t="str">
        <f>VLOOKUP($Q798,Resultados!$A$1:$B$49,2,FALSE)</f>
        <v>Juicio Abreviado</v>
      </c>
      <c r="S798" s="63" t="s">
        <v>1006</v>
      </c>
      <c r="T798" s="81" t="str">
        <f>IF(G798=$J$1,"SI","NO")</f>
        <v>NO</v>
      </c>
      <c r="U798" s="81"/>
      <c r="V798" s="7" t="str">
        <f ca="1">IF(color_Celda(E798)=12106214,"ROSA",IF(color_Celda(E798)=65535,"AMARILLO",IF(color_Celda(E798)=5296274,"VERDE",IF(color_Celda(E798)=16777215,"BLANCO","NO SE"))))</f>
        <v>ROSA</v>
      </c>
      <c r="W798" s="63" t="s">
        <v>76</v>
      </c>
      <c r="X798" s="223" t="s">
        <v>3640</v>
      </c>
      <c r="Y798" s="63"/>
      <c r="Z798" s="118" t="s">
        <v>3368</v>
      </c>
      <c r="AA798" s="118" t="s">
        <v>3378</v>
      </c>
      <c r="AB798" s="118" t="s">
        <v>1171</v>
      </c>
      <c r="AC798" s="328"/>
    </row>
    <row r="799" spans="1:29" ht="60" customHeight="1">
      <c r="A799" s="63">
        <v>795</v>
      </c>
      <c r="B799" s="65">
        <v>45241</v>
      </c>
      <c r="C799" s="70">
        <v>0.49652777777777773</v>
      </c>
      <c r="D799" s="325" t="s">
        <v>3333</v>
      </c>
      <c r="E799" s="64" t="s">
        <v>3334</v>
      </c>
      <c r="F799" s="63">
        <v>4</v>
      </c>
      <c r="G799" s="63" t="s">
        <v>283</v>
      </c>
      <c r="H799" s="208">
        <v>45229</v>
      </c>
      <c r="I799" s="65" t="s">
        <v>73</v>
      </c>
      <c r="J799" s="65" t="s">
        <v>2925</v>
      </c>
      <c r="K799" s="63" t="s">
        <v>1916</v>
      </c>
      <c r="L799" s="63" t="s">
        <v>810</v>
      </c>
      <c r="M799" s="63" t="s">
        <v>1956</v>
      </c>
      <c r="N799" s="63" t="s">
        <v>3653</v>
      </c>
      <c r="O799" s="78" t="str">
        <f ca="1">IF(H799&lt;&gt;"",IF(H799&lt;=TODAY(),"SI","NO"),"LIMBO")</f>
        <v>SI</v>
      </c>
      <c r="P799" s="78" t="str">
        <f>IF($P$1=H799,"DIASOL", "DIANOSOL")</f>
        <v>DIANOSOL</v>
      </c>
      <c r="Q799" s="63" t="s">
        <v>903</v>
      </c>
      <c r="R799" s="63" t="str">
        <f>VLOOKUP($Q799,Resultados!$A$1:$B$49,2,FALSE)</f>
        <v>Juicio Abreviado</v>
      </c>
      <c r="S799" s="70" t="s">
        <v>1328</v>
      </c>
      <c r="T799" s="81" t="str">
        <f>IF(G799=$J$1,"SI","NO")</f>
        <v>NO</v>
      </c>
      <c r="U799" s="81"/>
      <c r="V799" s="7" t="str">
        <f ca="1">IF(color_Celda(E799)=12106214,"ROSA",IF(color_Celda(E799)=65535,"AMARILLO",IF(color_Celda(E799)=5296274,"VERDE",IF(color_Celda(E799)=16777215,"BLANCO","NO SE"))))</f>
        <v>ROSA</v>
      </c>
      <c r="W799" s="63" t="s">
        <v>1131</v>
      </c>
      <c r="X799" s="7" t="s">
        <v>3634</v>
      </c>
      <c r="Y799" s="63"/>
      <c r="Z799" s="118" t="s">
        <v>2843</v>
      </c>
      <c r="AA799" s="118" t="s">
        <v>1167</v>
      </c>
      <c r="AB799" s="118" t="s">
        <v>1169</v>
      </c>
      <c r="AC799" s="328" t="s">
        <v>1792</v>
      </c>
    </row>
    <row r="800" spans="1:29" ht="60" customHeight="1">
      <c r="A800" s="63">
        <v>788</v>
      </c>
      <c r="B800" s="65">
        <v>45209</v>
      </c>
      <c r="C800" s="70">
        <v>0.37986111111111115</v>
      </c>
      <c r="D800" s="63" t="s">
        <v>3284</v>
      </c>
      <c r="E800" s="64" t="s">
        <v>3285</v>
      </c>
      <c r="F800" s="63">
        <v>7</v>
      </c>
      <c r="G800" s="63" t="s">
        <v>1433</v>
      </c>
      <c r="H800" s="208">
        <v>45229</v>
      </c>
      <c r="I800" s="65" t="s">
        <v>749</v>
      </c>
      <c r="J800" s="65" t="s">
        <v>1221</v>
      </c>
      <c r="K800" s="63">
        <f>IFERROR(VLOOKUP(J800,Jueces!$A$1:$B$11,2,FALSE),"")</f>
        <v>6</v>
      </c>
      <c r="L800" s="63" t="s">
        <v>2715</v>
      </c>
      <c r="M800" s="63" t="s">
        <v>1175</v>
      </c>
      <c r="N800" s="63" t="s">
        <v>1744</v>
      </c>
      <c r="O800" s="78" t="str">
        <f ca="1">IF(H800&lt;&gt;"",IF(H800&lt;=TODAY(),"SI","NO"),"LIMBO")</f>
        <v>SI</v>
      </c>
      <c r="P800" s="78" t="str">
        <f>IF($P$1=H800,"DIASOL", "DIANOSOL")</f>
        <v>DIANOSOL</v>
      </c>
      <c r="Q800" s="63" t="s">
        <v>151</v>
      </c>
      <c r="R800" s="63" t="str">
        <f>VLOOKUP($Q800,Resultados!$A$1:$B$49,2,FALSE)</f>
        <v>Prisión Preventiva</v>
      </c>
      <c r="S800" s="63" t="s">
        <v>3637</v>
      </c>
      <c r="T800" s="81" t="str">
        <f>IF(G800=$J$1,"SI","NO")</f>
        <v>NO</v>
      </c>
      <c r="U800" s="81"/>
      <c r="V800" s="7" t="str">
        <f ca="1">IF(color_Celda(E800)=12106214,"ROSA",IF(color_Celda(E800)=65535,"AMARILLO",IF(color_Celda(E800)=5296274,"VERDE",IF(color_Celda(E800)=16777215,"BLANCO","NO SE"))))</f>
        <v>ROSA</v>
      </c>
      <c r="W800" s="63" t="s">
        <v>1230</v>
      </c>
      <c r="X800" s="63"/>
      <c r="Y800" s="63"/>
      <c r="Z800" s="118" t="s">
        <v>743</v>
      </c>
      <c r="AA800" s="304" t="s">
        <v>1165</v>
      </c>
      <c r="AB800" s="118" t="s">
        <v>3322</v>
      </c>
      <c r="AC800" s="328"/>
    </row>
    <row r="801" spans="1:29" ht="60" customHeight="1">
      <c r="A801" s="63">
        <v>777</v>
      </c>
      <c r="B801" s="65">
        <v>45205</v>
      </c>
      <c r="C801" s="63" t="s">
        <v>3265</v>
      </c>
      <c r="D801" s="325" t="s">
        <v>3266</v>
      </c>
      <c r="E801" s="64" t="s">
        <v>3298</v>
      </c>
      <c r="F801" s="63">
        <v>2</v>
      </c>
      <c r="G801" s="63" t="s">
        <v>568</v>
      </c>
      <c r="H801" s="208">
        <v>45229</v>
      </c>
      <c r="I801" s="65" t="s">
        <v>1083</v>
      </c>
      <c r="J801" s="65" t="s">
        <v>1723</v>
      </c>
      <c r="K801" s="63" t="s">
        <v>1916</v>
      </c>
      <c r="L801" s="63" t="s">
        <v>806</v>
      </c>
      <c r="M801" s="63" t="s">
        <v>692</v>
      </c>
      <c r="N801" s="63" t="s">
        <v>3662</v>
      </c>
      <c r="O801" s="78" t="str">
        <f ca="1">IF(H801&lt;&gt;"",IF(H801&lt;=TODAY(),"SI","NO"),"LIMBO")</f>
        <v>SI</v>
      </c>
      <c r="P801" s="78" t="str">
        <f>IF($P$1=H801,"DIASOL", "DIANOSOL")</f>
        <v>DIANOSOL</v>
      </c>
      <c r="Q801" s="63" t="s">
        <v>902</v>
      </c>
      <c r="R801" s="63" t="str">
        <f>VLOOKUP($Q801,Resultados!$A$1:$B$49,2,FALSE)</f>
        <v>Juicio Abreviado</v>
      </c>
      <c r="S801" s="63" t="s">
        <v>1240</v>
      </c>
      <c r="T801" s="81" t="str">
        <f>IF(G801=$J$1,"SI","NO")</f>
        <v>NO</v>
      </c>
      <c r="U801" s="81"/>
      <c r="V801" s="7" t="str">
        <f ca="1">IF(color_Celda(E801)=12106214,"ROSA",IF(color_Celda(E801)=65535,"AMARILLO",IF(color_Celda(E801)=5296274,"VERDE",IF(color_Celda(E801)=16777215,"BLANCO","NO SE"))))</f>
        <v>ROSA</v>
      </c>
      <c r="W801" s="63" t="s">
        <v>3309</v>
      </c>
      <c r="X801" s="63" t="s">
        <v>3663</v>
      </c>
      <c r="Y801" s="63"/>
      <c r="Z801" s="118" t="s">
        <v>2843</v>
      </c>
      <c r="AA801" s="118" t="s">
        <v>2869</v>
      </c>
      <c r="AB801" s="118" t="s">
        <v>1170</v>
      </c>
      <c r="AC801" s="328" t="s">
        <v>1792</v>
      </c>
    </row>
    <row r="802" spans="1:29" ht="60" customHeight="1">
      <c r="A802" s="63">
        <v>771</v>
      </c>
      <c r="B802" s="65">
        <v>45209</v>
      </c>
      <c r="C802" s="63" t="s">
        <v>73</v>
      </c>
      <c r="D802" s="63" t="s">
        <v>3238</v>
      </c>
      <c r="E802" s="64" t="s">
        <v>3289</v>
      </c>
      <c r="F802" s="63">
        <v>6</v>
      </c>
      <c r="G802" s="63" t="s">
        <v>2766</v>
      </c>
      <c r="H802" s="208">
        <v>45229</v>
      </c>
      <c r="I802" s="65" t="s">
        <v>1083</v>
      </c>
      <c r="J802" s="65" t="s">
        <v>31</v>
      </c>
      <c r="K802" s="63">
        <f>IFERROR(VLOOKUP(J802,Jueces!$A$1:$B$11,2,FALSE),"")</f>
        <v>2</v>
      </c>
      <c r="L802" s="63" t="s">
        <v>799</v>
      </c>
      <c r="M802" s="63" t="s">
        <v>712</v>
      </c>
      <c r="N802" s="63" t="s">
        <v>3664</v>
      </c>
      <c r="O802" s="78" t="str">
        <f ca="1">IF(H802&lt;&gt;"",IF(H802&lt;=TODAY(),"SI","NO"),"LIMBO")</f>
        <v>SI</v>
      </c>
      <c r="P802" s="78" t="str">
        <f>IF($P$1=H802,"DIASOL", "DIANOSOL")</f>
        <v>DIANOSOL</v>
      </c>
      <c r="Q802" s="63" t="s">
        <v>903</v>
      </c>
      <c r="R802" s="63" t="str">
        <f>VLOOKUP($Q802,Resultados!$A$1:$B$49,2,FALSE)</f>
        <v>Juicio Abreviado</v>
      </c>
      <c r="S802" s="63" t="s">
        <v>1388</v>
      </c>
      <c r="T802" s="81" t="str">
        <f>IF(G802=$J$1,"SI","NO")</f>
        <v>NO</v>
      </c>
      <c r="U802" s="81"/>
      <c r="V802" s="7" t="str">
        <f ca="1">IF(color_Celda(E802)=12106214,"ROSA",IF(color_Celda(E802)=65535,"AMARILLO",IF(color_Celda(E802)=5296274,"VERDE",IF(color_Celda(E802)=16777215,"BLANCO","NO SE"))))</f>
        <v>ROSA</v>
      </c>
      <c r="W802" s="63" t="s">
        <v>1502</v>
      </c>
      <c r="X802" s="63" t="s">
        <v>3665</v>
      </c>
      <c r="Y802" s="63"/>
      <c r="Z802" s="118" t="s">
        <v>3368</v>
      </c>
      <c r="AA802" s="118" t="s">
        <v>3305</v>
      </c>
      <c r="AB802" s="118" t="s">
        <v>1173</v>
      </c>
      <c r="AC802" s="328"/>
    </row>
    <row r="803" spans="1:29" ht="60" customHeight="1">
      <c r="A803" s="63">
        <v>817</v>
      </c>
      <c r="B803" s="65">
        <v>45217</v>
      </c>
      <c r="C803" s="70">
        <v>0.34583333333333338</v>
      </c>
      <c r="D803" s="63" t="s">
        <v>3411</v>
      </c>
      <c r="E803" s="64" t="s">
        <v>3412</v>
      </c>
      <c r="F803" s="63">
        <v>2</v>
      </c>
      <c r="G803" s="63" t="s">
        <v>2752</v>
      </c>
      <c r="H803" s="208">
        <v>45229</v>
      </c>
      <c r="I803" s="65" t="s">
        <v>1083</v>
      </c>
      <c r="J803" s="65" t="s">
        <v>33</v>
      </c>
      <c r="K803" s="63">
        <f>IFERROR(VLOOKUP(J803,Jueces!$A$1:$B$11,2,FALSE),"")</f>
        <v>4</v>
      </c>
      <c r="L803" s="63" t="s">
        <v>791</v>
      </c>
      <c r="M803" s="63" t="s">
        <v>1285</v>
      </c>
      <c r="N803" s="63" t="s">
        <v>484</v>
      </c>
      <c r="O803" s="78" t="str">
        <f ca="1">IF(H803&lt;&gt;"",IF(H803&lt;=TODAY(),"SI","NO"),"LIMBO")</f>
        <v>SI</v>
      </c>
      <c r="P803" s="78" t="str">
        <f>IF($P$1=H803,"DIASOL", "DIANOSOL")</f>
        <v>DIANOSOL</v>
      </c>
      <c r="Q803" s="63" t="s">
        <v>903</v>
      </c>
      <c r="R803" s="63" t="str">
        <f>VLOOKUP($Q803,Resultados!$A$1:$B$49,2,FALSE)</f>
        <v>Juicio Abreviado</v>
      </c>
      <c r="S803" s="63" t="s">
        <v>1230</v>
      </c>
      <c r="T803" s="81" t="str">
        <f>IF(G803=$J$1,"SI","NO")</f>
        <v>NO</v>
      </c>
      <c r="U803" s="81"/>
      <c r="V803" s="7" t="str">
        <f ca="1">IF(color_Celda(E803)=12106214,"ROSA",IF(color_Celda(E803)=65535,"AMARILLO",IF(color_Celda(E803)=5296274,"VERDE",IF(color_Celda(E803)=16777215,"BLANCO","NO SE"))))</f>
        <v>ROSA</v>
      </c>
      <c r="W803" s="63" t="s">
        <v>1239</v>
      </c>
      <c r="X803" s="259" t="s">
        <v>3636</v>
      </c>
      <c r="Y803" s="63"/>
      <c r="Z803" s="118" t="s">
        <v>770</v>
      </c>
      <c r="AA803" s="118" t="s">
        <v>2828</v>
      </c>
      <c r="AB803" s="118" t="s">
        <v>1169</v>
      </c>
      <c r="AC803" s="328"/>
    </row>
    <row r="804" spans="1:29" ht="60" customHeight="1">
      <c r="A804" s="63">
        <v>760</v>
      </c>
      <c r="B804" s="65">
        <v>45205</v>
      </c>
      <c r="C804" s="70">
        <v>0.45347222222222222</v>
      </c>
      <c r="D804" s="63" t="s">
        <v>3193</v>
      </c>
      <c r="E804" s="64" t="s">
        <v>3194</v>
      </c>
      <c r="F804" s="63">
        <v>1</v>
      </c>
      <c r="G804" s="63" t="s">
        <v>2766</v>
      </c>
      <c r="H804" s="208">
        <v>45229</v>
      </c>
      <c r="I804" s="65" t="s">
        <v>76</v>
      </c>
      <c r="J804" s="65" t="s">
        <v>1217</v>
      </c>
      <c r="K804" s="63" t="s">
        <v>2324</v>
      </c>
      <c r="L804" s="63" t="s">
        <v>810</v>
      </c>
      <c r="M804" s="63" t="s">
        <v>1175</v>
      </c>
      <c r="N804" s="63" t="s">
        <v>3666</v>
      </c>
      <c r="O804" s="78" t="str">
        <f ca="1">IF(H804&lt;&gt;"",IF(H804&lt;=TODAY(),"SI","NO"),"LIMBO")</f>
        <v>SI</v>
      </c>
      <c r="P804" s="78" t="str">
        <f>IF($P$1=H804,"DIASOL", "DIANOSOL")</f>
        <v>DIANOSOL</v>
      </c>
      <c r="Q804" s="63" t="s">
        <v>911</v>
      </c>
      <c r="R804" s="63" t="str">
        <f>VLOOKUP($Q804,Resultados!$A$1:$B$49,2,FALSE)</f>
        <v>Prision domiciliaria</v>
      </c>
      <c r="S804" s="63" t="s">
        <v>3111</v>
      </c>
      <c r="T804" s="81" t="str">
        <f>IF(G804=$J$1,"SI","NO")</f>
        <v>NO</v>
      </c>
      <c r="U804" s="81"/>
      <c r="V804" s="7" t="str">
        <f ca="1">IF(color_Celda(E804)=12106214,"ROSA",IF(color_Celda(E804)=65535,"AMARILLO",IF(color_Celda(E804)=5296274,"VERDE",IF(color_Celda(E804)=16777215,"BLANCO","NO SE"))))</f>
        <v>ROSA</v>
      </c>
      <c r="W804" s="63" t="s">
        <v>1796</v>
      </c>
      <c r="X804" s="366" t="s">
        <v>3661</v>
      </c>
      <c r="Y804" s="63"/>
      <c r="Z804" s="118" t="s">
        <v>748</v>
      </c>
      <c r="AA804" s="118" t="s">
        <v>3378</v>
      </c>
      <c r="AB804" s="118" t="s">
        <v>3258</v>
      </c>
      <c r="AC804" s="328"/>
    </row>
    <row r="805" spans="1:29" ht="60" customHeight="1">
      <c r="A805" s="63">
        <v>711</v>
      </c>
      <c r="B805" s="65">
        <v>45196</v>
      </c>
      <c r="C805" s="70">
        <v>0.48819444444444443</v>
      </c>
      <c r="D805" s="63" t="s">
        <v>2995</v>
      </c>
      <c r="E805" s="64" t="s">
        <v>3089</v>
      </c>
      <c r="F805" s="63">
        <v>1</v>
      </c>
      <c r="G805" s="63" t="s">
        <v>2815</v>
      </c>
      <c r="H805" s="208">
        <v>45229</v>
      </c>
      <c r="I805" s="65" t="s">
        <v>77</v>
      </c>
      <c r="J805" s="65" t="s">
        <v>33</v>
      </c>
      <c r="K805" s="63">
        <f>IFERROR(VLOOKUP(J805,Jueces!$A$1:$B$11,2,FALSE),"")</f>
        <v>4</v>
      </c>
      <c r="L805" s="63" t="s">
        <v>809</v>
      </c>
      <c r="M805" s="63" t="s">
        <v>1175</v>
      </c>
      <c r="N805" s="63" t="s">
        <v>3659</v>
      </c>
      <c r="O805" s="78" t="str">
        <f ca="1">IF(H805&lt;&gt;"",IF(H805&lt;=TODAY(),"SI","NO"),"LIMBO")</f>
        <v>SI</v>
      </c>
      <c r="P805" s="78" t="str">
        <f>IF($P$1=H805,"DIASOL", "DIANOSOL")</f>
        <v>DIANOSOL</v>
      </c>
      <c r="Q805" s="63" t="s">
        <v>902</v>
      </c>
      <c r="R805" s="63" t="str">
        <f>VLOOKUP($Q805,Resultados!$A$1:$B$49,2,FALSE)</f>
        <v>Juicio Abreviado</v>
      </c>
      <c r="S805" s="70">
        <v>0.48055555555555557</v>
      </c>
      <c r="T805" s="81" t="str">
        <f>IF(G805=$J$1,"SI","NO")</f>
        <v>NO</v>
      </c>
      <c r="U805" s="81"/>
      <c r="V805" s="7" t="str">
        <f ca="1">IF(color_Celda(E805)=12106214,"ROSA",IF(color_Celda(E805)=65535,"AMARILLO",IF(color_Celda(E805)=5296274,"VERDE",IF(color_Celda(E805)=16777215,"BLANCO","NO SE"))))</f>
        <v>ROSA</v>
      </c>
      <c r="W805" s="63" t="s">
        <v>3658</v>
      </c>
      <c r="X805" s="259" t="s">
        <v>3660</v>
      </c>
      <c r="Y805" s="63"/>
      <c r="Z805" s="304" t="s">
        <v>2843</v>
      </c>
      <c r="AA805" s="118" t="s">
        <v>1165</v>
      </c>
      <c r="AB805" s="118" t="s">
        <v>1171</v>
      </c>
      <c r="AC805" s="328"/>
    </row>
    <row r="806" spans="1:29" ht="60" customHeight="1">
      <c r="A806" s="63">
        <v>801</v>
      </c>
      <c r="B806" s="65">
        <v>45210</v>
      </c>
      <c r="C806" s="70">
        <v>0.3659722222222222</v>
      </c>
      <c r="D806" s="63" t="s">
        <v>3347</v>
      </c>
      <c r="E806" s="64" t="s">
        <v>3348</v>
      </c>
      <c r="F806" s="63">
        <v>1</v>
      </c>
      <c r="G806" s="63" t="s">
        <v>3324</v>
      </c>
      <c r="H806" s="208">
        <v>45230</v>
      </c>
      <c r="I806" s="65" t="s">
        <v>73</v>
      </c>
      <c r="J806" s="65" t="s">
        <v>2922</v>
      </c>
      <c r="K806" s="63" t="s">
        <v>1916</v>
      </c>
      <c r="L806" s="63" t="s">
        <v>2412</v>
      </c>
      <c r="M806" s="63" t="s">
        <v>3349</v>
      </c>
      <c r="N806" s="63" t="s">
        <v>1744</v>
      </c>
      <c r="O806" s="78" t="str">
        <f ca="1">IF(H806&lt;&gt;"",IF(H806&lt;=TODAY(),"SI","NO"),"LIMBO")</f>
        <v>SI</v>
      </c>
      <c r="P806" s="78" t="str">
        <f>IF($P$1=H806,"DIASOL", "DIANOSOL")</f>
        <v>DIANOSOL</v>
      </c>
      <c r="Q806" s="63" t="s">
        <v>151</v>
      </c>
      <c r="R806" s="63" t="str">
        <f>VLOOKUP($Q806,Resultados!$A$1:$B$49,2,FALSE)</f>
        <v>Prisión Preventiva</v>
      </c>
      <c r="S806" s="63" t="s">
        <v>759</v>
      </c>
      <c r="T806" s="81" t="str">
        <f>IF(G806=$J$1,"SI","NO")</f>
        <v>NO</v>
      </c>
      <c r="U806" s="81"/>
      <c r="V806" s="7" t="str">
        <f ca="1">IF(color_Celda(E806)=12106214,"ROSA",IF(color_Celda(E806)=65535,"AMARILLO",IF(color_Celda(E806)=5296274,"VERDE",IF(color_Celda(E806)=16777215,"BLANCO","NO SE"))))</f>
        <v>ROSA</v>
      </c>
      <c r="W806" s="63" t="s">
        <v>1387</v>
      </c>
      <c r="X806" s="63" t="s">
        <v>3672</v>
      </c>
      <c r="Y806" s="63"/>
      <c r="Z806" s="118" t="s">
        <v>1039</v>
      </c>
      <c r="AA806" s="118" t="s">
        <v>2869</v>
      </c>
      <c r="AB806" s="118" t="s">
        <v>1173</v>
      </c>
      <c r="AC806" s="328"/>
    </row>
    <row r="807" spans="1:29" ht="60" customHeight="1">
      <c r="A807" s="63">
        <v>806</v>
      </c>
      <c r="B807" s="65">
        <v>45211</v>
      </c>
      <c r="C807" s="70">
        <v>0.53472222222222221</v>
      </c>
      <c r="D807" s="325" t="s">
        <v>3370</v>
      </c>
      <c r="E807" s="64" t="s">
        <v>3655</v>
      </c>
      <c r="F807" s="63">
        <v>2</v>
      </c>
      <c r="G807" s="63" t="s">
        <v>2815</v>
      </c>
      <c r="H807" s="208">
        <v>45230</v>
      </c>
      <c r="I807" s="65" t="s">
        <v>73</v>
      </c>
      <c r="J807" s="65" t="s">
        <v>31</v>
      </c>
      <c r="K807" s="63">
        <v>2</v>
      </c>
      <c r="L807" s="63" t="s">
        <v>797</v>
      </c>
      <c r="M807" s="63" t="s">
        <v>711</v>
      </c>
      <c r="N807" s="63" t="s">
        <v>1744</v>
      </c>
      <c r="O807" s="78" t="str">
        <f ca="1">IF(H807&lt;&gt;"",IF(H807&lt;=TODAY(),"SI","NO"),"LIMBO")</f>
        <v>SI</v>
      </c>
      <c r="P807" s="78" t="str">
        <f>IF($P$1=H807,"DIASOL", "DIANOSOL")</f>
        <v>DIANOSOL</v>
      </c>
      <c r="Q807" s="63" t="s">
        <v>151</v>
      </c>
      <c r="R807" s="63" t="str">
        <f>VLOOKUP($Q807,Resultados!$A$1:$B$49,2,FALSE)</f>
        <v>Prisión Preventiva</v>
      </c>
      <c r="S807" s="63" t="s">
        <v>1336</v>
      </c>
      <c r="T807" s="81" t="str">
        <f>IF(G807=$J$1,"SI","NO")</f>
        <v>NO</v>
      </c>
      <c r="U807" s="81"/>
      <c r="V807" s="7" t="str">
        <f ca="1">IF(color_Celda(E807)=12106214,"ROSA",IF(color_Celda(E807)=65535,"AMARILLO",IF(color_Celda(E807)=5296274,"VERDE",IF(color_Celda(E807)=16777215,"BLANCO","NO SE"))))</f>
        <v>ROSA</v>
      </c>
      <c r="W807" s="63" t="s">
        <v>76</v>
      </c>
      <c r="X807" s="63" t="s">
        <v>1757</v>
      </c>
      <c r="Y807" s="63"/>
      <c r="Z807" s="118" t="s">
        <v>770</v>
      </c>
      <c r="AA807" s="118" t="s">
        <v>3379</v>
      </c>
      <c r="AB807" s="118" t="s">
        <v>1170</v>
      </c>
      <c r="AC807" s="328" t="s">
        <v>1792</v>
      </c>
    </row>
    <row r="808" spans="1:29" ht="60" customHeight="1">
      <c r="A808" s="63">
        <v>811</v>
      </c>
      <c r="B808" s="65">
        <v>45216</v>
      </c>
      <c r="C808" s="70">
        <v>0.40763888888888888</v>
      </c>
      <c r="D808" s="63" t="s">
        <v>3395</v>
      </c>
      <c r="E808" s="64" t="s">
        <v>3396</v>
      </c>
      <c r="F808" s="63">
        <v>2</v>
      </c>
      <c r="G808" s="63" t="s">
        <v>2766</v>
      </c>
      <c r="H808" s="208">
        <v>45230</v>
      </c>
      <c r="I808" s="65" t="s">
        <v>73</v>
      </c>
      <c r="J808" s="65" t="s">
        <v>78</v>
      </c>
      <c r="K808" s="63">
        <f>IFERROR(VLOOKUP(J808,Jueces!$A$1:$B$11,2,FALSE),"")</f>
        <v>8</v>
      </c>
      <c r="L808" s="63" t="s">
        <v>791</v>
      </c>
      <c r="M808" s="63" t="s">
        <v>692</v>
      </c>
      <c r="N808" s="63" t="s">
        <v>3673</v>
      </c>
      <c r="O808" s="78" t="str">
        <f ca="1">IF(H808&lt;&gt;"",IF(H808&lt;=TODAY(),"SI","NO"),"LIMBO")</f>
        <v>SI</v>
      </c>
      <c r="P808" s="78" t="str">
        <f>IF($P$1=H808,"DIASOL", "DIANOSOL")</f>
        <v>DIANOSOL</v>
      </c>
      <c r="Q808" s="63" t="s">
        <v>902</v>
      </c>
      <c r="R808" s="63" t="str">
        <f>VLOOKUP($Q808,Resultados!$A$1:$B$49,2,FALSE)</f>
        <v>Juicio Abreviado</v>
      </c>
      <c r="S808" s="63" t="s">
        <v>1125</v>
      </c>
      <c r="T808" s="81" t="str">
        <f>IF(G808=$J$1,"SI","NO")</f>
        <v>NO</v>
      </c>
      <c r="U808" s="81"/>
      <c r="V808" s="7" t="str">
        <f ca="1">IF(color_Celda(E808)=12106214,"ROSA",IF(color_Celda(E808)=65535,"AMARILLO",IF(color_Celda(E808)=5296274,"VERDE",IF(color_Celda(E808)=16777215,"BLANCO","NO SE"))))</f>
        <v>ROSA</v>
      </c>
      <c r="W808" s="63" t="s">
        <v>1134</v>
      </c>
      <c r="X808" s="63" t="s">
        <v>1757</v>
      </c>
      <c r="Y808" s="63"/>
      <c r="Z808" s="118" t="s">
        <v>748</v>
      </c>
      <c r="AA808" s="118" t="s">
        <v>1167</v>
      </c>
      <c r="AB808" s="118" t="s">
        <v>1169</v>
      </c>
      <c r="AC808" s="328"/>
    </row>
    <row r="809" spans="1:29" ht="60" customHeight="1">
      <c r="A809" s="63">
        <v>753</v>
      </c>
      <c r="B809" s="65">
        <v>45226</v>
      </c>
      <c r="C809" s="70">
        <v>0.33333333333333331</v>
      </c>
      <c r="D809" s="325" t="s">
        <v>2875</v>
      </c>
      <c r="E809" s="64" t="s">
        <v>2876</v>
      </c>
      <c r="F809" s="63">
        <v>1</v>
      </c>
      <c r="G809" s="63" t="s">
        <v>2752</v>
      </c>
      <c r="H809" s="208">
        <v>45230</v>
      </c>
      <c r="I809" s="65" t="s">
        <v>73</v>
      </c>
      <c r="J809" s="65" t="s">
        <v>33</v>
      </c>
      <c r="K809" s="63">
        <f>IFERROR(VLOOKUP(J809,Jueces!$A$1:$B$11,2,FALSE),"")</f>
        <v>4</v>
      </c>
      <c r="L809" s="63" t="s">
        <v>802</v>
      </c>
      <c r="M809" s="63" t="s">
        <v>1378</v>
      </c>
      <c r="N809" s="63" t="s">
        <v>1744</v>
      </c>
      <c r="O809" s="78" t="str">
        <f ca="1">IF(H809&lt;&gt;"",IF(H809&lt;=TODAY(),"SI","NO"),"LIMBO")</f>
        <v>SI</v>
      </c>
      <c r="P809" s="78" t="str">
        <f>IF($P$1=H809,"DIASOL", "DIANOSOL")</f>
        <v>DIANOSOL</v>
      </c>
      <c r="Q809" s="63" t="s">
        <v>151</v>
      </c>
      <c r="R809" s="63" t="str">
        <f>VLOOKUP($Q809,Resultados!$A$1:$B$49,2,FALSE)</f>
        <v>Prisión Preventiva</v>
      </c>
      <c r="S809" s="63" t="s">
        <v>3097</v>
      </c>
      <c r="T809" s="81" t="str">
        <f>IF(G809=$J$1,"SI","NO")</f>
        <v>NO</v>
      </c>
      <c r="U809" s="81"/>
      <c r="V809" s="7" t="str">
        <f ca="1">IF(color_Celda(E809)=12106214,"ROSA",IF(color_Celda(E809)=65535,"AMARILLO",IF(color_Celda(E809)=5296274,"VERDE",IF(color_Celda(E809)=16777215,"BLANCO","NO SE"))))</f>
        <v>ROSA</v>
      </c>
      <c r="W809" s="63" t="s">
        <v>1579</v>
      </c>
      <c r="X809" s="63" t="s">
        <v>1757</v>
      </c>
      <c r="Y809" s="63"/>
      <c r="Z809" s="118" t="s">
        <v>3368</v>
      </c>
      <c r="AA809" s="118" t="s">
        <v>1167</v>
      </c>
      <c r="AB809" s="118" t="s">
        <v>3322</v>
      </c>
      <c r="AC809" s="328" t="s">
        <v>1792</v>
      </c>
    </row>
    <row r="810" spans="1:29" ht="60" customHeight="1">
      <c r="A810" s="63">
        <v>778</v>
      </c>
      <c r="B810" s="65">
        <v>45209</v>
      </c>
      <c r="C810" s="63" t="s">
        <v>1189</v>
      </c>
      <c r="D810" s="63" t="s">
        <v>3267</v>
      </c>
      <c r="E810" s="64" t="s">
        <v>3405</v>
      </c>
      <c r="F810" s="63">
        <v>1</v>
      </c>
      <c r="G810" s="63" t="s">
        <v>1434</v>
      </c>
      <c r="H810" s="208">
        <v>45230</v>
      </c>
      <c r="I810" s="65" t="s">
        <v>1083</v>
      </c>
      <c r="J810" s="65" t="s">
        <v>78</v>
      </c>
      <c r="K810" s="63">
        <f>IFERROR(VLOOKUP(J810,Jueces!$A$1:$B$11,2,FALSE),"")</f>
        <v>8</v>
      </c>
      <c r="L810" s="63" t="s">
        <v>809</v>
      </c>
      <c r="M810" s="63" t="s">
        <v>1175</v>
      </c>
      <c r="N810" s="63" t="s">
        <v>3689</v>
      </c>
      <c r="O810" s="63" t="str">
        <f ca="1">IF(H810&lt;&gt;"",IF(H810&lt;=TODAY(),"SI","NO"),"LIMBO")</f>
        <v>SI</v>
      </c>
      <c r="P810" s="63" t="str">
        <f>IF($P$1=H810,"DIASOL", "DIANOSOL")</f>
        <v>DIANOSOL</v>
      </c>
      <c r="Q810" s="63" t="s">
        <v>910</v>
      </c>
      <c r="R810" s="63" t="str">
        <f>VLOOKUP($Q810,Resultados!$A$1:$B$49,2,FALSE)</f>
        <v>Suspendida</v>
      </c>
      <c r="S810" s="63" t="s">
        <v>1530</v>
      </c>
      <c r="T810" s="72" t="str">
        <f>IF(G810=$J$1,"SI","NO")</f>
        <v>NO</v>
      </c>
      <c r="U810" s="72"/>
      <c r="V810" s="7" t="str">
        <f ca="1">IF(color_Celda(E810)=12106214,"ROSA",IF(color_Celda(E810)=65535,"AMARILLO",IF(color_Celda(E810)=5296274,"VERDE",IF(color_Celda(E810)=16777215,"BLANCO","NO SE"))))</f>
        <v>ROSA</v>
      </c>
      <c r="W810" s="63" t="s">
        <v>2935</v>
      </c>
      <c r="X810" s="63"/>
      <c r="Y810" s="63"/>
      <c r="Z810" s="118" t="s">
        <v>748</v>
      </c>
      <c r="AA810" s="118" t="s">
        <v>2828</v>
      </c>
      <c r="AB810" s="118" t="s">
        <v>3258</v>
      </c>
      <c r="AC810" s="328"/>
    </row>
    <row r="811" spans="1:29" ht="60" customHeight="1">
      <c r="A811" s="63">
        <v>858</v>
      </c>
      <c r="B811" s="65">
        <v>45223</v>
      </c>
      <c r="C811" s="70">
        <v>0.33333333333333331</v>
      </c>
      <c r="D811" s="63" t="s">
        <v>3124</v>
      </c>
      <c r="E811" s="64" t="s">
        <v>3125</v>
      </c>
      <c r="F811" s="63">
        <v>8</v>
      </c>
      <c r="G811" s="63" t="s">
        <v>1433</v>
      </c>
      <c r="H811" s="208">
        <v>45230</v>
      </c>
      <c r="I811" s="65" t="s">
        <v>1083</v>
      </c>
      <c r="J811" s="65" t="s">
        <v>31</v>
      </c>
      <c r="K811" s="63">
        <v>2</v>
      </c>
      <c r="L811" s="63" t="s">
        <v>2988</v>
      </c>
      <c r="M811" s="63" t="s">
        <v>711</v>
      </c>
      <c r="N811" s="63" t="s">
        <v>3674</v>
      </c>
      <c r="O811" s="78" t="str">
        <f ca="1">IF(H811&lt;&gt;"",IF(H811&lt;=TODAY(),"SI","NO"),"LIMBO")</f>
        <v>SI</v>
      </c>
      <c r="P811" s="78" t="str">
        <f>IF($P$1=H811,"DIASOL", "DIANOSOL")</f>
        <v>DIANOSOL</v>
      </c>
      <c r="Q811" s="63" t="s">
        <v>903</v>
      </c>
      <c r="R811" s="63" t="str">
        <f>VLOOKUP($Q811,Resultados!$A$1:$B$49,2,FALSE)</f>
        <v>Juicio Abreviado</v>
      </c>
      <c r="S811" s="63" t="s">
        <v>1031</v>
      </c>
      <c r="T811" s="81" t="str">
        <f>IF(G811=$J$1,"SI","NO")</f>
        <v>NO</v>
      </c>
      <c r="U811" s="81"/>
      <c r="V811" s="7" t="str">
        <f ca="1">IF(color_Celda(E811)=12106214,"ROSA",IF(color_Celda(E811)=65535,"AMARILLO",IF(color_Celda(E811)=5296274,"VERDE",IF(color_Celda(E811)=16777215,"BLANCO","NO SE"))))</f>
        <v>ROSA</v>
      </c>
      <c r="W811" s="63" t="s">
        <v>2878</v>
      </c>
      <c r="X811" s="63" t="s">
        <v>3675</v>
      </c>
      <c r="Y811" s="63"/>
      <c r="Z811" s="118" t="s">
        <v>770</v>
      </c>
      <c r="AA811" s="118" t="s">
        <v>2828</v>
      </c>
      <c r="AB811" s="118" t="s">
        <v>3322</v>
      </c>
      <c r="AC811" s="328"/>
    </row>
    <row r="812" spans="1:29" ht="60" customHeight="1">
      <c r="A812" s="63">
        <v>818</v>
      </c>
      <c r="B812" s="65">
        <v>45226</v>
      </c>
      <c r="C812" s="70">
        <v>0.3520833333333333</v>
      </c>
      <c r="D812" s="63" t="s">
        <v>3413</v>
      </c>
      <c r="E812" s="64" t="s">
        <v>3654</v>
      </c>
      <c r="F812" s="63">
        <v>2</v>
      </c>
      <c r="G812" s="63" t="s">
        <v>3323</v>
      </c>
      <c r="H812" s="208">
        <v>45230</v>
      </c>
      <c r="I812" s="65" t="s">
        <v>1083</v>
      </c>
      <c r="J812" s="65" t="s">
        <v>1216</v>
      </c>
      <c r="K812" s="63">
        <f>IFERROR(VLOOKUP(J812,Jueces!$A$1:$B$11,2,FALSE),"")</f>
        <v>1</v>
      </c>
      <c r="L812" s="63" t="s">
        <v>797</v>
      </c>
      <c r="M812" s="63" t="s">
        <v>692</v>
      </c>
      <c r="N812" s="63" t="s">
        <v>3687</v>
      </c>
      <c r="O812" s="63" t="str">
        <f ca="1">IF(H812&lt;&gt;"",IF(H812&lt;=TODAY(),"SI","NO"),"LIMBO")</f>
        <v>SI</v>
      </c>
      <c r="P812" s="63" t="str">
        <f>IF($P$1=H812,"DIASOL", "DIANOSOL")</f>
        <v>DIANOSOL</v>
      </c>
      <c r="Q812" s="63" t="s">
        <v>897</v>
      </c>
      <c r="R812" s="63" t="str">
        <f>VLOOKUP($Q812,Resultados!$A$1:$B$49,2,FALSE)</f>
        <v>Libertad</v>
      </c>
      <c r="S812" s="70">
        <v>0.42291666666666666</v>
      </c>
      <c r="T812" s="72" t="str">
        <f>IF(G812=$J$1,"SI","NO")</f>
        <v>NO</v>
      </c>
      <c r="U812" s="72"/>
      <c r="V812" s="7" t="str">
        <f ca="1">IF(color_Celda(E812)=12106214,"ROSA",IF(color_Celda(E812)=65535,"AMARILLO",IF(color_Celda(E812)=5296274,"VERDE",IF(color_Celda(E812)=16777215,"BLANCO","NO SE"))))</f>
        <v>ROSA</v>
      </c>
      <c r="W812" s="70">
        <v>0.44236111111111115</v>
      </c>
      <c r="X812" s="63"/>
      <c r="Y812" s="63"/>
      <c r="Z812" s="118" t="s">
        <v>3368</v>
      </c>
      <c r="AA812" s="118" t="s">
        <v>2869</v>
      </c>
      <c r="AB812" s="118" t="s">
        <v>1171</v>
      </c>
      <c r="AC812" s="328"/>
    </row>
    <row r="813" spans="1:29" ht="60" customHeight="1">
      <c r="A813" s="63">
        <v>825</v>
      </c>
      <c r="B813" s="65">
        <v>45217</v>
      </c>
      <c r="C813" s="70">
        <v>0.35000000000000003</v>
      </c>
      <c r="D813" s="63" t="s">
        <v>3422</v>
      </c>
      <c r="E813" s="64" t="s">
        <v>3423</v>
      </c>
      <c r="F813" s="63">
        <v>1</v>
      </c>
      <c r="G813" s="63" t="s">
        <v>2815</v>
      </c>
      <c r="H813" s="208">
        <v>45230</v>
      </c>
      <c r="I813" s="65" t="s">
        <v>1206</v>
      </c>
      <c r="J813" s="65" t="s">
        <v>31</v>
      </c>
      <c r="K813" s="63" t="s">
        <v>1512</v>
      </c>
      <c r="L813" s="63" t="s">
        <v>807</v>
      </c>
      <c r="M813" s="63" t="s">
        <v>712</v>
      </c>
      <c r="N813" s="63" t="s">
        <v>3686</v>
      </c>
      <c r="O813" s="63" t="str">
        <f ca="1">IF(H813&lt;&gt;"",IF(H813&lt;=TODAY(),"SI","NO"),"LIMBO")</f>
        <v>SI</v>
      </c>
      <c r="P813" s="63" t="str">
        <f>IF($P$1=H813,"DIASOL", "DIANOSOL")</f>
        <v>DIANOSOL</v>
      </c>
      <c r="Q813" s="63" t="s">
        <v>903</v>
      </c>
      <c r="R813" s="63" t="str">
        <f>VLOOKUP($Q813,Resultados!$A$1:$B$49,2,FALSE)</f>
        <v>Juicio Abreviado</v>
      </c>
      <c r="S813" s="63" t="s">
        <v>3684</v>
      </c>
      <c r="T813" s="72" t="str">
        <f>IF(G813=$J$1,"SI","NO")</f>
        <v>NO</v>
      </c>
      <c r="U813" s="72"/>
      <c r="V813" s="7" t="str">
        <f ca="1">IF(color_Celda(E813)=12106214,"ROSA",IF(color_Celda(E813)=65535,"AMARILLO",IF(color_Celda(E813)=5296274,"VERDE",IF(color_Celda(E813)=16777215,"BLANCO","NO SE"))))</f>
        <v>ROSA</v>
      </c>
      <c r="W813" s="63" t="s">
        <v>3685</v>
      </c>
      <c r="X813" s="63"/>
      <c r="Y813" s="63"/>
      <c r="Z813" s="118" t="s">
        <v>770</v>
      </c>
      <c r="AA813" s="118" t="s">
        <v>2828</v>
      </c>
      <c r="AB813" s="118" t="s">
        <v>1173</v>
      </c>
      <c r="AC813" s="328"/>
    </row>
    <row r="814" spans="1:29" ht="60" customHeight="1">
      <c r="A814" s="63">
        <v>832</v>
      </c>
      <c r="B814" s="65">
        <v>45218</v>
      </c>
      <c r="C814" s="70">
        <v>0.47013888888888888</v>
      </c>
      <c r="D814" s="63" t="s">
        <v>3451</v>
      </c>
      <c r="E814" s="64" t="s">
        <v>3452</v>
      </c>
      <c r="F814" s="63">
        <v>3</v>
      </c>
      <c r="G814" s="63" t="s">
        <v>568</v>
      </c>
      <c r="H814" s="208">
        <v>45230</v>
      </c>
      <c r="I814" s="65" t="s">
        <v>1206</v>
      </c>
      <c r="J814" s="65" t="s">
        <v>1216</v>
      </c>
      <c r="K814" s="63">
        <f>IFERROR(VLOOKUP(J814,Jueces!$A$1:$B$11,2,FALSE),"")</f>
        <v>1</v>
      </c>
      <c r="L814" s="63" t="s">
        <v>810</v>
      </c>
      <c r="M814" s="63" t="s">
        <v>694</v>
      </c>
      <c r="N814" s="205" t="s">
        <v>3683</v>
      </c>
      <c r="O814" s="63" t="str">
        <f ca="1">IF(H814&lt;&gt;"",IF(H814&lt;=TODAY(),"SI","NO"),"LIMBO")</f>
        <v>SI</v>
      </c>
      <c r="P814" s="63" t="str">
        <f>IF($P$1=H814,"DIASOL", "DIANOSOL")</f>
        <v>DIANOSOL</v>
      </c>
      <c r="Q814" s="63" t="s">
        <v>903</v>
      </c>
      <c r="R814" s="63" t="str">
        <f>VLOOKUP($Q814,Resultados!$A$1:$B$49,2,FALSE)</f>
        <v>Juicio Abreviado</v>
      </c>
      <c r="S814" s="63" t="s">
        <v>3682</v>
      </c>
      <c r="T814" s="72" t="str">
        <f>IF(G814=$J$1,"SI","NO")</f>
        <v>NO</v>
      </c>
      <c r="U814" s="72"/>
      <c r="V814" s="7" t="str">
        <f ca="1">IF(color_Celda(E814)=12106214,"ROSA",IF(color_Celda(E814)=65535,"AMARILLO",IF(color_Celda(E814)=5296274,"VERDE",IF(color_Celda(E814)=16777215,"BLANCO","NO SE"))))</f>
        <v>ROSA</v>
      </c>
      <c r="W814" s="63" t="s">
        <v>3309</v>
      </c>
      <c r="X814" s="63" t="s">
        <v>3675</v>
      </c>
      <c r="Y814" s="63"/>
      <c r="Z814" s="118" t="s">
        <v>1038</v>
      </c>
      <c r="AA814" s="118" t="s">
        <v>3379</v>
      </c>
      <c r="AB814" s="118" t="s">
        <v>1170</v>
      </c>
      <c r="AC814" s="328"/>
    </row>
    <row r="815" spans="1:29" ht="60" customHeight="1">
      <c r="A815" s="63">
        <v>752</v>
      </c>
      <c r="B815" s="65">
        <v>45202</v>
      </c>
      <c r="C815" s="70">
        <v>0.33333333333333331</v>
      </c>
      <c r="D815" s="63" t="s">
        <v>2942</v>
      </c>
      <c r="E815" s="64" t="s">
        <v>3136</v>
      </c>
      <c r="F815" s="63">
        <v>6</v>
      </c>
      <c r="G815" s="63" t="s">
        <v>2753</v>
      </c>
      <c r="H815" s="208">
        <v>45231</v>
      </c>
      <c r="I815" s="65" t="s">
        <v>73</v>
      </c>
      <c r="J815" s="65" t="s">
        <v>1723</v>
      </c>
      <c r="K815" s="63" t="s">
        <v>1916</v>
      </c>
      <c r="L815" s="63" t="s">
        <v>791</v>
      </c>
      <c r="M815" s="63" t="s">
        <v>694</v>
      </c>
      <c r="N815" s="63" t="s">
        <v>3702</v>
      </c>
      <c r="O815" s="78" t="str">
        <f ca="1">IF(H815&lt;&gt;"",IF(H815&lt;=TODAY(),"SI","NO"),"LIMBO")</f>
        <v>SI</v>
      </c>
      <c r="P815" s="78" t="str">
        <f>IF($P$1=H815,"DIASOL", "DIANOSOL")</f>
        <v>DIANOSOL</v>
      </c>
      <c r="Q815" s="63" t="s">
        <v>903</v>
      </c>
      <c r="R815" s="63" t="str">
        <f>VLOOKUP($Q815,Resultados!$A$1:$B$49,2,FALSE)</f>
        <v>Juicio Abreviado</v>
      </c>
      <c r="S815" s="63" t="s">
        <v>679</v>
      </c>
      <c r="T815" s="81" t="str">
        <f>IF(G815=$J$1,"SI","NO")</f>
        <v>NO</v>
      </c>
      <c r="U815" s="81"/>
      <c r="V815" s="7" t="str">
        <f ca="1">IF(color_Celda(E815)=12106214,"ROSA",IF(color_Celda(E815)=65535,"AMARILLO",IF(color_Celda(E815)=5296274,"VERDE",IF(color_Celda(E815)=16777215,"BLANCO","NO SE"))))</f>
        <v>ROSA</v>
      </c>
      <c r="W815" s="63" t="s">
        <v>2047</v>
      </c>
      <c r="X815" s="366" t="s">
        <v>3703</v>
      </c>
      <c r="Y815" s="63"/>
      <c r="Z815" s="304" t="s">
        <v>2843</v>
      </c>
      <c r="AA815" s="118" t="s">
        <v>3378</v>
      </c>
      <c r="AB815" s="304" t="s">
        <v>1169</v>
      </c>
      <c r="AC815" s="328"/>
    </row>
    <row r="816" spans="1:29" ht="60" customHeight="1">
      <c r="A816" s="63">
        <v>812</v>
      </c>
      <c r="B816" s="65">
        <v>45216</v>
      </c>
      <c r="C816" s="70">
        <v>0.4069444444444445</v>
      </c>
      <c r="D816" s="63" t="s">
        <v>3397</v>
      </c>
      <c r="E816" s="64" t="s">
        <v>3398</v>
      </c>
      <c r="F816" s="63">
        <v>2</v>
      </c>
      <c r="G816" s="63" t="s">
        <v>1434</v>
      </c>
      <c r="H816" s="208">
        <v>45231</v>
      </c>
      <c r="I816" s="65" t="s">
        <v>73</v>
      </c>
      <c r="J816" s="65" t="s">
        <v>78</v>
      </c>
      <c r="K816" s="63">
        <f>IFERROR(VLOOKUP(J816,Jueces!$A$1:$B$11,2,FALSE),"")</f>
        <v>8</v>
      </c>
      <c r="L816" s="63" t="s">
        <v>805</v>
      </c>
      <c r="M816" s="63" t="s">
        <v>1285</v>
      </c>
      <c r="N816" s="205" t="s">
        <v>3699</v>
      </c>
      <c r="O816" s="78" t="str">
        <f ca="1">IF(H816&lt;&gt;"",IF(H816&lt;=TODAY(),"SI","NO"),"LIMBO")</f>
        <v>SI</v>
      </c>
      <c r="P816" s="78" t="str">
        <f>IF($P$1=H816,"DIASOL", "DIANOSOL")</f>
        <v>DIANOSOL</v>
      </c>
      <c r="Q816" s="63" t="s">
        <v>902</v>
      </c>
      <c r="R816" s="63" t="str">
        <f>VLOOKUP($Q816,Resultados!$A$1:$B$49,2,FALSE)</f>
        <v>Juicio Abreviado</v>
      </c>
      <c r="S816" s="63" t="s">
        <v>1233</v>
      </c>
      <c r="T816" s="81" t="str">
        <f>IF(G816=$J$1,"SI","NO")</f>
        <v>NO</v>
      </c>
      <c r="U816" s="81"/>
      <c r="V816" s="7" t="str">
        <f ca="1">IF(color_Celda(E816)=12106214,"ROSA",IF(color_Celda(E816)=65535,"AMARILLO",IF(color_Celda(E816)=5296274,"VERDE",IF(color_Celda(E816)=16777215,"BLANCO","NO SE"))))</f>
        <v>ROSA</v>
      </c>
      <c r="W816" s="63" t="s">
        <v>1016</v>
      </c>
      <c r="X816" s="40" t="s">
        <v>3700</v>
      </c>
      <c r="Y816" s="63"/>
      <c r="Z816" s="304" t="s">
        <v>3368</v>
      </c>
      <c r="AA816" s="118" t="s">
        <v>3378</v>
      </c>
      <c r="AB816" s="304" t="s">
        <v>3258</v>
      </c>
      <c r="AC816" s="328"/>
    </row>
    <row r="817" spans="1:29" ht="60" customHeight="1">
      <c r="A817" s="63">
        <v>815</v>
      </c>
      <c r="B817" s="65">
        <v>45216</v>
      </c>
      <c r="C817" s="70">
        <v>0.40208333333333335</v>
      </c>
      <c r="D817" s="63" t="s">
        <v>3403</v>
      </c>
      <c r="E817" s="64" t="s">
        <v>3404</v>
      </c>
      <c r="F817" s="63">
        <v>1</v>
      </c>
      <c r="G817" s="63" t="s">
        <v>568</v>
      </c>
      <c r="H817" s="208">
        <v>45231</v>
      </c>
      <c r="I817" s="65" t="s">
        <v>73</v>
      </c>
      <c r="J817" s="65" t="s">
        <v>31</v>
      </c>
      <c r="K817" s="63" t="s">
        <v>1512</v>
      </c>
      <c r="L817" s="63" t="s">
        <v>2092</v>
      </c>
      <c r="M817" s="63" t="s">
        <v>711</v>
      </c>
      <c r="N817" s="63" t="s">
        <v>1847</v>
      </c>
      <c r="O817" s="78" t="str">
        <f ca="1">IF(H817&lt;&gt;"",IF(H817&lt;=TODAY(),"SI","NO"),"LIMBO")</f>
        <v>SI</v>
      </c>
      <c r="P817" s="78" t="str">
        <f>IF($P$1=H817,"DIASOL", "DIANOSOL")</f>
        <v>DIANOSOL</v>
      </c>
      <c r="Q817" s="63" t="s">
        <v>897</v>
      </c>
      <c r="R817" s="63" t="str">
        <f>VLOOKUP($Q817,Resultados!$A$1:$B$49,2,FALSE)</f>
        <v>Libertad</v>
      </c>
      <c r="S817" s="63" t="s">
        <v>1421</v>
      </c>
      <c r="T817" s="81" t="str">
        <f>IF(G817=$J$1,"SI","NO")</f>
        <v>NO</v>
      </c>
      <c r="U817" s="81"/>
      <c r="V817" s="7" t="str">
        <f ca="1">IF(color_Celda(E817)=12106214,"ROSA",IF(color_Celda(E817)=65535,"AMARILLO",IF(color_Celda(E817)=5296274,"VERDE",IF(color_Celda(E817)=16777215,"BLANCO","NO SE"))))</f>
        <v>ROSA</v>
      </c>
      <c r="W817" s="63" t="s">
        <v>1230</v>
      </c>
      <c r="X817" s="63" t="s">
        <v>3701</v>
      </c>
      <c r="Y817" s="63"/>
      <c r="Z817" s="304" t="s">
        <v>1038</v>
      </c>
      <c r="AA817" s="118" t="s">
        <v>3379</v>
      </c>
      <c r="AB817" s="304" t="s">
        <v>1171</v>
      </c>
      <c r="AC817" s="328"/>
    </row>
    <row r="818" spans="1:29" ht="60" customHeight="1">
      <c r="A818" s="63">
        <v>846</v>
      </c>
      <c r="B818" s="65">
        <v>45222</v>
      </c>
      <c r="C818" s="70">
        <v>0.42083333333333334</v>
      </c>
      <c r="D818" s="63" t="s">
        <v>3503</v>
      </c>
      <c r="E818" s="64" t="s">
        <v>3504</v>
      </c>
      <c r="F818" s="63">
        <v>2</v>
      </c>
      <c r="G818" s="63" t="s">
        <v>2766</v>
      </c>
      <c r="H818" s="208">
        <v>45231</v>
      </c>
      <c r="I818" s="65" t="s">
        <v>73</v>
      </c>
      <c r="J818" s="65" t="s">
        <v>35</v>
      </c>
      <c r="K818" s="63">
        <f>IFERROR(VLOOKUP(J818,Jueces!$A$1:$B$11,2,FALSE),"")</f>
        <v>3</v>
      </c>
      <c r="L818" s="63" t="s">
        <v>807</v>
      </c>
      <c r="M818" s="63" t="s">
        <v>693</v>
      </c>
      <c r="N818" s="63" t="s">
        <v>510</v>
      </c>
      <c r="O818" s="78" t="str">
        <f ca="1">IF(H818&lt;&gt;"",IF(H818&lt;=TODAY(),"SI","NO"),"LIMBO")</f>
        <v>SI</v>
      </c>
      <c r="P818" s="78" t="str">
        <f>IF($P$1=H818,"DIASOL", "DIANOSOL")</f>
        <v>DIANOSOL</v>
      </c>
      <c r="Q818" s="63" t="s">
        <v>897</v>
      </c>
      <c r="R818" s="63" t="str">
        <f>VLOOKUP($Q818,Resultados!$A$1:$B$49,2,FALSE)</f>
        <v>Libertad</v>
      </c>
      <c r="S818" s="70">
        <v>0.34583333333333338</v>
      </c>
      <c r="T818" s="81" t="str">
        <f>IF(G818=$J$1,"SI","NO")</f>
        <v>NO</v>
      </c>
      <c r="U818" s="81"/>
      <c r="V818" s="7" t="str">
        <f ca="1">IF(color_Celda(E818)=12106214,"ROSA",IF(color_Celda(E818)=65535,"AMARILLO",IF(color_Celda(E818)=5296274,"VERDE",IF(color_Celda(E818)=16777215,"BLANCO","NO SE"))))</f>
        <v>ROSA</v>
      </c>
      <c r="W818" s="63" t="s">
        <v>679</v>
      </c>
      <c r="X818" s="63"/>
      <c r="Y818" s="63"/>
      <c r="Z818" s="304" t="s">
        <v>1039</v>
      </c>
      <c r="AA818" s="118" t="s">
        <v>1167</v>
      </c>
      <c r="AB818" s="304" t="s">
        <v>3322</v>
      </c>
      <c r="AC818" s="328"/>
    </row>
    <row r="819" spans="1:29" ht="60" customHeight="1">
      <c r="A819" s="63">
        <v>792</v>
      </c>
      <c r="B819" s="65">
        <v>45211</v>
      </c>
      <c r="C819" s="70">
        <v>0.33333333333333331</v>
      </c>
      <c r="D819" s="63" t="s">
        <v>3328</v>
      </c>
      <c r="E819" s="64" t="s">
        <v>3329</v>
      </c>
      <c r="F819" s="63">
        <v>1</v>
      </c>
      <c r="G819" s="63" t="s">
        <v>3323</v>
      </c>
      <c r="H819" s="208">
        <v>45231</v>
      </c>
      <c r="I819" s="65" t="s">
        <v>749</v>
      </c>
      <c r="J819" s="65" t="s">
        <v>1221</v>
      </c>
      <c r="K819" s="63">
        <f>IFERROR(VLOOKUP(J819,Jueces!$A$1:$B$11,2,FALSE),"")</f>
        <v>6</v>
      </c>
      <c r="L819" s="63" t="s">
        <v>827</v>
      </c>
      <c r="M819" s="63" t="s">
        <v>3704</v>
      </c>
      <c r="N819" s="63" t="s">
        <v>3705</v>
      </c>
      <c r="O819" s="78" t="str">
        <f ca="1">IF(H819&lt;&gt;"",IF(H819&lt;=TODAY(),"SI","NO"),"LIMBO")</f>
        <v>SI</v>
      </c>
      <c r="P819" s="78" t="str">
        <f>IF($P$1=H819,"DIASOL", "DIANOSOL")</f>
        <v>DIANOSOL</v>
      </c>
      <c r="Q819" s="63" t="s">
        <v>897</v>
      </c>
      <c r="R819" s="63" t="str">
        <f>VLOOKUP($Q819,Resultados!$A$1:$B$49,2,FALSE)</f>
        <v>Libertad</v>
      </c>
      <c r="S819" s="63" t="s">
        <v>1061</v>
      </c>
      <c r="T819" s="81" t="str">
        <f>IF(G819=$J$1,"SI","NO")</f>
        <v>NO</v>
      </c>
      <c r="U819" s="81"/>
      <c r="V819" s="7" t="str">
        <f ca="1">IF(color_Celda(E819)=12106214,"ROSA",IF(color_Celda(E819)=65535,"AMARILLO",IF(color_Celda(E819)=5296274,"VERDE",IF(color_Celda(E819)=16777215,"BLANCO","NO SE"))))</f>
        <v>ROSA</v>
      </c>
      <c r="W819" s="63" t="s">
        <v>1231</v>
      </c>
      <c r="X819" s="63"/>
      <c r="Y819" s="63"/>
      <c r="Z819" s="304" t="s">
        <v>743</v>
      </c>
      <c r="AA819" s="118" t="s">
        <v>2869</v>
      </c>
      <c r="AB819" s="304" t="s">
        <v>1173</v>
      </c>
      <c r="AC819" s="328"/>
    </row>
    <row r="820" spans="1:29" ht="60" customHeight="1">
      <c r="A820" s="63">
        <v>848</v>
      </c>
      <c r="B820" s="65">
        <v>45222</v>
      </c>
      <c r="C820" s="70">
        <v>0.42152777777777778</v>
      </c>
      <c r="D820" s="63" t="s">
        <v>3506</v>
      </c>
      <c r="E820" s="64" t="s">
        <v>3507</v>
      </c>
      <c r="F820" s="63">
        <v>2</v>
      </c>
      <c r="G820" s="63" t="s">
        <v>1435</v>
      </c>
      <c r="H820" s="208">
        <v>45231</v>
      </c>
      <c r="I820" s="65" t="s">
        <v>1083</v>
      </c>
      <c r="J820" s="65" t="s">
        <v>78</v>
      </c>
      <c r="K820" s="63">
        <f>IFERROR(VLOOKUP(J820,Jueces!$A$1:$B$11,2,FALSE),"")</f>
        <v>8</v>
      </c>
      <c r="L820" s="63" t="s">
        <v>798</v>
      </c>
      <c r="M820" s="63" t="s">
        <v>693</v>
      </c>
      <c r="N820" s="63" t="s">
        <v>3737</v>
      </c>
      <c r="O820" s="78" t="str">
        <f ca="1">IF(H820&lt;&gt;"",IF(H820&lt;=TODAY(),"SI","NO"),"LIMBO")</f>
        <v>SI</v>
      </c>
      <c r="P820" s="78" t="str">
        <f>IF($P$1=H820,"DIASOL", "DIANOSOL")</f>
        <v>DIANOSOL</v>
      </c>
      <c r="Q820" s="63" t="s">
        <v>902</v>
      </c>
      <c r="R820" s="63" t="str">
        <f>VLOOKUP($Q820,Resultados!$A$1:$B$49,2,FALSE)</f>
        <v>Juicio Abreviado</v>
      </c>
      <c r="S820" s="63" t="s">
        <v>1501</v>
      </c>
      <c r="T820" s="81" t="str">
        <f>IF(G820=$J$1,"SI","NO")</f>
        <v>SI</v>
      </c>
      <c r="U820" s="81"/>
      <c r="V820" s="7" t="str">
        <f ca="1">IF(color_Celda(E820)=12106214,"ROSA",IF(color_Celda(E820)=65535,"AMARILLO",IF(color_Celda(E820)=5296274,"VERDE",IF(color_Celda(E820)=16777215,"BLANCO","NO SE"))))</f>
        <v>ROSA</v>
      </c>
      <c r="W820" s="63" t="s">
        <v>1502</v>
      </c>
      <c r="X820" s="63" t="s">
        <v>3665</v>
      </c>
      <c r="Y820" s="63"/>
      <c r="Z820" s="304" t="s">
        <v>3368</v>
      </c>
      <c r="AA820" s="118" t="s">
        <v>3379</v>
      </c>
      <c r="AB820" s="304" t="s">
        <v>1170</v>
      </c>
      <c r="AC820" s="328"/>
    </row>
    <row r="821" spans="1:29" ht="60" customHeight="1">
      <c r="A821" s="63">
        <v>828</v>
      </c>
      <c r="B821" s="65">
        <v>45218</v>
      </c>
      <c r="C821" s="70">
        <v>0.34375</v>
      </c>
      <c r="D821" s="63" t="s">
        <v>3469</v>
      </c>
      <c r="E821" s="64" t="s">
        <v>3442</v>
      </c>
      <c r="F821" s="63">
        <v>2</v>
      </c>
      <c r="G821" s="63" t="s">
        <v>283</v>
      </c>
      <c r="H821" s="208">
        <v>45231</v>
      </c>
      <c r="I821" s="65" t="s">
        <v>1206</v>
      </c>
      <c r="J821" s="65" t="s">
        <v>1217</v>
      </c>
      <c r="K821" s="63" t="s">
        <v>2285</v>
      </c>
      <c r="L821" s="63" t="s">
        <v>809</v>
      </c>
      <c r="M821" s="63" t="s">
        <v>693</v>
      </c>
      <c r="N821" s="63" t="s">
        <v>3735</v>
      </c>
      <c r="O821" s="78" t="str">
        <f ca="1">IF(H821&lt;&gt;"",IF(H821&lt;=TODAY(),"SI","NO"),"LIMBO")</f>
        <v>SI</v>
      </c>
      <c r="P821" s="78" t="str">
        <f>IF($P$1=H821,"DIASOL", "DIANOSOL")</f>
        <v>DIANOSOL</v>
      </c>
      <c r="Q821" s="63" t="s">
        <v>902</v>
      </c>
      <c r="R821" s="63" t="str">
        <f>VLOOKUP($Q821,Resultados!$A$1:$B$49,2,FALSE)</f>
        <v>Juicio Abreviado</v>
      </c>
      <c r="S821" s="63" t="s">
        <v>3733</v>
      </c>
      <c r="T821" s="81" t="str">
        <f>IF(G821=$J$1,"SI","NO")</f>
        <v>NO</v>
      </c>
      <c r="U821" s="81"/>
      <c r="V821" s="7" t="str">
        <f ca="1">IF(color_Celda(E821)=12106214,"ROSA",IF(color_Celda(E821)=65535,"AMARILLO",IF(color_Celda(E821)=5296274,"VERDE",IF(color_Celda(E821)=16777215,"BLANCO","NO SE"))))</f>
        <v>ROSA</v>
      </c>
      <c r="W821" s="63" t="s">
        <v>3171</v>
      </c>
      <c r="X821" s="366" t="s">
        <v>3736</v>
      </c>
      <c r="Y821" s="63"/>
      <c r="Z821" s="304" t="s">
        <v>770</v>
      </c>
      <c r="AA821" s="118" t="s">
        <v>2828</v>
      </c>
      <c r="AB821" s="304" t="s">
        <v>1169</v>
      </c>
      <c r="AC821" s="328"/>
    </row>
    <row r="822" spans="1:29" ht="60" customHeight="1">
      <c r="A822" s="63">
        <v>824</v>
      </c>
      <c r="B822" s="65">
        <v>45217</v>
      </c>
      <c r="C822" s="70">
        <v>0.4861111111111111</v>
      </c>
      <c r="D822" s="63" t="s">
        <v>3421</v>
      </c>
      <c r="E822" s="64" t="s">
        <v>3677</v>
      </c>
      <c r="F822" s="63">
        <v>8</v>
      </c>
      <c r="G822" s="63" t="s">
        <v>2752</v>
      </c>
      <c r="H822" s="208">
        <v>45231</v>
      </c>
      <c r="I822" s="65" t="s">
        <v>3171</v>
      </c>
      <c r="J822" s="65" t="s">
        <v>1216</v>
      </c>
      <c r="K822" s="63" t="s">
        <v>1916</v>
      </c>
      <c r="L822" s="63" t="s">
        <v>3638</v>
      </c>
      <c r="M822" s="63" t="s">
        <v>3443</v>
      </c>
      <c r="N822" s="63" t="s">
        <v>3734</v>
      </c>
      <c r="O822" s="78" t="str">
        <f ca="1">IF(H822&lt;&gt;"",IF(H822&lt;=TODAY(),"SI","NO"),"LIMBO")</f>
        <v>SI</v>
      </c>
      <c r="P822" s="78" t="str">
        <f>IF($P$1=H822,"DIASOL", "DIANOSOL")</f>
        <v>DIANOSOL</v>
      </c>
      <c r="Q822" s="63" t="s">
        <v>903</v>
      </c>
      <c r="R822" s="63" t="str">
        <f>VLOOKUP($Q822,Resultados!$A$1:$B$49,2,FALSE)</f>
        <v>Juicio Abreviado</v>
      </c>
      <c r="S822" s="63" t="s">
        <v>3629</v>
      </c>
      <c r="T822" s="81" t="str">
        <f>IF(G822=$J$1,"SI","NO")</f>
        <v>NO</v>
      </c>
      <c r="U822" s="81"/>
      <c r="V822" s="7" t="str">
        <f ca="1">IF(color_Celda(E822)=12106214,"ROSA",IF(color_Celda(E822)=65535,"AMARILLO",IF(color_Celda(E822)=5296274,"VERDE",IF(color_Celda(E822)=16777215,"BLANCO","NO SE"))))</f>
        <v>ROSA</v>
      </c>
      <c r="W822" s="63" t="s">
        <v>3236</v>
      </c>
      <c r="X822" s="63"/>
      <c r="Y822" s="63"/>
      <c r="Z822" s="304" t="s">
        <v>3368</v>
      </c>
      <c r="AA822" s="118" t="s">
        <v>2869</v>
      </c>
      <c r="AB822" s="304" t="s">
        <v>3258</v>
      </c>
      <c r="AC822" s="328"/>
    </row>
    <row r="823" spans="1:29" ht="60" customHeight="1">
      <c r="A823" s="63">
        <v>823</v>
      </c>
      <c r="B823" s="65">
        <v>45229</v>
      </c>
      <c r="C823" s="70">
        <v>0.48402777777777778</v>
      </c>
      <c r="D823" s="63" t="s">
        <v>3419</v>
      </c>
      <c r="E823" s="64" t="s">
        <v>3420</v>
      </c>
      <c r="F823" s="63">
        <v>1</v>
      </c>
      <c r="G823" s="63" t="s">
        <v>3324</v>
      </c>
      <c r="H823" s="208">
        <v>45231</v>
      </c>
      <c r="I823" s="65" t="s">
        <v>77</v>
      </c>
      <c r="J823" s="65" t="s">
        <v>1217</v>
      </c>
      <c r="K823" s="63" t="s">
        <v>2285</v>
      </c>
      <c r="L823" s="63" t="s">
        <v>810</v>
      </c>
      <c r="M823" s="335" t="s">
        <v>783</v>
      </c>
      <c r="N823" s="63" t="s">
        <v>3731</v>
      </c>
      <c r="O823" s="78" t="str">
        <f ca="1">IF(H823&lt;&gt;"",IF(H823&lt;=TODAY(),"SI","NO"),"LIMBO")</f>
        <v>SI</v>
      </c>
      <c r="P823" s="78" t="str">
        <f>IF($P$1=H823,"DIASOL", "DIANOSOL")</f>
        <v>DIANOSOL</v>
      </c>
      <c r="Q823" s="63" t="s">
        <v>151</v>
      </c>
      <c r="R823" s="63" t="str">
        <f>VLOOKUP($Q823,Resultados!$A$1:$B$49,2,FALSE)</f>
        <v>Prisión Preventiva</v>
      </c>
      <c r="S823" s="70">
        <v>0.47916666666666669</v>
      </c>
      <c r="T823" s="81" t="str">
        <f>IF(G823=$J$1,"SI","NO")</f>
        <v>NO</v>
      </c>
      <c r="U823" s="81"/>
      <c r="V823" s="7" t="str">
        <f ca="1">IF(color_Celda(E823)=12106214,"ROSA",IF(color_Celda(E823)=65535,"AMARILLO",IF(color_Celda(E823)=5296274,"VERDE",IF(color_Celda(E823)=16777215,"BLANCO","NO SE"))))</f>
        <v>ROSA</v>
      </c>
      <c r="W823" s="63" t="s">
        <v>228</v>
      </c>
      <c r="X823" s="63" t="s">
        <v>1746</v>
      </c>
      <c r="Y823" s="63"/>
      <c r="Z823" s="304" t="s">
        <v>770</v>
      </c>
      <c r="AA823" s="118" t="s">
        <v>2828</v>
      </c>
      <c r="AB823" s="304" t="s">
        <v>1171</v>
      </c>
      <c r="AC823" s="328"/>
    </row>
    <row r="824" spans="1:29" ht="60" customHeight="1">
      <c r="A824" s="63">
        <v>885</v>
      </c>
      <c r="B824" s="65">
        <v>45229</v>
      </c>
      <c r="C824" s="70">
        <v>0.33333333333333331</v>
      </c>
      <c r="D824" s="325" t="s">
        <v>1441</v>
      </c>
      <c r="E824" s="64" t="s">
        <v>1444</v>
      </c>
      <c r="F824" s="63">
        <v>2</v>
      </c>
      <c r="G824" s="63" t="s">
        <v>43</v>
      </c>
      <c r="H824" s="208">
        <v>45231</v>
      </c>
      <c r="I824" s="65" t="s">
        <v>77</v>
      </c>
      <c r="J824" s="65" t="s">
        <v>1216</v>
      </c>
      <c r="K824" s="63">
        <f>IFERROR(VLOOKUP(J824,Jueces!$A$1:$B$11,2,FALSE),"")</f>
        <v>1</v>
      </c>
      <c r="L824" s="63" t="s">
        <v>800</v>
      </c>
      <c r="M824" s="63" t="s">
        <v>692</v>
      </c>
      <c r="N824" s="63" t="s">
        <v>3732</v>
      </c>
      <c r="O824" s="78" t="str">
        <f ca="1">IF(H824&lt;&gt;"",IF(H824&lt;=TODAY(),"SI","NO"),"LIMBO")</f>
        <v>SI</v>
      </c>
      <c r="P824" s="78" t="str">
        <f>IF($P$1=H824,"DIASOL", "DIANOSOL")</f>
        <v>DIANOSOL</v>
      </c>
      <c r="Q824" s="63" t="s">
        <v>903</v>
      </c>
      <c r="R824" s="63" t="str">
        <f>VLOOKUP($Q824,Resultados!$A$1:$B$49,2,FALSE)</f>
        <v>Juicio Abreviado</v>
      </c>
      <c r="S824" s="63" t="s">
        <v>1124</v>
      </c>
      <c r="T824" s="81" t="str">
        <f>IF(G824=$J$1,"SI","NO")</f>
        <v>NO</v>
      </c>
      <c r="U824" s="81"/>
      <c r="V824" s="7" t="str">
        <f ca="1">IF(color_Celda(E824)=12106214,"ROSA",IF(color_Celda(E824)=65535,"AMARILLO",IF(color_Celda(E824)=5296274,"VERDE",IF(color_Celda(E824)=16777215,"BLANCO","NO SE"))))</f>
        <v>ROSA</v>
      </c>
      <c r="W824" s="63" t="s">
        <v>1777</v>
      </c>
      <c r="X824" s="63"/>
      <c r="Y824" s="63"/>
      <c r="Z824" s="304" t="s">
        <v>2843</v>
      </c>
      <c r="AA824" s="118" t="s">
        <v>2869</v>
      </c>
      <c r="AB824" s="304" t="s">
        <v>3322</v>
      </c>
      <c r="AC824" s="328" t="s">
        <v>1792</v>
      </c>
    </row>
    <row r="825" spans="1:29" ht="60" customHeight="1">
      <c r="A825" s="63">
        <v>813</v>
      </c>
      <c r="B825" s="65">
        <v>45216</v>
      </c>
      <c r="C825" s="70">
        <v>0.40625</v>
      </c>
      <c r="D825" s="63" t="s">
        <v>3399</v>
      </c>
      <c r="E825" s="64" t="s">
        <v>3400</v>
      </c>
      <c r="F825" s="63">
        <v>2</v>
      </c>
      <c r="G825" s="63" t="s">
        <v>1434</v>
      </c>
      <c r="H825" s="208">
        <v>45232</v>
      </c>
      <c r="I825" s="65" t="s">
        <v>73</v>
      </c>
      <c r="J825" s="65" t="s">
        <v>2922</v>
      </c>
      <c r="K825" s="63" t="s">
        <v>1512</v>
      </c>
      <c r="L825" s="63" t="s">
        <v>808</v>
      </c>
      <c r="M825" s="63" t="s">
        <v>692</v>
      </c>
      <c r="N825" s="63" t="s">
        <v>3769</v>
      </c>
      <c r="O825" s="78" t="str">
        <f ca="1">IF(H825&lt;&gt;"",IF(H825&lt;=TODAY(),"SI","NO"),"LIMBO")</f>
        <v>SI</v>
      </c>
      <c r="P825" s="78" t="str">
        <f>IF($P$1=H825,"DIASOL", "DIANOSOL")</f>
        <v>DIANOSOL</v>
      </c>
      <c r="Q825" s="63" t="s">
        <v>903</v>
      </c>
      <c r="R825" s="63" t="str">
        <f>VLOOKUP($Q825,Resultados!$A$1:$B$49,2,FALSE)</f>
        <v>Juicio Abreviado</v>
      </c>
      <c r="S825" s="63" t="s">
        <v>1012</v>
      </c>
      <c r="T825" s="81" t="str">
        <f>IF(G825=$J$1,"SI","NO")</f>
        <v>NO</v>
      </c>
      <c r="U825" s="81"/>
      <c r="V825" s="7" t="str">
        <f ca="1">IF(color_Celda(E825)=12106214,"ROSA",IF(color_Celda(E825)=65535,"AMARILLO",IF(color_Celda(E825)=5296274,"VERDE",IF(color_Celda(E825)=16777215,"BLANCO","NO SE"))))</f>
        <v>ROSA</v>
      </c>
      <c r="W825" s="63" t="s">
        <v>2047</v>
      </c>
      <c r="X825" s="63"/>
      <c r="Y825" s="63"/>
      <c r="Z825" s="327" t="s">
        <v>3368</v>
      </c>
      <c r="AA825" s="327" t="s">
        <v>2828</v>
      </c>
      <c r="AB825" s="327" t="s">
        <v>1173</v>
      </c>
      <c r="AC825" s="328"/>
    </row>
    <row r="826" spans="1:29" ht="60" customHeight="1">
      <c r="A826" s="63">
        <v>841</v>
      </c>
      <c r="B826" s="65">
        <v>45222</v>
      </c>
      <c r="C826" s="70">
        <v>0.4236111111111111</v>
      </c>
      <c r="D826" s="63" t="s">
        <v>3493</v>
      </c>
      <c r="E826" s="64" t="s">
        <v>3494</v>
      </c>
      <c r="F826" s="63">
        <v>3</v>
      </c>
      <c r="G826" s="63" t="s">
        <v>568</v>
      </c>
      <c r="H826" s="208">
        <v>45232</v>
      </c>
      <c r="I826" s="65" t="s">
        <v>73</v>
      </c>
      <c r="J826" s="65" t="s">
        <v>35</v>
      </c>
      <c r="K826" s="63">
        <f>IFERROR(VLOOKUP(J826,Jueces!$A$1:$B$11,2,FALSE),"")</f>
        <v>3</v>
      </c>
      <c r="L826" s="63" t="s">
        <v>809</v>
      </c>
      <c r="M826" s="63" t="s">
        <v>694</v>
      </c>
      <c r="N826" s="366" t="s">
        <v>3773</v>
      </c>
      <c r="O826" s="78" t="str">
        <f ca="1">IF(H826&lt;&gt;"",IF(H826&lt;=TODAY(),"SI","NO"),"LIMBO")</f>
        <v>SI</v>
      </c>
      <c r="P826" s="78" t="str">
        <f>IF($P$1=H826,"DIASOL", "DIANOSOL")</f>
        <v>DIANOSOL</v>
      </c>
      <c r="Q826" s="63" t="s">
        <v>902</v>
      </c>
      <c r="R826" s="63" t="str">
        <f>VLOOKUP($Q826,Resultados!$A$1:$B$49,2,FALSE)</f>
        <v>Juicio Abreviado</v>
      </c>
      <c r="S826" s="63" t="s">
        <v>2689</v>
      </c>
      <c r="T826" s="81" t="str">
        <f>IF(G826=$J$1,"SI","NO")</f>
        <v>NO</v>
      </c>
      <c r="U826" s="81"/>
      <c r="V826" s="7" t="str">
        <f ca="1">IF(color_Celda(E826)=12106214,"ROSA",IF(color_Celda(E826)=65535,"AMARILLO",IF(color_Celda(E826)=5296274,"VERDE",IF(color_Celda(E826)=16777215,"BLANCO","NO SE"))))</f>
        <v>ROSA</v>
      </c>
      <c r="W826" s="63" t="s">
        <v>1604</v>
      </c>
      <c r="X826" s="259" t="s">
        <v>3774</v>
      </c>
      <c r="Y826" s="63"/>
      <c r="Z826" s="327" t="s">
        <v>743</v>
      </c>
      <c r="AA826" s="327" t="s">
        <v>1167</v>
      </c>
      <c r="AB826" s="327" t="s">
        <v>1170</v>
      </c>
      <c r="AC826" s="328"/>
    </row>
    <row r="827" spans="1:29" ht="60" customHeight="1">
      <c r="A827" s="63">
        <v>838</v>
      </c>
      <c r="B827" s="65">
        <v>45219</v>
      </c>
      <c r="C827" s="63" t="s">
        <v>1013</v>
      </c>
      <c r="D827" s="63" t="s">
        <v>3473</v>
      </c>
      <c r="E827" s="64" t="s">
        <v>3474</v>
      </c>
      <c r="F827" s="63">
        <v>2</v>
      </c>
      <c r="G827" s="63" t="s">
        <v>1433</v>
      </c>
      <c r="H827" s="208">
        <v>45232</v>
      </c>
      <c r="I827" s="65" t="s">
        <v>1083</v>
      </c>
      <c r="J827" s="65" t="s">
        <v>31</v>
      </c>
      <c r="K827" s="63">
        <f>IFERROR(VLOOKUP(J827,Jueces!$A$1:$B$11,2,FALSE),"")</f>
        <v>2</v>
      </c>
      <c r="L827" s="63" t="s">
        <v>1693</v>
      </c>
      <c r="M827" s="63" t="s">
        <v>692</v>
      </c>
      <c r="N827" s="63" t="s">
        <v>3771</v>
      </c>
      <c r="O827" s="78" t="str">
        <f ca="1">IF(H827&lt;&gt;"",IF(H827&lt;=TODAY(),"SI","NO"),"LIMBO")</f>
        <v>SI</v>
      </c>
      <c r="P827" s="78" t="str">
        <f>IF($P$1=H827,"DIASOL", "DIANOSOL")</f>
        <v>DIANOSOL</v>
      </c>
      <c r="Q827" s="63" t="s">
        <v>151</v>
      </c>
      <c r="R827" s="63" t="str">
        <f>VLOOKUP($Q827,Resultados!$A$1:$B$49,2,FALSE)</f>
        <v>Prisión Preventiva</v>
      </c>
      <c r="S827" s="63" t="s">
        <v>1384</v>
      </c>
      <c r="T827" s="81" t="str">
        <f>IF(G827=$J$1,"SI","NO")</f>
        <v>NO</v>
      </c>
      <c r="U827" s="81"/>
      <c r="V827" s="7" t="str">
        <f ca="1">IF(color_Celda(E827)=12106214,"ROSA",IF(color_Celda(E827)=65535,"AMARILLO",IF(color_Celda(E827)=5296274,"VERDE",IF(color_Celda(E827)=16777215,"BLANCO","NO SE"))))</f>
        <v>ROSA</v>
      </c>
      <c r="W827" s="63" t="s">
        <v>1294</v>
      </c>
      <c r="X827" s="63" t="s">
        <v>3665</v>
      </c>
      <c r="Y827" s="63"/>
      <c r="Z827" s="327" t="s">
        <v>3368</v>
      </c>
      <c r="AA827" s="327" t="s">
        <v>3379</v>
      </c>
      <c r="AB827" s="327" t="s">
        <v>1169</v>
      </c>
      <c r="AC827" s="328"/>
    </row>
    <row r="828" spans="1:29" ht="60" customHeight="1">
      <c r="A828" s="63">
        <v>845</v>
      </c>
      <c r="B828" s="65">
        <v>45222</v>
      </c>
      <c r="C828" s="70">
        <v>0.42083333333333334</v>
      </c>
      <c r="D828" s="63" t="s">
        <v>3501</v>
      </c>
      <c r="E828" s="64" t="s">
        <v>3502</v>
      </c>
      <c r="F828" s="63">
        <v>2</v>
      </c>
      <c r="G828" s="63" t="s">
        <v>1435</v>
      </c>
      <c r="H828" s="208">
        <v>45232</v>
      </c>
      <c r="I828" s="65" t="s">
        <v>1083</v>
      </c>
      <c r="J828" s="65" t="s">
        <v>1221</v>
      </c>
      <c r="K828" s="63">
        <f>IFERROR(VLOOKUP(J828,Jueces!$A$1:$B$11,2,FALSE),"")</f>
        <v>6</v>
      </c>
      <c r="L828" s="63" t="s">
        <v>809</v>
      </c>
      <c r="M828" s="63" t="s">
        <v>693</v>
      </c>
      <c r="N828" s="63" t="s">
        <v>3772</v>
      </c>
      <c r="O828" s="78" t="str">
        <f ca="1">IF(H828&lt;&gt;"",IF(H828&lt;=TODAY(),"SI","NO"),"LIMBO")</f>
        <v>SI</v>
      </c>
      <c r="P828" s="78" t="str">
        <f>IF($P$1=H828,"DIASOL", "DIANOSOL")</f>
        <v>DIANOSOL</v>
      </c>
      <c r="Q828" s="63" t="s">
        <v>897</v>
      </c>
      <c r="R828" s="63" t="str">
        <f>VLOOKUP($Q828,Resultados!$A$1:$B$49,2,FALSE)</f>
        <v>Libertad</v>
      </c>
      <c r="S828" s="63" t="s">
        <v>1233</v>
      </c>
      <c r="T828" s="81" t="str">
        <f>IF(G828=$J$1,"SI","NO")</f>
        <v>SI</v>
      </c>
      <c r="U828" s="81"/>
      <c r="V828" s="7" t="str">
        <f ca="1">IF(color_Celda(E828)=12106214,"ROSA",IF(color_Celda(E828)=65535,"AMARILLO",IF(color_Celda(E828)=5296274,"VERDE",IF(color_Celda(E828)=16777215,"BLANCO","NO SE"))))</f>
        <v>ROSA</v>
      </c>
      <c r="W828" s="63" t="s">
        <v>1450</v>
      </c>
      <c r="X828" s="63"/>
      <c r="Y828" s="63"/>
      <c r="Z828" s="327" t="s">
        <v>748</v>
      </c>
      <c r="AA828" s="327" t="s">
        <v>3378</v>
      </c>
      <c r="AB828" s="327" t="s">
        <v>3258</v>
      </c>
      <c r="AC828" s="328"/>
    </row>
    <row r="829" spans="1:29" ht="60" customHeight="1">
      <c r="A829" s="63">
        <v>847</v>
      </c>
      <c r="B829" s="65">
        <v>45222</v>
      </c>
      <c r="C829" s="70">
        <v>0.42152777777777778</v>
      </c>
      <c r="D829" s="63" t="s">
        <v>3505</v>
      </c>
      <c r="E829" s="64" t="s">
        <v>3678</v>
      </c>
      <c r="F829" s="63">
        <v>2</v>
      </c>
      <c r="G829" s="63" t="s">
        <v>2815</v>
      </c>
      <c r="H829" s="208">
        <v>45232</v>
      </c>
      <c r="I829" s="65" t="s">
        <v>1083</v>
      </c>
      <c r="J829" s="65" t="s">
        <v>78</v>
      </c>
      <c r="K829" s="63">
        <f>IFERROR(VLOOKUP(J829,Jueces!$A$1:$B$11,2,FALSE),"")</f>
        <v>8</v>
      </c>
      <c r="L829" s="63" t="s">
        <v>791</v>
      </c>
      <c r="M829" s="63" t="s">
        <v>2672</v>
      </c>
      <c r="N829" s="63" t="s">
        <v>3770</v>
      </c>
      <c r="O829" s="78" t="str">
        <f ca="1">IF(H829&lt;&gt;"",IF(H829&lt;=TODAY(),"SI","NO"),"LIMBO")</f>
        <v>SI</v>
      </c>
      <c r="P829" s="78" t="str">
        <f>IF($P$1=H829,"DIASOL", "DIANOSOL")</f>
        <v>DIANOSOL</v>
      </c>
      <c r="Q829" s="63" t="s">
        <v>151</v>
      </c>
      <c r="R829" s="63" t="str">
        <f>VLOOKUP($Q829,Resultados!$A$1:$B$49,2,FALSE)</f>
        <v>Prisión Preventiva</v>
      </c>
      <c r="S829" s="63" t="s">
        <v>1601</v>
      </c>
      <c r="T829" s="81" t="str">
        <f>IF(G829=$J$1,"SI","NO")</f>
        <v>NO</v>
      </c>
      <c r="U829" s="81"/>
      <c r="V829" s="7" t="str">
        <f ca="1">IF(color_Celda(E829)=12106214,"ROSA",IF(color_Celda(E829)=65535,"AMARILLO",IF(color_Celda(E829)=5296274,"VERDE",IF(color_Celda(E829)=16777215,"BLANCO","NO SE"))))</f>
        <v>ROSA</v>
      </c>
      <c r="W829" s="63" t="s">
        <v>1248</v>
      </c>
      <c r="X829" s="63" t="s">
        <v>1746</v>
      </c>
      <c r="Y829" s="63"/>
      <c r="Z829" s="327" t="s">
        <v>770</v>
      </c>
      <c r="AA829" s="327" t="s">
        <v>1167</v>
      </c>
      <c r="AB829" s="327" t="s">
        <v>1171</v>
      </c>
      <c r="AC829" s="336"/>
    </row>
    <row r="830" spans="1:29" ht="60" customHeight="1">
      <c r="A830" s="63">
        <v>829</v>
      </c>
      <c r="B830" s="65">
        <v>45218</v>
      </c>
      <c r="C830" s="70">
        <v>0.41597222222222219</v>
      </c>
      <c r="D830" s="63" t="s">
        <v>2287</v>
      </c>
      <c r="E830" s="64" t="s">
        <v>3444</v>
      </c>
      <c r="F830" s="63">
        <v>6</v>
      </c>
      <c r="G830" s="63" t="s">
        <v>283</v>
      </c>
      <c r="H830" s="208">
        <v>45232</v>
      </c>
      <c r="I830" s="65" t="s">
        <v>3171</v>
      </c>
      <c r="J830" s="65" t="s">
        <v>1217</v>
      </c>
      <c r="K830" s="63" t="s">
        <v>1916</v>
      </c>
      <c r="L830" s="63" t="s">
        <v>809</v>
      </c>
      <c r="M830" s="63" t="s">
        <v>2107</v>
      </c>
      <c r="N830" s="63" t="s">
        <v>3767</v>
      </c>
      <c r="O830" s="78" t="str">
        <f ca="1">IF(H830&lt;&gt;"",IF(H830&lt;=TODAY(),"SI","NO"),"LIMBO")</f>
        <v>SI</v>
      </c>
      <c r="P830" s="78" t="str">
        <f>IF($P$1=H830,"DIASOL", "DIANOSOL")</f>
        <v>DIANOSOL</v>
      </c>
      <c r="Q830" s="63" t="s">
        <v>900</v>
      </c>
      <c r="R830" s="63" t="str">
        <f>VLOOKUP($Q830,Resultados!$A$1:$B$49,2,FALSE)</f>
        <v>Libertad</v>
      </c>
      <c r="S830" s="63" t="s">
        <v>3766</v>
      </c>
      <c r="T830" s="81" t="str">
        <f>IF(G830=$J$1,"SI","NO")</f>
        <v>NO</v>
      </c>
      <c r="U830" s="81"/>
      <c r="V830" s="7" t="str">
        <f ca="1">IF(color_Celda(E830)=12106214,"ROSA",IF(color_Celda(E830)=65535,"AMARILLO",IF(color_Celda(E830)=5296274,"VERDE",IF(color_Celda(E830)=16777215,"BLANCO","NO SE"))))</f>
        <v>ROSA</v>
      </c>
      <c r="W830" s="63" t="s">
        <v>3626</v>
      </c>
      <c r="X830" s="63" t="s">
        <v>3768</v>
      </c>
      <c r="Y830" s="63"/>
      <c r="Z830" s="327" t="s">
        <v>3321</v>
      </c>
      <c r="AA830" s="327" t="s">
        <v>2869</v>
      </c>
      <c r="AB830" s="327" t="s">
        <v>3322</v>
      </c>
      <c r="AC830" s="336"/>
    </row>
    <row r="831" spans="1:29" ht="60" customHeight="1">
      <c r="A831" s="63">
        <v>822</v>
      </c>
      <c r="B831" s="65">
        <v>45217</v>
      </c>
      <c r="C831" s="70">
        <v>0.48333333333333334</v>
      </c>
      <c r="D831" s="63" t="s">
        <v>3418</v>
      </c>
      <c r="E831" s="64" t="s">
        <v>3454</v>
      </c>
      <c r="F831" s="63">
        <v>3</v>
      </c>
      <c r="G831" s="63" t="s">
        <v>2766</v>
      </c>
      <c r="H831" s="208">
        <v>45232</v>
      </c>
      <c r="I831" s="65" t="s">
        <v>987</v>
      </c>
      <c r="J831" s="65" t="s">
        <v>1216</v>
      </c>
      <c r="K831" s="63">
        <v>8</v>
      </c>
      <c r="L831" s="63" t="s">
        <v>807</v>
      </c>
      <c r="M831" s="63" t="s">
        <v>694</v>
      </c>
      <c r="N831" s="63" t="s">
        <v>3765</v>
      </c>
      <c r="O831" s="78" t="str">
        <f ca="1">IF(H831&lt;&gt;"",IF(H831&lt;=TODAY(),"SI","NO"),"LIMBO")</f>
        <v>SI</v>
      </c>
      <c r="P831" s="78" t="str">
        <f>IF($P$1=H831,"DIASOL", "DIANOSOL")</f>
        <v>DIANOSOL</v>
      </c>
      <c r="Q831" s="63" t="s">
        <v>902</v>
      </c>
      <c r="R831" s="63" t="str">
        <f>VLOOKUP($Q831,Resultados!$A$1:$B$49,2,FALSE)</f>
        <v>Juicio Abreviado</v>
      </c>
      <c r="S831" s="63" t="s">
        <v>3764</v>
      </c>
      <c r="T831" s="81" t="str">
        <f>IF(G831=$J$1,"SI","NO")</f>
        <v>NO</v>
      </c>
      <c r="U831" s="81"/>
      <c r="V831" s="7" t="str">
        <f ca="1">IF(color_Celda(E831)=12106214,"ROSA",IF(color_Celda(E831)=65535,"AMARILLO",IF(color_Celda(E831)=5296274,"VERDE",IF(color_Celda(E831)=16777215,"BLANCO","NO SE"))))</f>
        <v>ROSA</v>
      </c>
      <c r="W831" s="63" t="s">
        <v>3120</v>
      </c>
      <c r="X831" s="63"/>
      <c r="Y831" s="63"/>
      <c r="Z831" s="327" t="s">
        <v>770</v>
      </c>
      <c r="AA831" s="327" t="s">
        <v>3378</v>
      </c>
      <c r="AB831" s="327" t="s">
        <v>1173</v>
      </c>
      <c r="AC831" s="336"/>
    </row>
    <row r="832" spans="1:29" ht="60" customHeight="1">
      <c r="A832" s="63">
        <v>754</v>
      </c>
      <c r="B832" s="65">
        <v>45206</v>
      </c>
      <c r="C832" s="70">
        <v>0.47013888888888888</v>
      </c>
      <c r="D832" s="208" t="s">
        <v>2476</v>
      </c>
      <c r="E832" s="64" t="s">
        <v>3761</v>
      </c>
      <c r="F832" s="63">
        <v>4</v>
      </c>
      <c r="G832" s="63" t="s">
        <v>568</v>
      </c>
      <c r="H832" s="208">
        <v>45233</v>
      </c>
      <c r="I832" s="65" t="s">
        <v>73</v>
      </c>
      <c r="J832" s="65" t="s">
        <v>31</v>
      </c>
      <c r="K832" s="63">
        <f>IFERROR(VLOOKUP(J832,Jueces!$A$1:$B$11,2,FALSE),"")</f>
        <v>2</v>
      </c>
      <c r="L832" s="63" t="s">
        <v>797</v>
      </c>
      <c r="M832" s="63" t="s">
        <v>695</v>
      </c>
      <c r="N832" s="63" t="s">
        <v>577</v>
      </c>
      <c r="O832" s="78" t="str">
        <f ca="1">IF(H832&lt;&gt;"",IF(H832&lt;=TODAY(),"SI","NO"),"LIMBO")</f>
        <v>SI</v>
      </c>
      <c r="P832" s="78" t="str">
        <f>IF($P$1=H832,"DIASOL", "DIANOSOL")</f>
        <v>DIANOSOL</v>
      </c>
      <c r="Q832" s="63" t="s">
        <v>151</v>
      </c>
      <c r="R832" s="63" t="str">
        <f>VLOOKUP($Q832,Resultados!$A$1:$B$49,2,FALSE)</f>
        <v>Prisión Preventiva</v>
      </c>
      <c r="S832" s="63" t="s">
        <v>1421</v>
      </c>
      <c r="T832" s="81" t="str">
        <f>IF(G832=$J$1,"SI","NO")</f>
        <v>NO</v>
      </c>
      <c r="U832" s="81"/>
      <c r="V832" s="7" t="str">
        <f ca="1">IF(color_Celda(E832)=12106214,"ROSA",IF(color_Celda(E832)=65535,"AMARILLO",IF(color_Celda(E832)=5296274,"VERDE",IF(color_Celda(E832)=16777215,"BLANCO","NO SE"))))</f>
        <v>ROSA</v>
      </c>
      <c r="W832" s="63" t="s">
        <v>2935</v>
      </c>
      <c r="X832" s="63" t="s">
        <v>3795</v>
      </c>
      <c r="Y832" s="63"/>
      <c r="Z832" s="313" t="s">
        <v>3368</v>
      </c>
      <c r="AA832" s="313" t="s">
        <v>1165</v>
      </c>
      <c r="AB832" s="313" t="s">
        <v>1170</v>
      </c>
      <c r="AC832" s="336"/>
    </row>
    <row r="833" spans="1:29" ht="60" customHeight="1">
      <c r="A833" s="63">
        <v>819</v>
      </c>
      <c r="B833" s="65">
        <v>45210</v>
      </c>
      <c r="C833" s="70">
        <v>0.3972222222222222</v>
      </c>
      <c r="D833" s="63" t="s">
        <v>3335</v>
      </c>
      <c r="E833" s="64" t="s">
        <v>3414</v>
      </c>
      <c r="F833" s="63">
        <v>4</v>
      </c>
      <c r="G833" s="63" t="s">
        <v>2766</v>
      </c>
      <c r="H833" s="208">
        <v>45233</v>
      </c>
      <c r="I833" s="65" t="s">
        <v>73</v>
      </c>
      <c r="J833" s="65" t="s">
        <v>1217</v>
      </c>
      <c r="K833" s="63" t="s">
        <v>1916</v>
      </c>
      <c r="L833" s="63" t="s">
        <v>812</v>
      </c>
      <c r="M833" s="63" t="s">
        <v>3415</v>
      </c>
      <c r="N833" s="63" t="s">
        <v>3801</v>
      </c>
      <c r="O833" s="78" t="str">
        <f ca="1">IF(H833&lt;&gt;"",IF(H833&lt;=TODAY(),"SI","NO"),"LIMBO")</f>
        <v>SI</v>
      </c>
      <c r="P833" s="78" t="str">
        <f>IF($P$1=H833,"DIASOL", "DIANOSOL")</f>
        <v>DIANOSOL</v>
      </c>
      <c r="Q833" s="63" t="s">
        <v>151</v>
      </c>
      <c r="R833" s="63" t="str">
        <f>VLOOKUP($Q833,Resultados!$A$1:$B$49,2,FALSE)</f>
        <v>Prisión Preventiva</v>
      </c>
      <c r="S833" s="63" t="s">
        <v>1231</v>
      </c>
      <c r="T833" s="81" t="str">
        <f>IF(G833=$J$1,"SI","NO")</f>
        <v>NO</v>
      </c>
      <c r="U833" s="81"/>
      <c r="V833" s="7" t="str">
        <f ca="1">IF(color_Celda(E833)=12106214,"ROSA",IF(color_Celda(E833)=65535,"AMARILLO",IF(color_Celda(E833)=5296274,"VERDE",IF(color_Celda(E833)=16777215,"BLANCO","NO SE"))))</f>
        <v>ROSA</v>
      </c>
      <c r="W833" s="63" t="s">
        <v>1230</v>
      </c>
      <c r="X833" s="63" t="s">
        <v>2552</v>
      </c>
      <c r="Y833" s="63"/>
      <c r="Z833" s="313" t="s">
        <v>770</v>
      </c>
      <c r="AA833" s="313" t="s">
        <v>2869</v>
      </c>
      <c r="AB833" s="313" t="s">
        <v>1169</v>
      </c>
      <c r="AC833" s="336"/>
    </row>
    <row r="834" spans="1:29" ht="60" customHeight="1">
      <c r="A834" s="63">
        <v>839</v>
      </c>
      <c r="B834" s="65">
        <v>45219</v>
      </c>
      <c r="C834" s="70">
        <v>0.52916666666666667</v>
      </c>
      <c r="D834" s="63" t="s">
        <v>3476</v>
      </c>
      <c r="E834" s="64" t="s">
        <v>3478</v>
      </c>
      <c r="F834" s="63">
        <v>2</v>
      </c>
      <c r="G834" s="63" t="s">
        <v>1433</v>
      </c>
      <c r="H834" s="208">
        <v>45233</v>
      </c>
      <c r="I834" s="65" t="s">
        <v>73</v>
      </c>
      <c r="J834" s="65" t="s">
        <v>2925</v>
      </c>
      <c r="K834" s="63" t="s">
        <v>1341</v>
      </c>
      <c r="L834" s="63" t="s">
        <v>2412</v>
      </c>
      <c r="M834" s="63" t="s">
        <v>2036</v>
      </c>
      <c r="N834" s="63" t="s">
        <v>2178</v>
      </c>
      <c r="O834" s="78" t="str">
        <f ca="1">IF(H834&lt;&gt;"",IF(H834&lt;=TODAY(),"SI","NO"),"LIMBO")</f>
        <v>SI</v>
      </c>
      <c r="P834" s="78" t="str">
        <f>IF($P$1=H834,"DIASOL", "DIANOSOL")</f>
        <v>DIANOSOL</v>
      </c>
      <c r="Q834" s="63" t="s">
        <v>902</v>
      </c>
      <c r="R834" s="63" t="str">
        <f>VLOOKUP($Q834,Resultados!$A$1:$B$49,2,FALSE)</f>
        <v>Juicio Abreviado</v>
      </c>
      <c r="S834" s="63" t="s">
        <v>3637</v>
      </c>
      <c r="T834" s="81" t="str">
        <f>IF(G834=$J$1,"SI","NO")</f>
        <v>NO</v>
      </c>
      <c r="U834" s="81"/>
      <c r="V834" s="7" t="str">
        <f ca="1">IF(color_Celda(E834)=12106214,"ROSA",IF(color_Celda(E834)=65535,"AMARILLO",IF(color_Celda(E834)=5296274,"VERDE",IF(color_Celda(E834)=16777215,"BLANCO","NO SE"))))</f>
        <v>ROSA</v>
      </c>
      <c r="W834" s="63" t="s">
        <v>3094</v>
      </c>
      <c r="X834" s="63"/>
      <c r="Y834" s="63"/>
      <c r="Z834" s="313" t="s">
        <v>1039</v>
      </c>
      <c r="AA834" s="313" t="s">
        <v>2828</v>
      </c>
      <c r="AB834" s="313" t="s">
        <v>3258</v>
      </c>
      <c r="AC834" s="336"/>
    </row>
    <row r="835" spans="1:29" ht="60" customHeight="1">
      <c r="A835" s="63">
        <v>842</v>
      </c>
      <c r="B835" s="65">
        <v>45219</v>
      </c>
      <c r="C835" s="70">
        <v>0.46180555555555558</v>
      </c>
      <c r="D835" s="63" t="s">
        <v>3495</v>
      </c>
      <c r="E835" s="64" t="s">
        <v>3496</v>
      </c>
      <c r="F835" s="63">
        <v>3</v>
      </c>
      <c r="G835" s="63" t="s">
        <v>3324</v>
      </c>
      <c r="H835" s="208">
        <v>45233</v>
      </c>
      <c r="I835" s="65" t="s">
        <v>73</v>
      </c>
      <c r="J835" s="65" t="s">
        <v>78</v>
      </c>
      <c r="K835" s="63">
        <f>IFERROR(VLOOKUP(J835,Jueces!$A$1:$B$11,2,FALSE),"")</f>
        <v>8</v>
      </c>
      <c r="L835" s="63" t="s">
        <v>809</v>
      </c>
      <c r="M835" s="63" t="s">
        <v>694</v>
      </c>
      <c r="N835" s="63" t="s">
        <v>3792</v>
      </c>
      <c r="O835" s="78" t="str">
        <f ca="1">IF(H835&lt;&gt;"",IF(H835&lt;=TODAY(),"SI","NO"),"LIMBO")</f>
        <v>SI</v>
      </c>
      <c r="P835" s="78" t="str">
        <f>IF($P$1=H835,"DIASOL", "DIANOSOL")</f>
        <v>DIANOSOL</v>
      </c>
      <c r="Q835" s="63" t="s">
        <v>902</v>
      </c>
      <c r="R835" s="63" t="str">
        <f>VLOOKUP($Q835,Resultados!$A$1:$B$49,2,FALSE)</f>
        <v>Juicio Abreviado</v>
      </c>
      <c r="S835" s="63" t="s">
        <v>1287</v>
      </c>
      <c r="T835" s="81" t="str">
        <f>IF(G835=$J$1,"SI","NO")</f>
        <v>NO</v>
      </c>
      <c r="U835" s="81"/>
      <c r="V835" s="7" t="str">
        <f ca="1">IF(color_Celda(E835)=12106214,"ROSA",IF(color_Celda(E835)=65535,"AMARILLO",IF(color_Celda(E835)=5296274,"VERDE",IF(color_Celda(E835)=16777215,"BLANCO","NO SE"))))</f>
        <v>ROSA</v>
      </c>
      <c r="W835" s="63" t="s">
        <v>1387</v>
      </c>
      <c r="X835" s="63" t="s">
        <v>2552</v>
      </c>
      <c r="Y835" s="63"/>
      <c r="Z835" s="313" t="s">
        <v>743</v>
      </c>
      <c r="AA835" s="313" t="s">
        <v>2869</v>
      </c>
      <c r="AB835" s="313" t="s">
        <v>1171</v>
      </c>
      <c r="AC835" s="336"/>
    </row>
    <row r="836" spans="1:29" ht="60" customHeight="1">
      <c r="A836" s="7">
        <v>802</v>
      </c>
      <c r="B836" s="297">
        <v>45211</v>
      </c>
      <c r="C836" s="7" t="s">
        <v>1384</v>
      </c>
      <c r="D836" s="7" t="s">
        <v>979</v>
      </c>
      <c r="E836" s="40" t="s">
        <v>3449</v>
      </c>
      <c r="F836" s="69">
        <v>8</v>
      </c>
      <c r="G836" s="63" t="s">
        <v>1434</v>
      </c>
      <c r="H836" s="208">
        <v>45233</v>
      </c>
      <c r="I836" s="65" t="s">
        <v>749</v>
      </c>
      <c r="J836" s="65" t="s">
        <v>1221</v>
      </c>
      <c r="K836" s="63">
        <f>IFERROR(VLOOKUP(J836,Jueces!$A$1:$B$11,2,FALSE),"")</f>
        <v>6</v>
      </c>
      <c r="L836" s="63" t="s">
        <v>811</v>
      </c>
      <c r="M836" s="63" t="s">
        <v>723</v>
      </c>
      <c r="N836" s="63" t="s">
        <v>2550</v>
      </c>
      <c r="O836" s="78" t="str">
        <f ca="1">IF(H836&lt;&gt;"",IF(H836&lt;=TODAY(),"SI","NO"),"LIMBO")</f>
        <v>SI</v>
      </c>
      <c r="P836" s="78" t="str">
        <f>IF($P$1=H836,"DIASOL", "DIANOSOL")</f>
        <v>DIANOSOL</v>
      </c>
      <c r="Q836" s="63" t="s">
        <v>897</v>
      </c>
      <c r="R836" s="63" t="str">
        <f>VLOOKUP($Q836,Resultados!$A$1:$B$49,2,FALSE)</f>
        <v>Libertad</v>
      </c>
      <c r="S836" s="63" t="s">
        <v>1061</v>
      </c>
      <c r="T836" s="81" t="str">
        <f>IF(G836=$J$1,"SI","NO")</f>
        <v>NO</v>
      </c>
      <c r="U836" s="81"/>
      <c r="V836" s="7" t="str">
        <f ca="1">IF(color_Celda(E836)=12106214,"ROSA",IF(color_Celda(E836)=65535,"AMARILLO",IF(color_Celda(E836)=5296274,"VERDE",IF(color_Celda(E836)=16777215,"BLANCO","NO SE"))))</f>
        <v>ROSA</v>
      </c>
      <c r="W836" s="63" t="s">
        <v>1275</v>
      </c>
      <c r="X836" s="63" t="s">
        <v>3793</v>
      </c>
      <c r="Y836" s="63"/>
      <c r="Z836" s="313" t="s">
        <v>1038</v>
      </c>
      <c r="AA836" s="313" t="s">
        <v>3378</v>
      </c>
      <c r="AB836" s="313" t="s">
        <v>1173</v>
      </c>
      <c r="AC836" s="336"/>
    </row>
    <row r="837" spans="1:29" ht="60" customHeight="1">
      <c r="A837" s="107">
        <v>803</v>
      </c>
      <c r="B837" s="253">
        <v>45211</v>
      </c>
      <c r="C837" s="258">
        <v>0.38680555555555557</v>
      </c>
      <c r="D837" s="107" t="s">
        <v>3350</v>
      </c>
      <c r="E837" s="108" t="s">
        <v>3351</v>
      </c>
      <c r="F837" s="63">
        <v>7</v>
      </c>
      <c r="G837" s="63" t="s">
        <v>283</v>
      </c>
      <c r="H837" s="208">
        <v>45233</v>
      </c>
      <c r="I837" s="65" t="s">
        <v>1083</v>
      </c>
      <c r="J837" s="65" t="s">
        <v>1216</v>
      </c>
      <c r="K837" s="63">
        <v>3</v>
      </c>
      <c r="L837" s="63" t="s">
        <v>1067</v>
      </c>
      <c r="M837" s="63" t="s">
        <v>692</v>
      </c>
      <c r="N837" s="63" t="s">
        <v>3794</v>
      </c>
      <c r="O837" s="78" t="str">
        <f ca="1">IF(H837&lt;&gt;"",IF(H837&lt;=TODAY(),"SI","NO"),"LIMBO")</f>
        <v>SI</v>
      </c>
      <c r="P837" s="78" t="str">
        <f>IF($P$1=H837,"DIASOL", "DIANOSOL")</f>
        <v>DIANOSOL</v>
      </c>
      <c r="Q837" s="63" t="s">
        <v>897</v>
      </c>
      <c r="R837" s="63" t="str">
        <f>VLOOKUP($Q837,Resultados!$A$1:$B$49,2,FALSE)</f>
        <v>Libertad</v>
      </c>
      <c r="S837" s="63" t="s">
        <v>1121</v>
      </c>
      <c r="T837" s="81" t="str">
        <f>IF(G837=$J$1,"SI","NO")</f>
        <v>NO</v>
      </c>
      <c r="U837" s="81"/>
      <c r="V837" s="7" t="str">
        <f ca="1">IF(color_Celda(E837)=12106214,"ROSA",IF(color_Celda(E837)=65535,"AMARILLO",IF(color_Celda(E837)=5296274,"VERDE",IF(color_Celda(E837)=16777215,"BLANCO","NO SE"))))</f>
        <v>ROSA</v>
      </c>
      <c r="W837" s="63" t="s">
        <v>1003</v>
      </c>
      <c r="X837" s="63" t="s">
        <v>3199</v>
      </c>
      <c r="Y837" s="63"/>
      <c r="Z837" s="313" t="s">
        <v>743</v>
      </c>
      <c r="AA837" s="313" t="s">
        <v>3378</v>
      </c>
      <c r="AB837" s="313" t="s">
        <v>3322</v>
      </c>
      <c r="AC837" s="336"/>
    </row>
    <row r="838" spans="1:29" ht="60" customHeight="1">
      <c r="A838" s="63">
        <v>826</v>
      </c>
      <c r="B838" s="65">
        <v>45231</v>
      </c>
      <c r="C838" s="70">
        <v>0.46180555555555558</v>
      </c>
      <c r="D838" s="325" t="s">
        <v>1343</v>
      </c>
      <c r="E838" s="64" t="s">
        <v>3426</v>
      </c>
      <c r="F838" s="63">
        <v>4</v>
      </c>
      <c r="G838" s="63" t="s">
        <v>1435</v>
      </c>
      <c r="H838" s="208">
        <v>45233</v>
      </c>
      <c r="I838" s="65" t="s">
        <v>1083</v>
      </c>
      <c r="J838" s="65" t="s">
        <v>1723</v>
      </c>
      <c r="K838" s="63" t="s">
        <v>1512</v>
      </c>
      <c r="L838" s="63" t="s">
        <v>812</v>
      </c>
      <c r="M838" s="330" t="s">
        <v>1439</v>
      </c>
      <c r="N838" s="63" t="s">
        <v>3800</v>
      </c>
      <c r="O838" s="78" t="str">
        <f ca="1">IF(H838&lt;&gt;"",IF(H838&lt;=TODAY(),"SI","NO"),"LIMBO")</f>
        <v>SI</v>
      </c>
      <c r="P838" s="78" t="str">
        <f>IF($P$1=H838,"DIASOL", "DIANOSOL")</f>
        <v>DIANOSOL</v>
      </c>
      <c r="Q838" s="63" t="s">
        <v>151</v>
      </c>
      <c r="R838" s="63" t="str">
        <f>VLOOKUP($Q838,Resultados!$A$1:$B$49,2,FALSE)</f>
        <v>Prisión Preventiva</v>
      </c>
      <c r="S838" s="63" t="s">
        <v>1298</v>
      </c>
      <c r="T838" s="81" t="str">
        <f>IF(G838=$J$1,"SI","NO")</f>
        <v>SI</v>
      </c>
      <c r="U838" s="81"/>
      <c r="V838" s="7" t="str">
        <f ca="1">IF(color_Celda(E838)=12106214,"ROSA",IF(color_Celda(E838)=65535,"AMARILLO",IF(color_Celda(E838)=5296274,"VERDE",IF(color_Celda(E838)=16777215,"BLANCO","NO SE"))))</f>
        <v>ROSA</v>
      </c>
      <c r="W838" s="63" t="s">
        <v>75</v>
      </c>
      <c r="X838" s="63" t="s">
        <v>3796</v>
      </c>
      <c r="Y838" s="63"/>
      <c r="Z838" s="313" t="s">
        <v>3368</v>
      </c>
      <c r="AA838" s="313" t="s">
        <v>1167</v>
      </c>
      <c r="AB838" s="313" t="s">
        <v>1170</v>
      </c>
      <c r="AC838" s="336" t="s">
        <v>1792</v>
      </c>
    </row>
    <row r="839" spans="1:29" ht="60" customHeight="1">
      <c r="A839" s="63">
        <v>827</v>
      </c>
      <c r="B839" s="65">
        <v>45217</v>
      </c>
      <c r="C839" s="70">
        <v>0.4909722222222222</v>
      </c>
      <c r="D839" s="63" t="s">
        <v>3424</v>
      </c>
      <c r="E839" s="64" t="s">
        <v>3724</v>
      </c>
      <c r="F839" s="63">
        <v>2</v>
      </c>
      <c r="G839" s="63" t="s">
        <v>2815</v>
      </c>
      <c r="H839" s="208">
        <v>45233</v>
      </c>
      <c r="I839" s="65" t="s">
        <v>1206</v>
      </c>
      <c r="J839" s="65" t="s">
        <v>1217</v>
      </c>
      <c r="K839" s="63" t="s">
        <v>1916</v>
      </c>
      <c r="L839" s="63" t="s">
        <v>791</v>
      </c>
      <c r="M839" s="63" t="s">
        <v>692</v>
      </c>
      <c r="N839" s="63" t="s">
        <v>3802</v>
      </c>
      <c r="O839" s="78" t="str">
        <f ca="1">IF(H839&lt;&gt;"",IF(H839&lt;=TODAY(),"SI","NO"),"LIMBO")</f>
        <v>SI</v>
      </c>
      <c r="P839" s="78" t="str">
        <f>IF($P$1=H839,"DIASOL", "DIANOSOL")</f>
        <v>DIANOSOL</v>
      </c>
      <c r="Q839" s="63" t="s">
        <v>1892</v>
      </c>
      <c r="R839" s="63" t="str">
        <f>VLOOKUP($Q839,Resultados!$A$1:$B$49,2,FALSE)</f>
        <v>Sobreseimiento</v>
      </c>
      <c r="S839" s="63" t="s">
        <v>1442</v>
      </c>
      <c r="T839" s="81" t="str">
        <f>IF(G839=$J$1,"SI","NO")</f>
        <v>NO</v>
      </c>
      <c r="U839" s="81"/>
      <c r="V839" s="7" t="str">
        <f ca="1">IF(color_Celda(E839)=12106214,"ROSA",IF(color_Celda(E839)=65535,"AMARILLO",IF(color_Celda(E839)=5296274,"VERDE",IF(color_Celda(E839)=16777215,"BLANCO","NO SE"))))</f>
        <v>ROSA</v>
      </c>
      <c r="W839" s="63" t="s">
        <v>3171</v>
      </c>
      <c r="X839" s="63" t="s">
        <v>2552</v>
      </c>
      <c r="Y839" s="63"/>
      <c r="Z839" s="313" t="s">
        <v>770</v>
      </c>
      <c r="AA839" s="313" t="s">
        <v>2828</v>
      </c>
      <c r="AB839" s="313" t="s">
        <v>1169</v>
      </c>
      <c r="AC839" s="336"/>
    </row>
    <row r="840" spans="1:29" ht="60" customHeight="1">
      <c r="A840" s="63">
        <v>814</v>
      </c>
      <c r="B840" s="65">
        <v>45216</v>
      </c>
      <c r="C840" s="70">
        <v>0.40416666666666662</v>
      </c>
      <c r="D840" s="63" t="s">
        <v>3402</v>
      </c>
      <c r="E840" s="64" t="s">
        <v>3401</v>
      </c>
      <c r="F840" s="63">
        <v>2</v>
      </c>
      <c r="G840" s="63" t="s">
        <v>3639</v>
      </c>
      <c r="H840" s="208">
        <v>45233</v>
      </c>
      <c r="I840" s="65" t="s">
        <v>3171</v>
      </c>
      <c r="J840" s="65" t="s">
        <v>31</v>
      </c>
      <c r="K840" s="63" t="s">
        <v>1341</v>
      </c>
      <c r="L840" s="63" t="s">
        <v>807</v>
      </c>
      <c r="M840" s="7" t="s">
        <v>692</v>
      </c>
      <c r="N840" s="63" t="s">
        <v>3797</v>
      </c>
      <c r="O840" s="78" t="str">
        <f ca="1">IF(H840&lt;&gt;"",IF(H840&lt;=TODAY(),"SI","NO"),"LIMBO")</f>
        <v>SI</v>
      </c>
      <c r="P840" s="78" t="str">
        <f>IF($P$1=H840,"DIASOL", "DIANOSOL")</f>
        <v>DIANOSOL</v>
      </c>
      <c r="Q840" s="63" t="s">
        <v>902</v>
      </c>
      <c r="R840" s="63" t="str">
        <f>VLOOKUP($Q840,Resultados!$A$1:$B$49,2,FALSE)</f>
        <v>Juicio Abreviado</v>
      </c>
      <c r="S840" s="63" t="s">
        <v>1797</v>
      </c>
      <c r="T840" s="81" t="str">
        <f>IF(G840=$J$1,"SI","NO")</f>
        <v>NO</v>
      </c>
      <c r="U840" s="81"/>
      <c r="V840" s="7" t="str">
        <f ca="1">IF(color_Celda(E840)=12106214,"ROSA",IF(color_Celda(E840)=65535,"AMARILLO",IF(color_Celda(E840)=5296274,"VERDE",IF(color_Celda(E840)=16777215,"BLANCO","NO SE"))))</f>
        <v>ROSA</v>
      </c>
      <c r="W840" s="63" t="s">
        <v>3115</v>
      </c>
      <c r="X840" s="63" t="s">
        <v>3798</v>
      </c>
      <c r="Y840" s="63"/>
      <c r="Z840" s="313" t="s">
        <v>3368</v>
      </c>
      <c r="AA840" s="313" t="s">
        <v>1167</v>
      </c>
      <c r="AB840" s="313" t="s">
        <v>3258</v>
      </c>
      <c r="AC840" s="336"/>
    </row>
    <row r="841" spans="1:29" ht="60" customHeight="1">
      <c r="A841" s="63">
        <v>783</v>
      </c>
      <c r="B841" s="65">
        <v>45209</v>
      </c>
      <c r="C841" s="70">
        <v>0.4465277777777778</v>
      </c>
      <c r="D841" s="63" t="s">
        <v>3277</v>
      </c>
      <c r="E841" s="64" t="s">
        <v>3531</v>
      </c>
      <c r="F841" s="63">
        <v>1</v>
      </c>
      <c r="G841" s="63" t="s">
        <v>568</v>
      </c>
      <c r="H841" s="208">
        <v>45236</v>
      </c>
      <c r="I841" s="65" t="s">
        <v>73</v>
      </c>
      <c r="J841" s="65" t="s">
        <v>78</v>
      </c>
      <c r="K841" s="63">
        <f>IFERROR(VLOOKUP(J841,Jueces!$A$1:$B$11,2,FALSE),"")</f>
        <v>8</v>
      </c>
      <c r="L841" s="63" t="s">
        <v>805</v>
      </c>
      <c r="M841" s="365" t="s">
        <v>1285</v>
      </c>
      <c r="N841" s="63" t="s">
        <v>3834</v>
      </c>
      <c r="O841" s="78" t="str">
        <f ca="1">IF(H841&lt;&gt;"",IF(H841&lt;=TODAY(),"SI","NO"),"LIMBO")</f>
        <v>SI</v>
      </c>
      <c r="P841" s="78" t="str">
        <f>IF($P$1=H841,"DIASOL", "DIANOSOL")</f>
        <v>DIANOSOL</v>
      </c>
      <c r="Q841" s="63" t="s">
        <v>902</v>
      </c>
      <c r="R841" s="63" t="str">
        <f>VLOOKUP($Q841,Resultados!$A$1:$B$49,2,FALSE)</f>
        <v>Juicio Abreviado</v>
      </c>
      <c r="S841" s="63" t="s">
        <v>1016</v>
      </c>
      <c r="T841" s="81" t="str">
        <f>IF(G841=$J$1,"SI","NO")</f>
        <v>NO</v>
      </c>
      <c r="U841" s="81"/>
      <c r="V841" s="7" t="str">
        <f ca="1">IF(color_Celda(E841)=12106214,"ROSA",IF(color_Celda(E841)=65535,"AMARILLO",IF(color_Celda(E841)=5296274,"VERDE",IF(color_Celda(E841)=16777215,"BLANCO","NO SE"))))</f>
        <v>ROSA</v>
      </c>
      <c r="W841" s="63" t="s">
        <v>1239</v>
      </c>
      <c r="X841" s="366" t="s">
        <v>3835</v>
      </c>
      <c r="Y841" s="63"/>
      <c r="Z841" s="63"/>
      <c r="AA841" s="118" t="s">
        <v>3379</v>
      </c>
      <c r="AB841" s="118" t="s">
        <v>1171</v>
      </c>
      <c r="AC841" s="336"/>
    </row>
    <row r="842" spans="1:29" ht="60" customHeight="1">
      <c r="A842" s="63">
        <v>821</v>
      </c>
      <c r="B842" s="65">
        <v>45217</v>
      </c>
      <c r="C842" s="70">
        <v>0.4826388888888889</v>
      </c>
      <c r="D842" s="63" t="s">
        <v>3416</v>
      </c>
      <c r="E842" s="64" t="s">
        <v>3417</v>
      </c>
      <c r="F842" s="63">
        <v>1</v>
      </c>
      <c r="G842" s="63" t="s">
        <v>3324</v>
      </c>
      <c r="H842" s="208">
        <v>45236</v>
      </c>
      <c r="I842" s="65" t="s">
        <v>73</v>
      </c>
      <c r="J842" s="65" t="s">
        <v>2922</v>
      </c>
      <c r="K842" s="63" t="s">
        <v>1341</v>
      </c>
      <c r="L842" s="63" t="s">
        <v>2092</v>
      </c>
      <c r="M842" s="63" t="s">
        <v>1175</v>
      </c>
      <c r="N842" s="63" t="s">
        <v>1744</v>
      </c>
      <c r="O842" s="78" t="str">
        <f ca="1">IF(H842&lt;&gt;"",IF(H842&lt;=TODAY(),"SI","NO"),"LIMBO")</f>
        <v>SI</v>
      </c>
      <c r="P842" s="78" t="str">
        <f>IF($P$1=H842,"DIASOL", "DIANOSOL")</f>
        <v>DIANOSOL</v>
      </c>
      <c r="Q842" s="63" t="s">
        <v>151</v>
      </c>
      <c r="R842" s="63" t="str">
        <f>VLOOKUP($Q842,Resultados!$A$1:$B$49,2,FALSE)</f>
        <v>Prisión Preventiva</v>
      </c>
      <c r="S842" s="63" t="s">
        <v>3097</v>
      </c>
      <c r="T842" s="81" t="str">
        <f>IF(G842=$J$1,"SI","NO")</f>
        <v>NO</v>
      </c>
      <c r="U842" s="81"/>
      <c r="V842" s="7" t="str">
        <f ca="1">IF(color_Celda(E842)=12106214,"ROSA",IF(color_Celda(E842)=65535,"AMARILLO",IF(color_Celda(E842)=5296274,"VERDE",IF(color_Celda(E842)=16777215,"BLANCO","NO SE"))))</f>
        <v>ROSA</v>
      </c>
      <c r="W842" s="63" t="s">
        <v>1604</v>
      </c>
      <c r="X842" s="63" t="s">
        <v>3833</v>
      </c>
      <c r="Y842" s="63"/>
      <c r="Z842" s="63"/>
      <c r="AA842" s="118" t="s">
        <v>2869</v>
      </c>
      <c r="AB842" s="118" t="s">
        <v>3322</v>
      </c>
      <c r="AC842" s="336"/>
    </row>
    <row r="843" spans="1:29" ht="60" customHeight="1">
      <c r="A843" s="63">
        <v>844</v>
      </c>
      <c r="B843" s="65">
        <v>45222</v>
      </c>
      <c r="C843" s="70">
        <v>0.4201388888888889</v>
      </c>
      <c r="D843" s="63" t="s">
        <v>3499</v>
      </c>
      <c r="E843" s="64" t="s">
        <v>3500</v>
      </c>
      <c r="F843" s="63">
        <v>2</v>
      </c>
      <c r="G843" s="63" t="s">
        <v>1433</v>
      </c>
      <c r="H843" s="208">
        <v>45236</v>
      </c>
      <c r="I843" s="65" t="s">
        <v>73</v>
      </c>
      <c r="J843" s="65" t="s">
        <v>31</v>
      </c>
      <c r="K843" s="63">
        <f>IFERROR(VLOOKUP(J843,Jueces!$A$1:$B$11,2,FALSE),"")</f>
        <v>2</v>
      </c>
      <c r="L843" s="63" t="s">
        <v>1693</v>
      </c>
      <c r="M843" s="337" t="s">
        <v>2124</v>
      </c>
      <c r="N843" s="63" t="s">
        <v>3839</v>
      </c>
      <c r="O843" s="78" t="str">
        <f ca="1">IF(H843&lt;&gt;"",IF(H843&lt;=TODAY(),"SI","NO"),"LIMBO")</f>
        <v>SI</v>
      </c>
      <c r="P843" s="78" t="str">
        <f>IF($P$1=H843,"DIASOL", "DIANOSOL")</f>
        <v>DIANOSOL</v>
      </c>
      <c r="Q843" s="63" t="s">
        <v>897</v>
      </c>
      <c r="R843" s="63" t="str">
        <f>VLOOKUP($Q843,Resultados!$A$1:$B$49,2,FALSE)</f>
        <v>Libertad</v>
      </c>
      <c r="S843" s="63" t="s">
        <v>2659</v>
      </c>
      <c r="T843" s="81" t="str">
        <f>IF(G843=$J$1,"SI","NO")</f>
        <v>NO</v>
      </c>
      <c r="U843" s="81"/>
      <c r="V843" s="7" t="str">
        <f ca="1">IF(color_Celda(E843)=12106214,"ROSA",IF(color_Celda(E843)=65535,"AMARILLO",IF(color_Celda(E843)=5296274,"VERDE",IF(color_Celda(E843)=16777215,"BLANCO","NO SE"))))</f>
        <v>ROSA</v>
      </c>
      <c r="W843" s="63" t="s">
        <v>679</v>
      </c>
      <c r="X843" s="63" t="s">
        <v>3840</v>
      </c>
      <c r="Y843" s="63"/>
      <c r="Z843" s="63"/>
      <c r="AA843" s="118" t="s">
        <v>2828</v>
      </c>
      <c r="AB843" s="118" t="s">
        <v>1173</v>
      </c>
      <c r="AC843" s="336"/>
    </row>
    <row r="844" spans="1:29" ht="60" customHeight="1">
      <c r="A844" s="63">
        <v>852</v>
      </c>
      <c r="B844" s="65">
        <v>45222</v>
      </c>
      <c r="C844" s="70">
        <v>0.40763888888888888</v>
      </c>
      <c r="D844" s="63" t="s">
        <v>3535</v>
      </c>
      <c r="E844" s="64" t="s">
        <v>3656</v>
      </c>
      <c r="F844" s="63">
        <v>2</v>
      </c>
      <c r="G844" s="63" t="s">
        <v>2766</v>
      </c>
      <c r="H844" s="208">
        <v>45236</v>
      </c>
      <c r="I844" s="65" t="s">
        <v>73</v>
      </c>
      <c r="J844" s="65" t="s">
        <v>35</v>
      </c>
      <c r="K844" s="63">
        <f>IFERROR(VLOOKUP(J844,Jueces!$A$1:$B$11,2,FALSE),"")</f>
        <v>3</v>
      </c>
      <c r="L844" s="63" t="s">
        <v>791</v>
      </c>
      <c r="M844" s="63" t="s">
        <v>3836</v>
      </c>
      <c r="N844" s="63" t="s">
        <v>3838</v>
      </c>
      <c r="O844" s="78" t="str">
        <f ca="1">IF(H844&lt;&gt;"",IF(H844&lt;=TODAY(),"SI","NO"),"LIMBO")</f>
        <v>SI</v>
      </c>
      <c r="P844" s="78" t="str">
        <f>IF($P$1=H844,"DIASOL", "DIANOSOL")</f>
        <v>DIANOSOL</v>
      </c>
      <c r="Q844" s="63" t="s">
        <v>897</v>
      </c>
      <c r="R844" s="63" t="str">
        <f>VLOOKUP($Q844,Resultados!$A$1:$B$49,2,FALSE)</f>
        <v>Libertad</v>
      </c>
      <c r="S844" s="63"/>
      <c r="T844" s="81" t="str">
        <f>IF(G844=$J$1,"SI","NO")</f>
        <v>NO</v>
      </c>
      <c r="U844" s="81"/>
      <c r="V844" s="7" t="str">
        <f ca="1">IF(color_Celda(E844)=12106214,"ROSA",IF(color_Celda(E844)=65535,"AMARILLO",IF(color_Celda(E844)=5296274,"VERDE",IF(color_Celda(E844)=16777215,"BLANCO","NO SE"))))</f>
        <v>ROSA</v>
      </c>
      <c r="W844" s="63"/>
      <c r="X844" s="366" t="s">
        <v>3837</v>
      </c>
      <c r="Y844" s="63"/>
      <c r="Z844" s="63"/>
      <c r="AA844" s="118" t="s">
        <v>1167</v>
      </c>
      <c r="AB844" s="118" t="s">
        <v>1170</v>
      </c>
      <c r="AC844" s="336"/>
    </row>
    <row r="845" spans="1:29" ht="60" customHeight="1">
      <c r="A845" s="63">
        <v>830</v>
      </c>
      <c r="B845" s="65">
        <v>45218</v>
      </c>
      <c r="C845" s="70">
        <v>0.41736111111111113</v>
      </c>
      <c r="D845" s="325" t="s">
        <v>3445</v>
      </c>
      <c r="E845" s="64" t="s">
        <v>3446</v>
      </c>
      <c r="F845" s="63">
        <v>2</v>
      </c>
      <c r="G845" s="63" t="s">
        <v>3323</v>
      </c>
      <c r="H845" s="208">
        <v>45236</v>
      </c>
      <c r="I845" s="65" t="s">
        <v>1083</v>
      </c>
      <c r="J845" s="65" t="s">
        <v>78</v>
      </c>
      <c r="K845" s="63">
        <f>IFERROR(VLOOKUP(J845,Jueces!$A$1:$B$11,2,FALSE),"")</f>
        <v>8</v>
      </c>
      <c r="L845" s="63" t="s">
        <v>806</v>
      </c>
      <c r="M845" s="63" t="s">
        <v>692</v>
      </c>
      <c r="N845" s="63" t="s">
        <v>3086</v>
      </c>
      <c r="O845" s="63" t="str">
        <f ca="1">IF(H845&lt;&gt;"",IF(H845&lt;=TODAY(),"SI","NO"),"LIMBO")</f>
        <v>SI</v>
      </c>
      <c r="P845" s="63" t="str">
        <f>IF($P$1=H845,"DIASOL", "DIANOSOL")</f>
        <v>DIANOSOL</v>
      </c>
      <c r="Q845" s="63" t="s">
        <v>903</v>
      </c>
      <c r="R845" s="63" t="str">
        <f>VLOOKUP($Q845,Resultados!$A$1:$B$49,2,FALSE)</f>
        <v>Juicio Abreviado</v>
      </c>
      <c r="S845" s="63" t="s">
        <v>1562</v>
      </c>
      <c r="T845" s="72" t="str">
        <f>IF(G845=$J$1,"SI","NO")</f>
        <v>NO</v>
      </c>
      <c r="U845" s="72"/>
      <c r="V845" s="7" t="str">
        <f ca="1">IF(color_Celda(E845)=12106214,"ROSA",IF(color_Celda(E845)=65535,"AMARILLO",IF(color_Celda(E845)=5296274,"VERDE",IF(color_Celda(E845)=16777215,"BLANCO","NO SE"))))</f>
        <v>ROSA</v>
      </c>
      <c r="W845" s="63" t="s">
        <v>1592</v>
      </c>
      <c r="X845" s="365" t="s">
        <v>3830</v>
      </c>
      <c r="Y845" s="63"/>
      <c r="Z845" s="63"/>
      <c r="AA845" s="118" t="s">
        <v>3378</v>
      </c>
      <c r="AB845" s="118" t="s">
        <v>3258</v>
      </c>
      <c r="AC845" s="336" t="s">
        <v>1792</v>
      </c>
    </row>
    <row r="846" spans="1:29" ht="60" customHeight="1">
      <c r="A846" s="63">
        <v>864</v>
      </c>
      <c r="B846" s="65">
        <v>45224</v>
      </c>
      <c r="C846" s="70">
        <v>0.49444444444444446</v>
      </c>
      <c r="D846" s="63" t="s">
        <v>3557</v>
      </c>
      <c r="E846" s="64" t="s">
        <v>3558</v>
      </c>
      <c r="F846" s="63">
        <v>2</v>
      </c>
      <c r="G846" s="63" t="s">
        <v>283</v>
      </c>
      <c r="H846" s="208">
        <v>45236</v>
      </c>
      <c r="I846" s="65" t="s">
        <v>1083</v>
      </c>
      <c r="J846" s="65" t="s">
        <v>1217</v>
      </c>
      <c r="K846" s="63" t="s">
        <v>1916</v>
      </c>
      <c r="L846" s="63" t="s">
        <v>2715</v>
      </c>
      <c r="M846" s="7" t="s">
        <v>1994</v>
      </c>
      <c r="N846" s="63" t="s">
        <v>3826</v>
      </c>
      <c r="O846" s="63" t="str">
        <f ca="1">IF(H846&lt;&gt;"",IF(H846&lt;=TODAY(),"SI","NO"),"LIMBO")</f>
        <v>SI</v>
      </c>
      <c r="P846" s="63" t="str">
        <f>IF($P$1=H846,"DIASOL", "DIANOSOL")</f>
        <v>DIANOSOL</v>
      </c>
      <c r="Q846" s="63" t="s">
        <v>151</v>
      </c>
      <c r="R846" s="63" t="str">
        <f>VLOOKUP($Q846,Resultados!$A$1:$B$49,2,FALSE)</f>
        <v>Prisión Preventiva</v>
      </c>
      <c r="S846" s="63" t="s">
        <v>1164</v>
      </c>
      <c r="T846" s="72" t="str">
        <f>IF(G846=$J$1,"SI","NO")</f>
        <v>NO</v>
      </c>
      <c r="U846" s="72"/>
      <c r="V846" s="7" t="str">
        <f ca="1">IF(color_Celda(E846)=12106214,"ROSA",IF(color_Celda(E846)=65535,"AMARILLO",IF(color_Celda(E846)=5296274,"VERDE",IF(color_Celda(E846)=16777215,"BLANCO","NO SE"))))</f>
        <v>ROSA</v>
      </c>
      <c r="W846" s="63" t="s">
        <v>2575</v>
      </c>
      <c r="X846" s="63" t="s">
        <v>3827</v>
      </c>
      <c r="Y846" s="63"/>
      <c r="Z846" s="63"/>
      <c r="AA846" s="118" t="s">
        <v>2869</v>
      </c>
      <c r="AB846" s="118" t="s">
        <v>1171</v>
      </c>
      <c r="AC846" s="336"/>
    </row>
    <row r="847" spans="1:29" ht="60" customHeight="1">
      <c r="A847" s="63">
        <v>865</v>
      </c>
      <c r="B847" s="65">
        <v>45224</v>
      </c>
      <c r="C847" s="70">
        <v>0.55138888888888882</v>
      </c>
      <c r="D847" s="63" t="s">
        <v>3567</v>
      </c>
      <c r="E847" s="64" t="s">
        <v>3569</v>
      </c>
      <c r="F847" s="63">
        <v>6</v>
      </c>
      <c r="G847" s="63" t="s">
        <v>1434</v>
      </c>
      <c r="H847" s="208">
        <v>45236</v>
      </c>
      <c r="I847" s="65" t="s">
        <v>1083</v>
      </c>
      <c r="J847" s="65" t="s">
        <v>1221</v>
      </c>
      <c r="K847" s="63">
        <f>IFERROR(VLOOKUP(J847,Jueces!$A$1:$B$11,2,FALSE),"")</f>
        <v>6</v>
      </c>
      <c r="L847" s="63" t="s">
        <v>2075</v>
      </c>
      <c r="M847" s="365" t="s">
        <v>3568</v>
      </c>
      <c r="N847" s="63" t="s">
        <v>3828</v>
      </c>
      <c r="O847" s="63" t="str">
        <f ca="1">IF(H847&lt;&gt;"",IF(H847&lt;=TODAY(),"SI","NO"),"LIMBO")</f>
        <v>SI</v>
      </c>
      <c r="P847" s="63" t="str">
        <f>IF($P$1=H847,"DIASOL", "DIANOSOL")</f>
        <v>DIANOSOL</v>
      </c>
      <c r="Q847" s="63" t="s">
        <v>151</v>
      </c>
      <c r="R847" s="63" t="str">
        <f>VLOOKUP($Q847,Resultados!$A$1:$B$49,2,FALSE)</f>
        <v>Prisión Preventiva</v>
      </c>
      <c r="S847" s="63" t="s">
        <v>2063</v>
      </c>
      <c r="T847" s="72" t="str">
        <f>IF(G847=$J$1,"SI","NO")</f>
        <v>NO</v>
      </c>
      <c r="U847" s="72"/>
      <c r="V847" s="7" t="str">
        <f ca="1">IF(color_Celda(E847)=12106214,"ROSA",IF(color_Celda(E847)=65535,"AMARILLO",IF(color_Celda(E847)=5296274,"VERDE",IF(color_Celda(E847)=16777215,"BLANCO","NO SE"))))</f>
        <v>ROSA</v>
      </c>
      <c r="W847" s="63" t="s">
        <v>1305</v>
      </c>
      <c r="X847" s="223" t="s">
        <v>3829</v>
      </c>
      <c r="Y847" s="63"/>
      <c r="Z847" s="63"/>
      <c r="AA847" s="118" t="s">
        <v>3378</v>
      </c>
      <c r="AB847" s="118" t="s">
        <v>1169</v>
      </c>
      <c r="AC847" s="336"/>
    </row>
    <row r="848" spans="1:29" ht="60" customHeight="1">
      <c r="A848" s="63">
        <v>883</v>
      </c>
      <c r="B848" s="65">
        <v>45233</v>
      </c>
      <c r="C848" s="70">
        <v>0.3840277777777778</v>
      </c>
      <c r="D848" s="63" t="s">
        <v>3343</v>
      </c>
      <c r="E848" s="64" t="s">
        <v>3344</v>
      </c>
      <c r="F848" s="63">
        <v>1</v>
      </c>
      <c r="G848" s="63" t="s">
        <v>1435</v>
      </c>
      <c r="H848" s="208">
        <v>45236</v>
      </c>
      <c r="I848" s="65" t="s">
        <v>1083</v>
      </c>
      <c r="J848" s="65" t="s">
        <v>1216</v>
      </c>
      <c r="K848" s="63">
        <f>IFERROR(VLOOKUP(J848,Jueces!$A$1:$B$11,2,FALSE),"")</f>
        <v>1</v>
      </c>
      <c r="L848" s="63" t="s">
        <v>827</v>
      </c>
      <c r="M848" s="63" t="s">
        <v>712</v>
      </c>
      <c r="N848" s="63" t="s">
        <v>3831</v>
      </c>
      <c r="O848" s="78" t="str">
        <f ca="1">IF(H848&lt;&gt;"",IF(H848&lt;=TODAY(),"SI","NO"),"LIMBO")</f>
        <v>SI</v>
      </c>
      <c r="P848" s="78" t="str">
        <f>IF($P$1=H848,"DIASOL", "DIANOSOL")</f>
        <v>DIANOSOL</v>
      </c>
      <c r="Q848" s="63" t="s">
        <v>909</v>
      </c>
      <c r="R848" s="63" t="str">
        <f>VLOOKUP($Q848,Resultados!$A$1:$B$49,2,FALSE)</f>
        <v>Suspendida</v>
      </c>
      <c r="S848" s="63" t="s">
        <v>1442</v>
      </c>
      <c r="T848" s="81" t="str">
        <f>IF(G848=$J$1,"SI","NO")</f>
        <v>SI</v>
      </c>
      <c r="U848" s="81"/>
      <c r="V848" s="7" t="str">
        <f ca="1">IF(color_Celda(E848)=12106214,"ROSA",IF(color_Celda(E848)=65535,"AMARILLO",IF(color_Celda(E848)=5296274,"VERDE",IF(color_Celda(E848)=16777215,"BLANCO","NO SE"))))</f>
        <v>ROSA</v>
      </c>
      <c r="W848" s="63" t="s">
        <v>1225</v>
      </c>
      <c r="X848" s="366" t="s">
        <v>3832</v>
      </c>
      <c r="Y848" s="63"/>
      <c r="Z848" s="63"/>
      <c r="AA848" s="118" t="s">
        <v>3379</v>
      </c>
      <c r="AB848" s="118" t="s">
        <v>3322</v>
      </c>
      <c r="AC848" s="336"/>
    </row>
    <row r="849" spans="1:29" ht="60" customHeight="1">
      <c r="A849" s="63">
        <v>816</v>
      </c>
      <c r="B849" s="65">
        <v>45217</v>
      </c>
      <c r="C849" s="70">
        <v>0.36944444444444446</v>
      </c>
      <c r="D849" s="63" t="s">
        <v>3409</v>
      </c>
      <c r="E849" s="64" t="s">
        <v>3410</v>
      </c>
      <c r="F849" s="63">
        <v>2</v>
      </c>
      <c r="G849" s="63" t="s">
        <v>2766</v>
      </c>
      <c r="H849" s="208">
        <v>45237</v>
      </c>
      <c r="I849" s="65" t="s">
        <v>73</v>
      </c>
      <c r="J849" s="65" t="s">
        <v>2925</v>
      </c>
      <c r="K849" s="63" t="s">
        <v>1916</v>
      </c>
      <c r="L849" s="63" t="s">
        <v>797</v>
      </c>
      <c r="M849" s="63" t="s">
        <v>692</v>
      </c>
      <c r="N849" s="63" t="s">
        <v>3060</v>
      </c>
      <c r="O849" s="78" t="str">
        <f ca="1">IF(H849&lt;&gt;"",IF(H849&lt;=TODAY(),"SI","NO"),"LIMBO")</f>
        <v>SI</v>
      </c>
      <c r="P849" s="78" t="str">
        <f>IF($P$1=H849,"DIASOL", "DIANOSOL")</f>
        <v>DIANOSOL</v>
      </c>
      <c r="Q849" s="63" t="s">
        <v>902</v>
      </c>
      <c r="R849" s="63" t="str">
        <f>VLOOKUP($Q849,Resultados!$A$1:$B$49,2,FALSE)</f>
        <v>Juicio Abreviado</v>
      </c>
      <c r="S849" s="63" t="s">
        <v>686</v>
      </c>
      <c r="T849" s="81" t="str">
        <f>IF(G849=$J$1,"SI","NO")</f>
        <v>NO</v>
      </c>
      <c r="U849" s="81"/>
      <c r="V849" s="7" t="str">
        <f ca="1">IF(color_Celda(E849)=12106214,"ROSA",IF(color_Celda(E849)=65535,"AMARILLO",IF(color_Celda(E849)=5296274,"VERDE",IF(color_Celda(E849)=16777215,"BLANCO","NO SE"))))</f>
        <v>ROSA</v>
      </c>
      <c r="W849" s="63" t="s">
        <v>2047</v>
      </c>
      <c r="X849" s="63" t="s">
        <v>2552</v>
      </c>
      <c r="Y849" s="118" t="s">
        <v>3368</v>
      </c>
      <c r="Z849" s="118" t="s">
        <v>1173</v>
      </c>
      <c r="AA849" s="118" t="s">
        <v>3379</v>
      </c>
      <c r="AB849" s="63"/>
      <c r="AC849" s="336"/>
    </row>
    <row r="850" spans="1:29" ht="60" customHeight="1">
      <c r="A850" s="63">
        <v>849</v>
      </c>
      <c r="B850" s="65">
        <v>45222</v>
      </c>
      <c r="C850" s="70">
        <v>0.42222222222222222</v>
      </c>
      <c r="D850" s="63" t="s">
        <v>3508</v>
      </c>
      <c r="E850" s="64" t="s">
        <v>3509</v>
      </c>
      <c r="F850" s="63">
        <v>2</v>
      </c>
      <c r="G850" s="63" t="s">
        <v>1434</v>
      </c>
      <c r="H850" s="208">
        <v>45237</v>
      </c>
      <c r="I850" s="65" t="s">
        <v>73</v>
      </c>
      <c r="J850" s="65" t="s">
        <v>31</v>
      </c>
      <c r="K850" s="63">
        <f>IFERROR(VLOOKUP(J850,Jueces!$A$1:$B$11,2,FALSE),"")</f>
        <v>2</v>
      </c>
      <c r="L850" s="63" t="s">
        <v>799</v>
      </c>
      <c r="M850" s="63" t="s">
        <v>693</v>
      </c>
      <c r="N850" s="63" t="s">
        <v>3878</v>
      </c>
      <c r="O850" s="78" t="str">
        <f ca="1">IF(H850&lt;&gt;"",IF(H850&lt;=TODAY(),"SI","NO"),"LIMBO")</f>
        <v>SI</v>
      </c>
      <c r="P850" s="78" t="str">
        <f>IF($P$1=H850,"DIASOL", "DIANOSOL")</f>
        <v>DIANOSOL</v>
      </c>
      <c r="Q850" s="63" t="s">
        <v>903</v>
      </c>
      <c r="R850" s="63" t="str">
        <f>VLOOKUP($Q850,Resultados!$A$1:$B$49,2,FALSE)</f>
        <v>Juicio Abreviado</v>
      </c>
      <c r="S850" s="63" t="s">
        <v>1083</v>
      </c>
      <c r="T850" s="81" t="str">
        <f>IF(G850=$J$1,"SI","NO")</f>
        <v>NO</v>
      </c>
      <c r="U850" s="81"/>
      <c r="V850" s="7" t="str">
        <f ca="1">IF(color_Celda(E850)=12106214,"ROSA",IF(color_Celda(E850)=65535,"AMARILLO",IF(color_Celda(E850)=5296274,"VERDE",IF(color_Celda(E850)=16777215,"BLANCO","NO SE"))))</f>
        <v>ROSA</v>
      </c>
      <c r="W850" s="63" t="s">
        <v>1230</v>
      </c>
      <c r="X850" s="63" t="s">
        <v>3879</v>
      </c>
      <c r="Y850" s="118" t="s">
        <v>748</v>
      </c>
      <c r="Z850" s="118" t="s">
        <v>1170</v>
      </c>
      <c r="AA850" s="118" t="s">
        <v>2869</v>
      </c>
      <c r="AB850" s="63"/>
      <c r="AC850" s="336"/>
    </row>
    <row r="851" spans="1:29" ht="60" customHeight="1">
      <c r="A851" s="63">
        <v>859</v>
      </c>
      <c r="B851" s="65">
        <v>45224</v>
      </c>
      <c r="C851" s="70">
        <v>0.34861111111111115</v>
      </c>
      <c r="D851" s="63" t="s">
        <v>3549</v>
      </c>
      <c r="E851" s="64" t="s">
        <v>3550</v>
      </c>
      <c r="F851" s="63">
        <v>2</v>
      </c>
      <c r="G851" s="63" t="s">
        <v>3323</v>
      </c>
      <c r="H851" s="208">
        <v>45237</v>
      </c>
      <c r="I851" s="65" t="s">
        <v>73</v>
      </c>
      <c r="J851" s="65" t="s">
        <v>35</v>
      </c>
      <c r="K851" s="63">
        <f>IFERROR(VLOOKUP(J851,Jueces!$A$1:$B$11,2,FALSE),"")</f>
        <v>3</v>
      </c>
      <c r="L851" s="63" t="s">
        <v>1693</v>
      </c>
      <c r="M851" s="339" t="s">
        <v>697</v>
      </c>
      <c r="N851" s="63" t="s">
        <v>3880</v>
      </c>
      <c r="O851" s="78" t="str">
        <f ca="1">IF(H851&lt;&gt;"",IF(H851&lt;=TODAY(),"SI","NO"),"LIMBO")</f>
        <v>SI</v>
      </c>
      <c r="P851" s="78" t="str">
        <f>IF($P$1=H851,"DIASOL", "DIANOSOL")</f>
        <v>DIANOSOL</v>
      </c>
      <c r="Q851" s="63" t="s">
        <v>897</v>
      </c>
      <c r="R851" s="63" t="str">
        <f>VLOOKUP($Q851,Resultados!$A$1:$B$49,2,FALSE)</f>
        <v>Libertad</v>
      </c>
      <c r="S851" s="63" t="s">
        <v>1294</v>
      </c>
      <c r="T851" s="81" t="str">
        <f>IF(G851=$J$1,"SI","NO")</f>
        <v>NO</v>
      </c>
      <c r="U851" s="81"/>
      <c r="V851" s="7" t="str">
        <f ca="1">IF(color_Celda(E851)=12106214,"ROSA",IF(color_Celda(E851)=65535,"AMARILLO",IF(color_Celda(E851)=5296274,"VERDE",IF(color_Celda(E851)=16777215,"BLANCO","NO SE"))))</f>
        <v>ROSA</v>
      </c>
      <c r="W851" s="63" t="s">
        <v>2878</v>
      </c>
      <c r="X851" s="63" t="s">
        <v>3881</v>
      </c>
      <c r="Y851" s="118" t="s">
        <v>1038</v>
      </c>
      <c r="Z851" s="118" t="s">
        <v>3258</v>
      </c>
      <c r="AA851" s="118" t="s">
        <v>2828</v>
      </c>
      <c r="AB851" s="63"/>
      <c r="AC851" s="336"/>
    </row>
    <row r="852" spans="1:29" ht="60" customHeight="1">
      <c r="A852" s="63">
        <v>862</v>
      </c>
      <c r="B852" s="65">
        <v>45224</v>
      </c>
      <c r="C852" s="70">
        <v>0.43194444444444446</v>
      </c>
      <c r="D852" s="63" t="s">
        <v>3555</v>
      </c>
      <c r="E852" s="64" t="s">
        <v>3590</v>
      </c>
      <c r="F852" s="63">
        <v>2</v>
      </c>
      <c r="G852" s="63" t="s">
        <v>1433</v>
      </c>
      <c r="H852" s="208">
        <v>45237</v>
      </c>
      <c r="I852" s="65" t="s">
        <v>73</v>
      </c>
      <c r="J852" s="65" t="s">
        <v>1723</v>
      </c>
      <c r="K852" s="63" t="s">
        <v>2324</v>
      </c>
      <c r="L852" s="63" t="s">
        <v>801</v>
      </c>
      <c r="M852" s="63" t="s">
        <v>694</v>
      </c>
      <c r="N852" s="63" t="s">
        <v>3152</v>
      </c>
      <c r="O852" s="78" t="str">
        <f ca="1">IF(H852&lt;&gt;"",IF(H852&lt;=TODAY(),"SI","NO"),"LIMBO")</f>
        <v>SI</v>
      </c>
      <c r="P852" s="78" t="str">
        <f>IF($P$1=H852,"DIASOL", "DIANOSOL")</f>
        <v>DIANOSOL</v>
      </c>
      <c r="Q852" s="63" t="s">
        <v>902</v>
      </c>
      <c r="R852" s="63" t="s">
        <v>100</v>
      </c>
      <c r="S852" s="63" t="s">
        <v>1291</v>
      </c>
      <c r="T852" s="81" t="str">
        <f>IF(G852=$J$1,"SI","NO")</f>
        <v>NO</v>
      </c>
      <c r="U852" s="81"/>
      <c r="V852" s="7" t="str">
        <f ca="1">IF(color_Celda(E852)=12106214,"ROSA",IF(color_Celda(E852)=65535,"AMARILLO",IF(color_Celda(E852)=5296274,"VERDE",IF(color_Celda(E852)=16777215,"BLANCO","NO SE"))))</f>
        <v>ROSA</v>
      </c>
      <c r="W852" s="63" t="s">
        <v>1450</v>
      </c>
      <c r="X852" s="63" t="s">
        <v>3886</v>
      </c>
      <c r="Y852" s="118" t="s">
        <v>770</v>
      </c>
      <c r="Z852" s="118" t="s">
        <v>1169</v>
      </c>
      <c r="AA852" s="118" t="s">
        <v>3642</v>
      </c>
      <c r="AB852" s="63"/>
      <c r="AC852" s="336"/>
    </row>
    <row r="853" spans="1:29" ht="60" customHeight="1">
      <c r="A853" s="63">
        <v>835</v>
      </c>
      <c r="B853" s="65">
        <v>45219</v>
      </c>
      <c r="C853" s="70">
        <v>0.3923611111111111</v>
      </c>
      <c r="D853" s="63" t="s">
        <v>3470</v>
      </c>
      <c r="E853" s="64" t="s">
        <v>3799</v>
      </c>
      <c r="F853" s="63">
        <v>2</v>
      </c>
      <c r="G853" s="63" t="s">
        <v>568</v>
      </c>
      <c r="H853" s="208">
        <v>45237</v>
      </c>
      <c r="I853" s="65" t="s">
        <v>1083</v>
      </c>
      <c r="J853" s="65" t="s">
        <v>1217</v>
      </c>
      <c r="K853" s="63" t="s">
        <v>1916</v>
      </c>
      <c r="L853" s="63" t="s">
        <v>797</v>
      </c>
      <c r="M853" s="63" t="s">
        <v>1285</v>
      </c>
      <c r="N853" s="63" t="s">
        <v>3882</v>
      </c>
      <c r="O853" s="78" t="str">
        <f ca="1">IF(H853&lt;&gt;"",IF(H853&lt;=TODAY(),"SI","NO"),"LIMBO")</f>
        <v>SI</v>
      </c>
      <c r="P853" s="78" t="str">
        <f>IF($P$1=H853,"DIASOL", "DIANOSOL")</f>
        <v>DIANOSOL</v>
      </c>
      <c r="Q853" s="63" t="s">
        <v>151</v>
      </c>
      <c r="R853" s="63" t="str">
        <f>VLOOKUP($Q853,Resultados!$A$1:$B$49,2,FALSE)</f>
        <v>Prisión Preventiva</v>
      </c>
      <c r="S853" s="63" t="s">
        <v>1388</v>
      </c>
      <c r="T853" s="81" t="str">
        <f>IF(G853=$J$1,"SI","NO")</f>
        <v>NO</v>
      </c>
      <c r="U853" s="81"/>
      <c r="V853" s="7" t="str">
        <f ca="1">IF(color_Celda(E853)=12106214,"ROSA",IF(color_Celda(E853)=65535,"AMARILLO",IF(color_Celda(E853)=5296274,"VERDE",IF(color_Celda(E853)=16777215,"BLANCO","NO SE"))))</f>
        <v>ROSA</v>
      </c>
      <c r="W853" s="63" t="s">
        <v>1457</v>
      </c>
      <c r="X853" s="63" t="s">
        <v>3155</v>
      </c>
      <c r="Y853" s="118" t="s">
        <v>3368</v>
      </c>
      <c r="Z853" s="118" t="s">
        <v>3322</v>
      </c>
      <c r="AA853" s="118" t="s">
        <v>3379</v>
      </c>
      <c r="AB853" s="63"/>
      <c r="AC853" s="336"/>
    </row>
    <row r="854" spans="1:29" ht="60" customHeight="1">
      <c r="A854" s="63">
        <v>836</v>
      </c>
      <c r="B854" s="65">
        <v>45219</v>
      </c>
      <c r="C854" s="70">
        <v>0.38819444444444445</v>
      </c>
      <c r="D854" s="63" t="s">
        <v>3472</v>
      </c>
      <c r="E854" s="64" t="s">
        <v>3471</v>
      </c>
      <c r="F854" s="63">
        <v>3</v>
      </c>
      <c r="G854" s="63" t="s">
        <v>1435</v>
      </c>
      <c r="H854" s="208">
        <v>45237</v>
      </c>
      <c r="I854" s="65" t="s">
        <v>1083</v>
      </c>
      <c r="J854" s="65" t="s">
        <v>78</v>
      </c>
      <c r="K854" s="63">
        <f>IFERROR(VLOOKUP(J854,Jueces!$A$1:$B$11,2,FALSE),"")</f>
        <v>8</v>
      </c>
      <c r="L854" s="63" t="s">
        <v>807</v>
      </c>
      <c r="M854" s="63" t="s">
        <v>694</v>
      </c>
      <c r="N854" s="63" t="s">
        <v>2566</v>
      </c>
      <c r="O854" s="78" t="str">
        <f ca="1">IF(H854&lt;&gt;"",IF(H854&lt;=TODAY(),"SI","NO"),"LIMBO")</f>
        <v>SI</v>
      </c>
      <c r="P854" s="78" t="str">
        <f>IF($P$1=H854,"DIASOL", "DIANOSOL")</f>
        <v>DIANOSOL</v>
      </c>
      <c r="Q854" s="63" t="s">
        <v>902</v>
      </c>
      <c r="R854" s="63" t="str">
        <f>VLOOKUP($Q854,Resultados!$A$1:$B$49,2,FALSE)</f>
        <v>Juicio Abreviado</v>
      </c>
      <c r="S854" s="70">
        <v>0.38958333333333334</v>
      </c>
      <c r="T854" s="81" t="str">
        <f>IF(G854=$J$1,"SI","NO")</f>
        <v>SI</v>
      </c>
      <c r="U854" s="81"/>
      <c r="V854" s="7" t="str">
        <f ca="1">IF(color_Celda(E854)=12106214,"ROSA",IF(color_Celda(E854)=65535,"AMARILLO",IF(color_Celda(E854)=5296274,"VERDE",IF(color_Celda(E854)=16777215,"BLANCO","NO SE"))))</f>
        <v>ROSA</v>
      </c>
      <c r="W854" s="63" t="s">
        <v>2878</v>
      </c>
      <c r="X854" s="63" t="s">
        <v>3199</v>
      </c>
      <c r="Y854" s="118" t="s">
        <v>770</v>
      </c>
      <c r="Z854" s="118" t="s">
        <v>1171</v>
      </c>
      <c r="AA854" s="118" t="s">
        <v>1167</v>
      </c>
      <c r="AB854" s="63"/>
      <c r="AC854" s="336"/>
    </row>
    <row r="855" spans="1:29" ht="60" customHeight="1">
      <c r="A855" s="63">
        <v>867</v>
      </c>
      <c r="B855" s="65">
        <v>45222</v>
      </c>
      <c r="C855" s="70">
        <v>0.5229166666666667</v>
      </c>
      <c r="D855" s="63" t="s">
        <v>3572</v>
      </c>
      <c r="E855" s="64" t="s">
        <v>3573</v>
      </c>
      <c r="F855" s="63">
        <v>1</v>
      </c>
      <c r="G855" s="63" t="s">
        <v>2815</v>
      </c>
      <c r="H855" s="208">
        <v>45237</v>
      </c>
      <c r="I855" s="65" t="s">
        <v>1083</v>
      </c>
      <c r="J855" s="65" t="s">
        <v>1216</v>
      </c>
      <c r="K855" s="63">
        <f>IFERROR(VLOOKUP(J855,Jueces!$A$1:$B$11,2,FALSE),"")</f>
        <v>1</v>
      </c>
      <c r="L855" s="63" t="s">
        <v>811</v>
      </c>
      <c r="M855" s="63" t="s">
        <v>712</v>
      </c>
      <c r="N855" s="63" t="s">
        <v>3883</v>
      </c>
      <c r="O855" s="78" t="str">
        <f ca="1">IF(H855&lt;&gt;"",IF(H855&lt;=TODAY(),"SI","NO"),"LIMBO")</f>
        <v>SI</v>
      </c>
      <c r="P855" s="78" t="str">
        <f>IF($P$1=H855,"DIASOL", "DIANOSOL")</f>
        <v>DIANOSOL</v>
      </c>
      <c r="Q855" s="63" t="s">
        <v>897</v>
      </c>
      <c r="R855" s="63" t="str">
        <f>VLOOKUP($Q855,Resultados!$A$1:$B$49,2,FALSE)</f>
        <v>Libertad</v>
      </c>
      <c r="S855" s="63" t="s">
        <v>1384</v>
      </c>
      <c r="T855" s="81" t="str">
        <f>IF(G855=$J$1,"SI","NO")</f>
        <v>NO</v>
      </c>
      <c r="U855" s="81"/>
      <c r="V855" s="7" t="str">
        <f ca="1">IF(color_Celda(E855)=12106214,"ROSA",IF(color_Celda(E855)=65535,"AMARILLO",IF(color_Celda(E855)=5296274,"VERDE",IF(color_Celda(E855)=16777215,"BLANCO","NO SE"))))</f>
        <v>ROSA</v>
      </c>
      <c r="W855" s="63" t="s">
        <v>3521</v>
      </c>
      <c r="X855" s="63" t="s">
        <v>3884</v>
      </c>
      <c r="Y855" s="118" t="s">
        <v>743</v>
      </c>
      <c r="Z855" s="118" t="s">
        <v>1173</v>
      </c>
      <c r="AA855" s="118" t="s">
        <v>3378</v>
      </c>
      <c r="AB855" s="63"/>
      <c r="AC855" s="336"/>
    </row>
    <row r="856" spans="1:29" ht="60" customHeight="1">
      <c r="A856" s="63">
        <v>868</v>
      </c>
      <c r="B856" s="65">
        <v>45225</v>
      </c>
      <c r="C856" s="70">
        <v>0.37708333333333338</v>
      </c>
      <c r="D856" s="63" t="s">
        <v>3574</v>
      </c>
      <c r="E856" s="64" t="s">
        <v>3575</v>
      </c>
      <c r="F856" s="63">
        <v>3</v>
      </c>
      <c r="G856" s="63" t="s">
        <v>3324</v>
      </c>
      <c r="H856" s="208">
        <v>45237</v>
      </c>
      <c r="I856" s="65" t="s">
        <v>1083</v>
      </c>
      <c r="J856" s="65" t="s">
        <v>31</v>
      </c>
      <c r="K856" s="63">
        <f>IFERROR(VLOOKUP(J856,Jueces!$A$1:$B$11,2,FALSE),"")</f>
        <v>2</v>
      </c>
      <c r="L856" s="63" t="s">
        <v>798</v>
      </c>
      <c r="M856" s="63" t="s">
        <v>695</v>
      </c>
      <c r="N856" s="63" t="s">
        <v>2180</v>
      </c>
      <c r="O856" s="78" t="str">
        <f ca="1">IF(H856&lt;&gt;"",IF(H856&lt;=TODAY(),"SI","NO"),"LIMBO")</f>
        <v>SI</v>
      </c>
      <c r="P856" s="78" t="str">
        <f>IF($P$1=H856,"DIASOL", "DIANOSOL")</f>
        <v>DIANOSOL</v>
      </c>
      <c r="Q856" s="63" t="s">
        <v>902</v>
      </c>
      <c r="R856" s="63" t="str">
        <f>VLOOKUP($Q856,Resultados!$A$1:$B$49,2,FALSE)</f>
        <v>Juicio Abreviado</v>
      </c>
      <c r="S856" s="63" t="s">
        <v>2595</v>
      </c>
      <c r="T856" s="81" t="str">
        <f>IF(G856=$J$1,"SI","NO")</f>
        <v>NO</v>
      </c>
      <c r="U856" s="81"/>
      <c r="V856" s="7" t="str">
        <f ca="1">IF(color_Celda(E856)=12106214,"ROSA",IF(color_Celda(E856)=65535,"AMARILLO",IF(color_Celda(E856)=5296274,"VERDE",IF(color_Celda(E856)=16777215,"BLANCO","NO SE"))))</f>
        <v>ROSA</v>
      </c>
      <c r="W856" s="63" t="s">
        <v>1457</v>
      </c>
      <c r="X856" s="63" t="s">
        <v>3155</v>
      </c>
      <c r="Y856" s="118" t="s">
        <v>748</v>
      </c>
      <c r="Z856" s="118" t="s">
        <v>1170</v>
      </c>
      <c r="AA856" s="118" t="s">
        <v>1167</v>
      </c>
      <c r="AB856" s="63"/>
      <c r="AC856" s="336"/>
    </row>
    <row r="857" spans="1:29" ht="60" customHeight="1">
      <c r="A857" s="63">
        <v>840</v>
      </c>
      <c r="B857" s="65">
        <v>45217</v>
      </c>
      <c r="C857" s="70">
        <v>0.34930555555555554</v>
      </c>
      <c r="D857" s="325" t="s">
        <v>3491</v>
      </c>
      <c r="E857" s="64" t="s">
        <v>3492</v>
      </c>
      <c r="F857" s="63">
        <v>1</v>
      </c>
      <c r="G857" s="63" t="s">
        <v>1434</v>
      </c>
      <c r="H857" s="208">
        <v>45238</v>
      </c>
      <c r="I857" s="65" t="s">
        <v>73</v>
      </c>
      <c r="J857" s="65" t="s">
        <v>1217</v>
      </c>
      <c r="K857" s="63">
        <v>2</v>
      </c>
      <c r="L857" s="63" t="s">
        <v>2412</v>
      </c>
      <c r="M857" s="63" t="s">
        <v>1285</v>
      </c>
      <c r="N857" s="63" t="s">
        <v>3911</v>
      </c>
      <c r="O857" s="78" t="str">
        <f ca="1">IF(H857&lt;&gt;"",IF(H857&lt;=TODAY(),"SI","NO"),"LIMBO")</f>
        <v>SI</v>
      </c>
      <c r="P857" s="78" t="str">
        <f>IF($P$1=H857,"DIASOL", "DIANOSOL")</f>
        <v>DIANOSOL</v>
      </c>
      <c r="Q857" s="63" t="s">
        <v>151</v>
      </c>
      <c r="R857" s="63" t="str">
        <f>VLOOKUP($Q857,Resultados!$A$1:$B$49,2,FALSE)</f>
        <v>Prisión Preventiva</v>
      </c>
      <c r="S857" s="63" t="s">
        <v>1231</v>
      </c>
      <c r="T857" s="81" t="str">
        <f>IF(G857=$J$1,"SI","NO")</f>
        <v>NO</v>
      </c>
      <c r="U857" s="81"/>
      <c r="V857" s="7" t="str">
        <f ca="1">IF(color_Celda(E857)=12106214,"ROSA",IF(color_Celda(E857)=65535,"AMARILLO",IF(color_Celda(E857)=5296274,"VERDE",IF(color_Celda(E857)=16777215,"BLANCO","NO SE"))))</f>
        <v>ROSA</v>
      </c>
      <c r="W857" s="63" t="s">
        <v>1489</v>
      </c>
      <c r="X857" s="63"/>
      <c r="Y857" s="63"/>
      <c r="Z857" s="304" t="s">
        <v>743</v>
      </c>
      <c r="AA857" s="304" t="s">
        <v>3379</v>
      </c>
      <c r="AB857" s="304" t="s">
        <v>3258</v>
      </c>
      <c r="AC857" s="336" t="s">
        <v>1792</v>
      </c>
    </row>
    <row r="858" spans="1:29" ht="60" customHeight="1">
      <c r="A858" s="63">
        <v>853</v>
      </c>
      <c r="B858" s="65">
        <v>45222</v>
      </c>
      <c r="C858" s="70">
        <v>0.47916666666666669</v>
      </c>
      <c r="D858" s="63" t="s">
        <v>3525</v>
      </c>
      <c r="E858" s="64" t="s">
        <v>3526</v>
      </c>
      <c r="F858" s="63">
        <v>2</v>
      </c>
      <c r="G858" s="63" t="s">
        <v>2766</v>
      </c>
      <c r="H858" s="208">
        <v>45238</v>
      </c>
      <c r="I858" s="65" t="s">
        <v>73</v>
      </c>
      <c r="J858" s="65" t="s">
        <v>78</v>
      </c>
      <c r="K858" s="63">
        <f>IFERROR(VLOOKUP(J858,Jueces!$A$1:$B$11,2,FALSE),"")</f>
        <v>8</v>
      </c>
      <c r="L858" s="63" t="s">
        <v>805</v>
      </c>
      <c r="M858" s="63" t="s">
        <v>2036</v>
      </c>
      <c r="N858" s="63" t="s">
        <v>3908</v>
      </c>
      <c r="O858" s="78" t="str">
        <f ca="1">IF(H858&lt;&gt;"",IF(H858&lt;=TODAY(),"SI","NO"),"LIMBO")</f>
        <v>SI</v>
      </c>
      <c r="P858" s="78" t="str">
        <f>IF($P$1=H858,"DIASOL", "DIANOSOL")</f>
        <v>DIANOSOL</v>
      </c>
      <c r="Q858" s="63" t="s">
        <v>151</v>
      </c>
      <c r="R858" s="63" t="str">
        <f>VLOOKUP($Q858,Resultados!$A$1:$B$49,2,FALSE)</f>
        <v>Prisión Preventiva</v>
      </c>
      <c r="S858" s="63" t="s">
        <v>1383</v>
      </c>
      <c r="T858" s="81" t="str">
        <f>IF(G858=$J$1,"SI","NO")</f>
        <v>NO</v>
      </c>
      <c r="U858" s="81"/>
      <c r="V858" s="7" t="str">
        <f ca="1">IF(color_Celda(E858)=12106214,"ROSA",IF(color_Celda(E858)=65535,"AMARILLO",IF(color_Celda(E858)=5296274,"VERDE",IF(color_Celda(E858)=16777215,"BLANCO","NO SE"))))</f>
        <v>ROSA</v>
      </c>
      <c r="W858" s="63" t="s">
        <v>1004</v>
      </c>
      <c r="X858" s="366" t="s">
        <v>3909</v>
      </c>
      <c r="Y858" s="63"/>
      <c r="Z858" s="304" t="s">
        <v>748</v>
      </c>
      <c r="AA858" s="304" t="s">
        <v>2869</v>
      </c>
      <c r="AB858" s="304" t="s">
        <v>3874</v>
      </c>
      <c r="AC858" s="336"/>
    </row>
    <row r="859" spans="1:29" ht="60" customHeight="1">
      <c r="A859" s="63">
        <v>856</v>
      </c>
      <c r="B859" s="65">
        <v>45223</v>
      </c>
      <c r="C859" s="70">
        <v>0.33333333333333331</v>
      </c>
      <c r="D859" s="63" t="s">
        <v>3536</v>
      </c>
      <c r="E859" s="64" t="s">
        <v>3579</v>
      </c>
      <c r="F859" s="63">
        <v>3</v>
      </c>
      <c r="G859" s="63" t="s">
        <v>1433</v>
      </c>
      <c r="H859" s="208">
        <v>45238</v>
      </c>
      <c r="I859" s="65" t="s">
        <v>73</v>
      </c>
      <c r="J859" s="65" t="s">
        <v>1723</v>
      </c>
      <c r="K859" s="63" t="s">
        <v>1916</v>
      </c>
      <c r="L859" s="63" t="s">
        <v>791</v>
      </c>
      <c r="M859" s="63" t="s">
        <v>694</v>
      </c>
      <c r="N859" s="63" t="s">
        <v>3915</v>
      </c>
      <c r="O859" s="78" t="str">
        <f ca="1">IF(H859&lt;&gt;"",IF(H859&lt;=TODAY(),"SI","NO"),"LIMBO")</f>
        <v>SI</v>
      </c>
      <c r="P859" s="78" t="str">
        <f>IF($P$1=H859,"DIASOL", "DIANOSOL")</f>
        <v>DIANOSOL</v>
      </c>
      <c r="Q859" s="63" t="s">
        <v>903</v>
      </c>
      <c r="R859" s="63" t="str">
        <f>VLOOKUP($Q859,Resultados!$A$1:$B$49,2,FALSE)</f>
        <v>Juicio Abreviado</v>
      </c>
      <c r="S859" s="63" t="s">
        <v>1012</v>
      </c>
      <c r="T859" s="81" t="str">
        <f>IF(G859=$J$1,"SI","NO")</f>
        <v>NO</v>
      </c>
      <c r="U859" s="81"/>
      <c r="V859" s="7" t="str">
        <f ca="1">IF(color_Celda(E859)=12106214,"ROSA",IF(color_Celda(E859)=65535,"AMARILLO",IF(color_Celda(E859)=5296274,"VERDE",IF(color_Celda(E859)=16777215,"BLANCO","NO SE"))))</f>
        <v>ROSA</v>
      </c>
      <c r="W859" s="63" t="s">
        <v>1125</v>
      </c>
      <c r="X859" s="63"/>
      <c r="Y859" s="63"/>
      <c r="Z859" s="304" t="s">
        <v>770</v>
      </c>
      <c r="AA859" s="304" t="s">
        <v>1167</v>
      </c>
      <c r="AB859" s="304" t="s">
        <v>3322</v>
      </c>
      <c r="AC859" s="336"/>
    </row>
    <row r="860" spans="1:29" ht="60" customHeight="1">
      <c r="A860" s="63">
        <v>907</v>
      </c>
      <c r="B860" s="65">
        <v>45231</v>
      </c>
      <c r="C860" s="70">
        <v>0.4381944444444445</v>
      </c>
      <c r="D860" s="63" t="s">
        <v>3716</v>
      </c>
      <c r="E860" s="64" t="s">
        <v>3717</v>
      </c>
      <c r="F860" s="63">
        <v>3</v>
      </c>
      <c r="G860" s="63" t="s">
        <v>3324</v>
      </c>
      <c r="H860" s="208">
        <v>45238</v>
      </c>
      <c r="I860" s="65" t="s">
        <v>73</v>
      </c>
      <c r="J860" s="65" t="s">
        <v>2922</v>
      </c>
      <c r="K860" s="63">
        <v>1</v>
      </c>
      <c r="L860" s="63" t="s">
        <v>810</v>
      </c>
      <c r="M860" s="63" t="s">
        <v>695</v>
      </c>
      <c r="N860" s="63" t="s">
        <v>3905</v>
      </c>
      <c r="O860" s="78" t="str">
        <f ca="1">IF(H860&lt;&gt;"",IF(H860&lt;=TODAY(),"SI","NO"),"LIMBO")</f>
        <v>SI</v>
      </c>
      <c r="P860" s="78" t="str">
        <f>IF($P$1=H860,"DIASOL", "DIANOSOL")</f>
        <v>DIANOSOL</v>
      </c>
      <c r="Q860" s="63" t="s">
        <v>151</v>
      </c>
      <c r="R860" s="63" t="str">
        <f>VLOOKUP($Q860,Resultados!$A$1:$B$49,2,FALSE)</f>
        <v>Prisión Preventiva</v>
      </c>
      <c r="S860" s="63" t="s">
        <v>2536</v>
      </c>
      <c r="T860" s="81" t="str">
        <f>IF(G860=$J$1,"SI","NO")</f>
        <v>NO</v>
      </c>
      <c r="U860" s="81"/>
      <c r="V860" s="7" t="str">
        <f ca="1">IF(color_Celda(E860)=12106214,"ROSA",IF(color_Celda(E860)=65535,"AMARILLO",IF(color_Celda(E860)=5296274,"VERDE",IF(color_Celda(E860)=16777215,"BLANCO","NO SE"))))</f>
        <v>ROSA</v>
      </c>
      <c r="W860" s="63" t="s">
        <v>1604</v>
      </c>
      <c r="X860" s="639" t="s">
        <v>3906</v>
      </c>
      <c r="Y860" s="63"/>
      <c r="Z860" s="304" t="s">
        <v>3368</v>
      </c>
      <c r="AA860" s="304" t="s">
        <v>2828</v>
      </c>
      <c r="AB860" s="304" t="s">
        <v>1170</v>
      </c>
      <c r="AC860" s="336"/>
    </row>
    <row r="861" spans="1:29" ht="60" customHeight="1">
      <c r="A861" s="63">
        <v>889</v>
      </c>
      <c r="B861" s="65">
        <v>45236</v>
      </c>
      <c r="C861" s="70">
        <v>0.51250000000000007</v>
      </c>
      <c r="D861" s="63" t="s">
        <v>3632</v>
      </c>
      <c r="E861" s="64" t="s">
        <v>3633</v>
      </c>
      <c r="F861" s="63">
        <v>8</v>
      </c>
      <c r="G861" s="63" t="s">
        <v>2815</v>
      </c>
      <c r="H861" s="208">
        <v>45238</v>
      </c>
      <c r="I861" s="65" t="s">
        <v>73</v>
      </c>
      <c r="J861" s="65" t="s">
        <v>35</v>
      </c>
      <c r="K861" s="63">
        <f>IFERROR(VLOOKUP(J861,Jueces!$A$1:$B$11,2,FALSE),"")</f>
        <v>3</v>
      </c>
      <c r="L861" s="63" t="s">
        <v>797</v>
      </c>
      <c r="M861" s="63" t="s">
        <v>2987</v>
      </c>
      <c r="N861" s="63" t="s">
        <v>3907</v>
      </c>
      <c r="O861" s="63" t="str">
        <f ca="1">IF(H861&lt;&gt;"",IF(H861&lt;=TODAY(),"SI","NO"),"LIMBO")</f>
        <v>SI</v>
      </c>
      <c r="P861" s="63" t="str">
        <f>IF($P$1=H861,"DIASOL", "DIANOSOL")</f>
        <v>DIANOSOL</v>
      </c>
      <c r="Q861" s="63" t="s">
        <v>910</v>
      </c>
      <c r="R861" s="63" t="str">
        <f>VLOOKUP($Q861,Resultados!$A$1:$B$49,2,FALSE)</f>
        <v>Suspendida</v>
      </c>
      <c r="S861" s="70">
        <v>0.3527777777777778</v>
      </c>
      <c r="T861" s="72" t="str">
        <f>IF(G861=$J$1,"SI","NO")</f>
        <v>NO</v>
      </c>
      <c r="U861" s="72"/>
      <c r="V861" s="7" t="str">
        <f ca="1">IF(color_Celda(E861)=12106214,"ROSA",IF(color_Celda(E861)=65535,"AMARILLO",IF(color_Celda(E861)=5296274,"VERDE",IF(color_Celda(E861)=16777215,"BLANCO","NO SE"))))</f>
        <v>ROSA</v>
      </c>
      <c r="W861" s="70">
        <v>0.37083333333333335</v>
      </c>
      <c r="X861" s="366" t="s">
        <v>3912</v>
      </c>
      <c r="Y861" s="63"/>
      <c r="Z861" s="304" t="s">
        <v>3888</v>
      </c>
      <c r="AA861" s="304" t="s">
        <v>3378</v>
      </c>
      <c r="AB861" s="304" t="s">
        <v>1173</v>
      </c>
      <c r="AC861" s="336"/>
    </row>
    <row r="862" spans="1:29" ht="60" customHeight="1">
      <c r="A862" s="63">
        <v>860</v>
      </c>
      <c r="B862" s="65">
        <v>45223</v>
      </c>
      <c r="C862" s="70">
        <v>0.49513888888888885</v>
      </c>
      <c r="D862" s="63" t="s">
        <v>3543</v>
      </c>
      <c r="E862" s="64" t="s">
        <v>3587</v>
      </c>
      <c r="F862" s="63">
        <v>3</v>
      </c>
      <c r="G862" s="63" t="s">
        <v>3323</v>
      </c>
      <c r="H862" s="208">
        <v>45238</v>
      </c>
      <c r="I862" s="65" t="s">
        <v>1083</v>
      </c>
      <c r="J862" s="65" t="s">
        <v>78</v>
      </c>
      <c r="K862" s="63">
        <f>IFERROR(VLOOKUP(J862,Jueces!$A$1:$B$11,2,FALSE),"")</f>
        <v>8</v>
      </c>
      <c r="L862" s="63" t="s">
        <v>798</v>
      </c>
      <c r="M862" s="63" t="s">
        <v>694</v>
      </c>
      <c r="N862" s="63" t="s">
        <v>3903</v>
      </c>
      <c r="O862" s="78" t="str">
        <f ca="1">IF(H862&lt;&gt;"",IF(H862&lt;=TODAY(),"SI","NO"),"LIMBO")</f>
        <v>SI</v>
      </c>
      <c r="P862" s="78" t="str">
        <f>IF($P$1=H862,"DIASOL", "DIANOSOL")</f>
        <v>DIANOSOL</v>
      </c>
      <c r="Q862" s="63" t="s">
        <v>902</v>
      </c>
      <c r="R862" s="63" t="str">
        <f>VLOOKUP($Q862,Resultados!$A$1:$B$49,2,FALSE)</f>
        <v>Juicio Abreviado</v>
      </c>
      <c r="S862" s="63" t="s">
        <v>1189</v>
      </c>
      <c r="T862" s="81" t="str">
        <f>IF(G862=$J$1,"SI","NO")</f>
        <v>NO</v>
      </c>
      <c r="U862" s="81"/>
      <c r="V862" s="7" t="str">
        <f ca="1">IF(color_Celda(E862)=12106214,"ROSA",IF(color_Celda(E862)=65535,"AMARILLO",IF(color_Celda(E862)=5296274,"VERDE",IF(color_Celda(E862)=16777215,"BLANCO","NO SE"))))</f>
        <v>ROSA</v>
      </c>
      <c r="W862" s="63" t="s">
        <v>2595</v>
      </c>
      <c r="X862" s="577" t="s">
        <v>3904</v>
      </c>
      <c r="Y862" s="63"/>
      <c r="Z862" s="304" t="s">
        <v>748</v>
      </c>
      <c r="AA862" s="304" t="s">
        <v>3378</v>
      </c>
      <c r="AB862" s="304" t="s">
        <v>3258</v>
      </c>
      <c r="AC862" s="336"/>
    </row>
    <row r="863" spans="1:29" ht="60" customHeight="1">
      <c r="A863" s="63">
        <v>871</v>
      </c>
      <c r="B863" s="65">
        <v>45225</v>
      </c>
      <c r="C863" s="70">
        <v>0.40486111111111112</v>
      </c>
      <c r="D863" s="63" t="s">
        <v>3583</v>
      </c>
      <c r="E863" s="64" t="s">
        <v>3584</v>
      </c>
      <c r="F863" s="63">
        <v>3</v>
      </c>
      <c r="G863" s="63" t="s">
        <v>1435</v>
      </c>
      <c r="H863" s="208">
        <v>45238</v>
      </c>
      <c r="I863" s="65" t="s">
        <v>1083</v>
      </c>
      <c r="J863" s="65" t="s">
        <v>1221</v>
      </c>
      <c r="K863" s="63">
        <f>IFERROR(VLOOKUP(J863,Jueces!$A$1:$B$11,2,FALSE),"")</f>
        <v>6</v>
      </c>
      <c r="L863" s="63" t="s">
        <v>3913</v>
      </c>
      <c r="M863" s="7" t="s">
        <v>695</v>
      </c>
      <c r="N863" s="63" t="s">
        <v>3914</v>
      </c>
      <c r="O863" s="78" t="str">
        <f ca="1">IF(H863&lt;&gt;"",IF(H863&lt;=TODAY(),"SI","NO"),"LIMBO")</f>
        <v>SI</v>
      </c>
      <c r="P863" s="78" t="str">
        <f>IF($P$1=H863,"DIASOL", "DIANOSOL")</f>
        <v>DIANOSOL</v>
      </c>
      <c r="Q863" s="63" t="s">
        <v>900</v>
      </c>
      <c r="R863" s="63" t="str">
        <f>VLOOKUP($Q863,Resultados!$A$1:$B$49,2,FALSE)</f>
        <v>Libertad</v>
      </c>
      <c r="S863" s="63" t="s">
        <v>1119</v>
      </c>
      <c r="T863" s="81" t="str">
        <f>IF(G863=$J$1,"SI","NO")</f>
        <v>SI</v>
      </c>
      <c r="U863" s="81"/>
      <c r="V863" s="7" t="str">
        <f ca="1">IF(color_Celda(E863)=12106214,"ROSA",IF(color_Celda(E863)=65535,"AMARILLO",IF(color_Celda(E863)=5296274,"VERDE",IF(color_Celda(E863)=16777215,"BLANCO","NO SE"))))</f>
        <v>ROSA</v>
      </c>
      <c r="W863" s="63" t="s">
        <v>2063</v>
      </c>
      <c r="X863" s="63"/>
      <c r="Y863" s="63"/>
      <c r="Z863" s="304" t="s">
        <v>770</v>
      </c>
      <c r="AA863" s="304" t="s">
        <v>1165</v>
      </c>
      <c r="AB863" s="304" t="s">
        <v>3874</v>
      </c>
      <c r="AC863" s="336"/>
    </row>
    <row r="864" spans="1:29" ht="60" customHeight="1">
      <c r="A864" s="63">
        <v>873</v>
      </c>
      <c r="B864" s="65">
        <v>45223</v>
      </c>
      <c r="C864" s="70">
        <v>0.52847222222222223</v>
      </c>
      <c r="D864" s="63" t="s">
        <v>3588</v>
      </c>
      <c r="E864" s="64" t="s">
        <v>3855</v>
      </c>
      <c r="F864" s="63">
        <v>3</v>
      </c>
      <c r="G864" s="63" t="s">
        <v>283</v>
      </c>
      <c r="H864" s="208">
        <v>45238</v>
      </c>
      <c r="I864" s="65" t="s">
        <v>1206</v>
      </c>
      <c r="J864" s="65" t="s">
        <v>1217</v>
      </c>
      <c r="K864" s="63">
        <v>8</v>
      </c>
      <c r="L864" s="63" t="s">
        <v>789</v>
      </c>
      <c r="M864" s="63" t="s">
        <v>694</v>
      </c>
      <c r="N864" s="63" t="s">
        <v>3902</v>
      </c>
      <c r="O864" s="78" t="str">
        <f ca="1">IF(H864&lt;&gt;"",IF(H864&lt;=TODAY(),"SI","NO"),"LIMBO")</f>
        <v>SI</v>
      </c>
      <c r="P864" s="78" t="str">
        <f>IF($P$1=H864,"DIASOL", "DIANOSOL")</f>
        <v>DIANOSOL</v>
      </c>
      <c r="Q864" s="63" t="s">
        <v>903</v>
      </c>
      <c r="R864" s="63" t="str">
        <f>VLOOKUP($Q864,Resultados!$A$1:$B$49,2,FALSE)</f>
        <v>Juicio Abreviado</v>
      </c>
      <c r="S864" s="63" t="s">
        <v>3539</v>
      </c>
      <c r="T864" s="81" t="str">
        <f>IF(G864=$J$1,"SI","NO")</f>
        <v>NO</v>
      </c>
      <c r="U864" s="81"/>
      <c r="V864" s="7" t="str">
        <f ca="1">IF(color_Celda(E864)=12106214,"ROSA",IF(color_Celda(E864)=65535,"AMARILLO",IF(color_Celda(E864)=5296274,"VERDE",IF(color_Celda(E864)=16777215,"BLANCO","NO SE"))))</f>
        <v>ROSA</v>
      </c>
      <c r="W864" s="63" t="s">
        <v>1687</v>
      </c>
      <c r="X864" s="366" t="s">
        <v>3910</v>
      </c>
      <c r="Y864" s="63"/>
      <c r="Z864" s="304" t="s">
        <v>748</v>
      </c>
      <c r="AA864" s="304" t="s">
        <v>1167</v>
      </c>
      <c r="AB864" s="304" t="s">
        <v>3322</v>
      </c>
      <c r="AC864" s="336"/>
    </row>
    <row r="865" spans="1:29" ht="60" customHeight="1">
      <c r="A865" s="63">
        <v>903</v>
      </c>
      <c r="B865" s="65">
        <v>45231</v>
      </c>
      <c r="C865" s="70">
        <v>0.40972222222222227</v>
      </c>
      <c r="D865" s="63" t="s">
        <v>3711</v>
      </c>
      <c r="E865" s="64" t="s">
        <v>3865</v>
      </c>
      <c r="F865" s="63">
        <v>3</v>
      </c>
      <c r="G865" s="63" t="s">
        <v>2815</v>
      </c>
      <c r="H865" s="208">
        <v>45238</v>
      </c>
      <c r="I865" s="65" t="s">
        <v>547</v>
      </c>
      <c r="J865" s="65" t="s">
        <v>78</v>
      </c>
      <c r="K865" s="63">
        <v>8</v>
      </c>
      <c r="L865" s="63" t="s">
        <v>791</v>
      </c>
      <c r="M865" s="63" t="s">
        <v>694</v>
      </c>
      <c r="N865" s="63" t="s">
        <v>3901</v>
      </c>
      <c r="O865" s="206" t="str">
        <f ca="1">IF(H865&lt;&gt;"",IF(H865&lt;=TODAY(),"SI","NO"),"LIMBO")</f>
        <v>SI</v>
      </c>
      <c r="P865" s="206" t="str">
        <f>IF($P$1=H865,"DIASOL", "DIANOSOL")</f>
        <v>DIANOSOL</v>
      </c>
      <c r="Q865" s="63" t="s">
        <v>903</v>
      </c>
      <c r="R865" s="63" t="str">
        <f>VLOOKUP($Q865,Resultados!$A$1:$B$49,2,FALSE)</f>
        <v>Juicio Abreviado</v>
      </c>
      <c r="S865" s="63" t="s">
        <v>3565</v>
      </c>
      <c r="T865" s="267" t="str">
        <f>IF(G865=$J$1,"SI","NO")</f>
        <v>NO</v>
      </c>
      <c r="U865" s="267"/>
      <c r="V865" s="7" t="str">
        <f ca="1">IF(color_Celda(E865)=12106214,"ROSA",IF(color_Celda(E865)=65535,"AMARILLO",IF(color_Celda(E865)=5296274,"VERDE",IF(color_Celda(E865)=16777215,"BLANCO","NO SE"))))</f>
        <v>ROSA</v>
      </c>
      <c r="W865" s="63" t="s">
        <v>3439</v>
      </c>
      <c r="X865" s="639" t="s">
        <v>3900</v>
      </c>
      <c r="Y865" s="63"/>
      <c r="Z865" s="304" t="s">
        <v>748</v>
      </c>
      <c r="AA865" s="304" t="s">
        <v>2828</v>
      </c>
      <c r="AB865" s="304" t="s">
        <v>1173</v>
      </c>
      <c r="AC865" s="336"/>
    </row>
    <row r="866" spans="1:29" ht="60" customHeight="1">
      <c r="A866" s="63">
        <v>834</v>
      </c>
      <c r="B866" s="65">
        <v>45219</v>
      </c>
      <c r="C866" s="70">
        <v>0.35000000000000003</v>
      </c>
      <c r="D866" s="63" t="s">
        <v>3467</v>
      </c>
      <c r="E866" s="64" t="s">
        <v>3468</v>
      </c>
      <c r="F866" s="63">
        <v>2</v>
      </c>
      <c r="G866" s="63" t="s">
        <v>1435</v>
      </c>
      <c r="H866" s="208">
        <v>45239</v>
      </c>
      <c r="I866" s="65" t="s">
        <v>73</v>
      </c>
      <c r="J866" s="65" t="s">
        <v>78</v>
      </c>
      <c r="K866" s="63">
        <f>IFERROR(VLOOKUP(J866,Jueces!$A$1:$B$11,2,FALSE),"")</f>
        <v>8</v>
      </c>
      <c r="L866" s="63" t="s">
        <v>2077</v>
      </c>
      <c r="M866" s="335" t="s">
        <v>782</v>
      </c>
      <c r="N866" s="63" t="s">
        <v>3940</v>
      </c>
      <c r="O866" s="78" t="str">
        <f ca="1">IF(H866&lt;&gt;"",IF(H866&lt;=TODAY(),"SI","NO"),"LIMBO")</f>
        <v>SI</v>
      </c>
      <c r="P866" s="78" t="str">
        <f>IF($P$1=H866,"DIASOL", "DIANOSOL")</f>
        <v>DIANOSOL</v>
      </c>
      <c r="Q866" s="63" t="s">
        <v>151</v>
      </c>
      <c r="R866" s="63" t="s">
        <v>151</v>
      </c>
      <c r="S866" s="63" t="s">
        <v>749</v>
      </c>
      <c r="T866" s="81" t="str">
        <f>IF(G866=$J$1,"SI","NO")</f>
        <v>SI</v>
      </c>
      <c r="U866" s="81"/>
      <c r="V866" s="7" t="str">
        <f ca="1">IF(color_Celda(E866)=12106214,"ROSA",IF(color_Celda(E866)=65535,"AMARILLO",IF(color_Celda(E866)=5296274,"VERDE",IF(color_Celda(E866)=16777215,"BLANCO","NO SE"))))</f>
        <v>ROSA</v>
      </c>
      <c r="W866" s="63" t="s">
        <v>1558</v>
      </c>
      <c r="X866" s="63"/>
      <c r="Y866" s="63"/>
      <c r="Z866" s="118" t="s">
        <v>770</v>
      </c>
      <c r="AA866" s="118" t="s">
        <v>3379</v>
      </c>
      <c r="AB866" s="63" t="s">
        <v>1170</v>
      </c>
      <c r="AC866" s="336"/>
    </row>
    <row r="867" spans="1:29" ht="60" customHeight="1">
      <c r="A867" s="63">
        <v>843</v>
      </c>
      <c r="B867" s="65">
        <v>45222</v>
      </c>
      <c r="C867" s="70">
        <v>0.39166666666666666</v>
      </c>
      <c r="D867" s="63" t="s">
        <v>3497</v>
      </c>
      <c r="E867" s="64" t="s">
        <v>3498</v>
      </c>
      <c r="F867" s="63">
        <v>2</v>
      </c>
      <c r="G867" s="63" t="s">
        <v>283</v>
      </c>
      <c r="H867" s="208">
        <v>45239</v>
      </c>
      <c r="I867" s="65" t="s">
        <v>73</v>
      </c>
      <c r="J867" s="65" t="s">
        <v>1723</v>
      </c>
      <c r="K867" s="63">
        <v>2</v>
      </c>
      <c r="L867" s="63" t="s">
        <v>688</v>
      </c>
      <c r="M867" s="63" t="s">
        <v>3730</v>
      </c>
      <c r="N867" s="63" t="s">
        <v>577</v>
      </c>
      <c r="O867" s="78" t="str">
        <f ca="1">IF(H867&lt;&gt;"",IF(H867&lt;=TODAY(),"SI","NO"),"LIMBO")</f>
        <v>SI</v>
      </c>
      <c r="P867" s="78" t="str">
        <f>IF($P$1=H867,"DIASOL", "DIANOSOL")</f>
        <v>DIANOSOL</v>
      </c>
      <c r="Q867" s="63" t="s">
        <v>151</v>
      </c>
      <c r="R867" s="63" t="str">
        <f>VLOOKUP($Q867,Resultados!$A$1:$B$49,2,FALSE)</f>
        <v>Prisión Preventiva</v>
      </c>
      <c r="S867" s="63" t="s">
        <v>686</v>
      </c>
      <c r="T867" s="81" t="str">
        <f>IF(G867=$J$1,"SI","NO")</f>
        <v>NO</v>
      </c>
      <c r="U867" s="81"/>
      <c r="V867" s="7" t="str">
        <f ca="1">IF(color_Celda(E867)=12106214,"ROSA",IF(color_Celda(E867)=65535,"AMARILLO",IF(color_Celda(E867)=5296274,"VERDE",IF(color_Celda(E867)=16777215,"BLANCO","NO SE"))))</f>
        <v>ROSA</v>
      </c>
      <c r="W867" s="63" t="s">
        <v>76</v>
      </c>
      <c r="X867" s="63" t="s">
        <v>3935</v>
      </c>
      <c r="Y867" s="63"/>
      <c r="Z867" s="118" t="s">
        <v>743</v>
      </c>
      <c r="AA867" s="118" t="s">
        <v>2828</v>
      </c>
      <c r="AB867" s="63" t="s">
        <v>3258</v>
      </c>
      <c r="AC867" s="336"/>
    </row>
    <row r="868" spans="1:29" ht="60" customHeight="1">
      <c r="A868" s="63">
        <v>857</v>
      </c>
      <c r="B868" s="65">
        <v>45224</v>
      </c>
      <c r="C868" s="70">
        <v>0.33333333333333331</v>
      </c>
      <c r="D868" s="63" t="s">
        <v>3548</v>
      </c>
      <c r="E868" s="64" t="s">
        <v>3582</v>
      </c>
      <c r="F868" s="63">
        <v>3</v>
      </c>
      <c r="G868" s="63" t="s">
        <v>3323</v>
      </c>
      <c r="H868" s="208">
        <v>45239</v>
      </c>
      <c r="I868" s="65" t="s">
        <v>73</v>
      </c>
      <c r="J868" s="65" t="s">
        <v>2925</v>
      </c>
      <c r="K868" s="63">
        <v>5</v>
      </c>
      <c r="L868" s="63" t="s">
        <v>811</v>
      </c>
      <c r="M868" s="63" t="s">
        <v>694</v>
      </c>
      <c r="N868" s="63" t="s">
        <v>3937</v>
      </c>
      <c r="O868" s="78" t="str">
        <f ca="1">IF(H868&lt;&gt;"",IF(H868&lt;=TODAY(),"SI","NO"),"LIMBO")</f>
        <v>SI</v>
      </c>
      <c r="P868" s="78" t="str">
        <f>IF($P$1=H868,"DIASOL", "DIANOSOL")</f>
        <v>DIANOSOL</v>
      </c>
      <c r="Q868" s="63" t="s">
        <v>902</v>
      </c>
      <c r="R868" s="63" t="str">
        <f>VLOOKUP($Q868,Resultados!$A$1:$B$49,2,FALSE)</f>
        <v>Juicio Abreviado</v>
      </c>
      <c r="S868" s="63" t="s">
        <v>3094</v>
      </c>
      <c r="T868" s="81" t="str">
        <f>IF(G868=$J$1,"SI","NO")</f>
        <v>NO</v>
      </c>
      <c r="U868" s="81"/>
      <c r="V868" s="7" t="str">
        <f ca="1">IF(color_Celda(E868)=12106214,"ROSA",IF(color_Celda(E868)=65535,"AMARILLO",IF(color_Celda(E868)=5296274,"VERDE",IF(color_Celda(E868)=16777215,"BLANCO","NO SE"))))</f>
        <v>ROSA</v>
      </c>
      <c r="W868" s="63" t="s">
        <v>987</v>
      </c>
      <c r="X868" s="63" t="s">
        <v>3938</v>
      </c>
      <c r="Y868" s="63"/>
      <c r="Z868" s="118" t="s">
        <v>748</v>
      </c>
      <c r="AA868" s="118" t="s">
        <v>3378</v>
      </c>
      <c r="AB868" s="63" t="s">
        <v>3874</v>
      </c>
      <c r="AC868" s="336"/>
    </row>
    <row r="869" spans="1:29" ht="60" customHeight="1">
      <c r="A869" s="63">
        <v>882</v>
      </c>
      <c r="B869" s="65">
        <v>45226</v>
      </c>
      <c r="C869" s="70">
        <v>0.39444444444444443</v>
      </c>
      <c r="D869" s="63" t="s">
        <v>3611</v>
      </c>
      <c r="E869" s="64" t="s">
        <v>3612</v>
      </c>
      <c r="F869" s="63">
        <v>1</v>
      </c>
      <c r="G869" s="63" t="s">
        <v>2766</v>
      </c>
      <c r="H869" s="208">
        <v>45239</v>
      </c>
      <c r="I869" s="65" t="s">
        <v>73</v>
      </c>
      <c r="J869" s="65" t="s">
        <v>35</v>
      </c>
      <c r="K869" s="63">
        <f>IFERROR(VLOOKUP(J869,Jueces!$A$1:$B$11,2,FALSE),"")</f>
        <v>3</v>
      </c>
      <c r="L869" s="63" t="s">
        <v>812</v>
      </c>
      <c r="M869" s="63" t="s">
        <v>2043</v>
      </c>
      <c r="N869" s="63" t="s">
        <v>3939</v>
      </c>
      <c r="O869" s="78" t="str">
        <f ca="1">IF(H869&lt;&gt;"",IF(H869&lt;=TODAY(),"SI","NO"),"LIMBO")</f>
        <v>SI</v>
      </c>
      <c r="P869" s="78" t="str">
        <f>IF($P$1=H869,"DIASOL", "DIANOSOL")</f>
        <v>DIANOSOL</v>
      </c>
      <c r="Q869" s="63" t="s">
        <v>903</v>
      </c>
      <c r="R869" s="63" t="str">
        <f>VLOOKUP($Q869,Resultados!$A$1:$B$49,2,FALSE)</f>
        <v>Juicio Abreviado</v>
      </c>
      <c r="S869" s="63" t="s">
        <v>1013</v>
      </c>
      <c r="T869" s="81" t="str">
        <f>IF(G869=$J$1,"SI","NO")</f>
        <v>NO</v>
      </c>
      <c r="U869" s="81"/>
      <c r="V869" s="7" t="str">
        <f ca="1">IF(color_Celda(E869)=12106214,"ROSA",IF(color_Celda(E869)=65535,"AMARILLO",IF(color_Celda(E869)=5296274,"VERDE",IF(color_Celda(E869)=16777215,"BLANCO","NO SE"))))</f>
        <v>ROSA</v>
      </c>
      <c r="W869" s="63" t="s">
        <v>1601</v>
      </c>
      <c r="X869" s="63" t="s">
        <v>2552</v>
      </c>
      <c r="Y869" s="63"/>
      <c r="Z869" s="118" t="s">
        <v>3888</v>
      </c>
      <c r="AA869" s="118" t="s">
        <v>3379</v>
      </c>
      <c r="AB869" s="63" t="s">
        <v>1173</v>
      </c>
      <c r="AC869" s="336"/>
    </row>
    <row r="870" spans="1:29" ht="60" customHeight="1">
      <c r="A870" s="63">
        <v>897</v>
      </c>
      <c r="B870" s="65">
        <v>45230</v>
      </c>
      <c r="C870" s="70">
        <v>0.53472222222222221</v>
      </c>
      <c r="D870" s="63" t="s">
        <v>3341</v>
      </c>
      <c r="E870" s="64" t="s">
        <v>3692</v>
      </c>
      <c r="F870" s="63">
        <v>1</v>
      </c>
      <c r="G870" s="63" t="s">
        <v>43</v>
      </c>
      <c r="H870" s="208">
        <v>45239</v>
      </c>
      <c r="I870" s="65" t="s">
        <v>73</v>
      </c>
      <c r="J870" s="65" t="s">
        <v>2922</v>
      </c>
      <c r="K870" s="63" t="s">
        <v>3872</v>
      </c>
      <c r="L870" s="63" t="s">
        <v>582</v>
      </c>
      <c r="M870" s="330" t="s">
        <v>3763</v>
      </c>
      <c r="N870" s="205" t="s">
        <v>3936</v>
      </c>
      <c r="O870" s="78" t="str">
        <f ca="1">IF(H870&lt;&gt;"",IF(H870&lt;=TODAY(),"SI","NO"),"LIMBO")</f>
        <v>SI</v>
      </c>
      <c r="P870" s="78" t="str">
        <f>IF($P$1=H870,"DIASOL", "DIANOSOL")</f>
        <v>DIANOSOL</v>
      </c>
      <c r="Q870" s="63" t="s">
        <v>902</v>
      </c>
      <c r="R870" s="63" t="str">
        <f>VLOOKUP($Q870,Resultados!$A$1:$B$49,2,FALSE)</f>
        <v>Juicio Abreviado</v>
      </c>
      <c r="S870" s="63" t="s">
        <v>1183</v>
      </c>
      <c r="T870" s="81" t="str">
        <f>IF(G870=$J$1,"SI","NO")</f>
        <v>NO</v>
      </c>
      <c r="U870" s="81"/>
      <c r="V870" s="7" t="str">
        <f ca="1">IF(color_Celda(E870)=12106214,"ROSA",IF(color_Celda(E870)=65535,"AMARILLO",IF(color_Celda(E870)=5296274,"VERDE",IF(color_Celda(E870)=16777215,"BLANCO","NO SE"))))</f>
        <v>ROSA</v>
      </c>
      <c r="W870" s="63" t="s">
        <v>1383</v>
      </c>
      <c r="X870" s="63" t="s">
        <v>2552</v>
      </c>
      <c r="Y870" s="63"/>
      <c r="Z870" s="118" t="s">
        <v>3368</v>
      </c>
      <c r="AA870" s="63"/>
      <c r="AB870" s="63" t="s">
        <v>3322</v>
      </c>
      <c r="AC870" s="336"/>
    </row>
    <row r="871" spans="1:29" ht="60" customHeight="1">
      <c r="A871" s="63">
        <v>855</v>
      </c>
      <c r="B871" s="65">
        <v>45224</v>
      </c>
      <c r="C871" s="70">
        <v>0.34027777777777773</v>
      </c>
      <c r="D871" s="63" t="s">
        <v>3547</v>
      </c>
      <c r="E871" s="64" t="s">
        <v>3581</v>
      </c>
      <c r="F871" s="63">
        <v>3</v>
      </c>
      <c r="G871" s="63" t="s">
        <v>568</v>
      </c>
      <c r="H871" s="208">
        <v>45239</v>
      </c>
      <c r="I871" s="65" t="s">
        <v>1083</v>
      </c>
      <c r="J871" s="65" t="s">
        <v>1216</v>
      </c>
      <c r="K871" s="63">
        <f>IFERROR(VLOOKUP(J871,Jueces!$A$1:$B$11,2,FALSE),"")</f>
        <v>1</v>
      </c>
      <c r="L871" s="63" t="s">
        <v>810</v>
      </c>
      <c r="M871" s="63" t="s">
        <v>694</v>
      </c>
      <c r="N871" s="63" t="s">
        <v>3152</v>
      </c>
      <c r="O871" s="78" t="str">
        <f ca="1">IF(H871&lt;&gt;"",IF(H871&lt;=TODAY(),"SI","NO"),"LIMBO")</f>
        <v>SI</v>
      </c>
      <c r="P871" s="78" t="str">
        <f>IF($P$1=H871,"DIASOL", "DIANOSOL")</f>
        <v>DIANOSOL</v>
      </c>
      <c r="Q871" s="63" t="s">
        <v>902</v>
      </c>
      <c r="R871" s="63" t="str">
        <f>VLOOKUP($Q871,Resultados!$A$1:$B$49,2,FALSE)</f>
        <v>Juicio Abreviado</v>
      </c>
      <c r="S871" s="63" t="s">
        <v>1127</v>
      </c>
      <c r="T871" s="81" t="str">
        <f>IF(G871=$J$1,"SI","NO")</f>
        <v>NO</v>
      </c>
      <c r="U871" s="81"/>
      <c r="V871" s="7" t="str">
        <f ca="1">IF(color_Celda(E871)=12106214,"ROSA",IF(color_Celda(E871)=65535,"AMARILLO",IF(color_Celda(E871)=5296274,"VERDE",IF(color_Celda(E871)=16777215,"BLANCO","NO SE"))))</f>
        <v>ROSA</v>
      </c>
      <c r="W871" s="63" t="s">
        <v>1442</v>
      </c>
      <c r="X871" s="63" t="s">
        <v>2552</v>
      </c>
      <c r="Y871" s="63"/>
      <c r="Z871" s="118" t="s">
        <v>3368</v>
      </c>
      <c r="AA871" s="118" t="s">
        <v>1165</v>
      </c>
      <c r="AB871" s="63" t="s">
        <v>1170</v>
      </c>
      <c r="AC871" s="336"/>
    </row>
    <row r="872" spans="1:29" ht="60" customHeight="1">
      <c r="A872" s="63">
        <v>888</v>
      </c>
      <c r="B872" s="65">
        <v>45226</v>
      </c>
      <c r="C872" s="70">
        <v>0.50486111111111109</v>
      </c>
      <c r="D872" s="63" t="s">
        <v>3619</v>
      </c>
      <c r="E872" s="64" t="s">
        <v>3620</v>
      </c>
      <c r="F872" s="63">
        <v>3</v>
      </c>
      <c r="G872" s="63" t="s">
        <v>3324</v>
      </c>
      <c r="H872" s="208">
        <v>45239</v>
      </c>
      <c r="I872" s="65" t="s">
        <v>1083</v>
      </c>
      <c r="J872" s="65" t="s">
        <v>1217</v>
      </c>
      <c r="K872" s="63">
        <v>5</v>
      </c>
      <c r="L872" s="63" t="s">
        <v>802</v>
      </c>
      <c r="M872" s="7" t="s">
        <v>695</v>
      </c>
      <c r="N872" s="63" t="s">
        <v>621</v>
      </c>
      <c r="O872" s="78" t="str">
        <f ca="1">IF(H872&lt;&gt;"",IF(H872&lt;=TODAY(),"SI","NO"),"LIMBO")</f>
        <v>SI</v>
      </c>
      <c r="P872" s="78" t="str">
        <f>IF($P$1=H872,"DIASOL", "DIANOSOL")</f>
        <v>DIANOSOL</v>
      </c>
      <c r="Q872" s="63" t="s">
        <v>151</v>
      </c>
      <c r="R872" s="63" t="str">
        <f>VLOOKUP($Q872,Resultados!$A$1:$B$49,2,FALSE)</f>
        <v>Prisión Preventiva</v>
      </c>
      <c r="S872" s="63" t="s">
        <v>1384</v>
      </c>
      <c r="T872" s="81" t="str">
        <f>IF(G872=$J$1,"SI","NO")</f>
        <v>NO</v>
      </c>
      <c r="U872" s="81"/>
      <c r="V872" s="7" t="str">
        <f ca="1">IF(color_Celda(E872)=12106214,"ROSA",IF(color_Celda(E872)=65535,"AMARILLO",IF(color_Celda(E872)=5296274,"VERDE",IF(color_Celda(E872)=16777215,"BLANCO","NO SE"))))</f>
        <v>ROSA</v>
      </c>
      <c r="W872" s="63" t="s">
        <v>3358</v>
      </c>
      <c r="X872" s="63" t="s">
        <v>2235</v>
      </c>
      <c r="Y872" s="63"/>
      <c r="Z872" s="118" t="s">
        <v>748</v>
      </c>
      <c r="AA872" s="118" t="s">
        <v>2869</v>
      </c>
      <c r="AB872" s="63" t="s">
        <v>3258</v>
      </c>
      <c r="AC872" s="336"/>
    </row>
    <row r="873" spans="1:29" ht="60" customHeight="1">
      <c r="A873" s="63">
        <v>851</v>
      </c>
      <c r="B873" s="65">
        <v>45222</v>
      </c>
      <c r="C873" s="70">
        <v>0.53680555555555554</v>
      </c>
      <c r="D873" s="63" t="s">
        <v>3534</v>
      </c>
      <c r="E873" s="64" t="s">
        <v>3596</v>
      </c>
      <c r="F873" s="63">
        <v>2</v>
      </c>
      <c r="G873" s="63" t="s">
        <v>2766</v>
      </c>
      <c r="H873" s="208">
        <v>45240</v>
      </c>
      <c r="I873" s="65" t="s">
        <v>73</v>
      </c>
      <c r="J873" s="65" t="s">
        <v>1723</v>
      </c>
      <c r="K873" s="63" t="s">
        <v>1916</v>
      </c>
      <c r="L873" s="63" t="s">
        <v>797</v>
      </c>
      <c r="M873" s="63" t="s">
        <v>693</v>
      </c>
      <c r="N873" s="63" t="s">
        <v>577</v>
      </c>
      <c r="O873" s="63" t="str">
        <f ca="1">IF(H873&lt;&gt;"",IF(H873&lt;=TODAY(),"SI","NO"),"LIMBO")</f>
        <v>SI</v>
      </c>
      <c r="P873" s="63" t="str">
        <f>IF($P$1=H873,"DIASOL", "DIANOSOL")</f>
        <v>DIANOSOL</v>
      </c>
      <c r="Q873" s="63" t="s">
        <v>151</v>
      </c>
      <c r="R873" s="63" t="str">
        <f>VLOOKUP($Q873,Resultados!$A$1:$B$49,2,FALSE)</f>
        <v>Prisión Preventiva</v>
      </c>
      <c r="S873" s="63" t="s">
        <v>679</v>
      </c>
      <c r="T873" s="72" t="str">
        <f>IF(G873=$J$1,"SI","NO")</f>
        <v>NO</v>
      </c>
      <c r="U873" s="72"/>
      <c r="V873" s="7" t="str">
        <f ca="1">IF(color_Celda(E873)=12106214,"ROSA",IF(color_Celda(E873)=65535,"AMARILLO",IF(color_Celda(E873)=5296274,"VERDE",IF(color_Celda(E873)=16777215,"BLANCO","NO SE"))))</f>
        <v>ROSA</v>
      </c>
      <c r="W873" s="63" t="s">
        <v>1164</v>
      </c>
      <c r="X873" s="63" t="s">
        <v>3992</v>
      </c>
      <c r="Y873" s="63"/>
      <c r="Z873" s="118" t="s">
        <v>3888</v>
      </c>
      <c r="AA873" s="118" t="s">
        <v>2828</v>
      </c>
      <c r="AB873" s="63" t="s">
        <v>3322</v>
      </c>
      <c r="AC873" s="336"/>
    </row>
    <row r="874" spans="1:29" ht="60" customHeight="1">
      <c r="A874" s="63">
        <v>876</v>
      </c>
      <c r="B874" s="65">
        <v>45225</v>
      </c>
      <c r="C874" s="70">
        <v>0.47569444444444442</v>
      </c>
      <c r="D874" s="63" t="s">
        <v>3597</v>
      </c>
      <c r="E874" s="64" t="s">
        <v>3598</v>
      </c>
      <c r="F874" s="63">
        <v>3</v>
      </c>
      <c r="G874" s="63" t="s">
        <v>1433</v>
      </c>
      <c r="H874" s="208">
        <v>45240</v>
      </c>
      <c r="I874" s="65" t="s">
        <v>73</v>
      </c>
      <c r="J874" s="65" t="s">
        <v>2925</v>
      </c>
      <c r="K874" s="63" t="s">
        <v>1341</v>
      </c>
      <c r="L874" s="63" t="s">
        <v>810</v>
      </c>
      <c r="M874" s="63" t="s">
        <v>694</v>
      </c>
      <c r="N874" s="63" t="s">
        <v>3993</v>
      </c>
      <c r="O874" s="63" t="str">
        <f ca="1">IF(H874&lt;&gt;"",IF(H874&lt;=TODAY(),"SI","NO"),"LIMBO")</f>
        <v>SI</v>
      </c>
      <c r="P874" s="63" t="str">
        <f>IF($P$1=H874,"DIASOL", "DIANOSOL")</f>
        <v>DIANOSOL</v>
      </c>
      <c r="Q874" s="63" t="s">
        <v>902</v>
      </c>
      <c r="R874" s="63" t="str">
        <f>VLOOKUP($Q874,Resultados!$A$1:$B$49,2,FALSE)</f>
        <v>Juicio Abreviado</v>
      </c>
      <c r="S874" s="63" t="s">
        <v>686</v>
      </c>
      <c r="T874" s="72" t="str">
        <f>IF(G874=$J$1,"SI","NO")</f>
        <v>NO</v>
      </c>
      <c r="U874" s="72"/>
      <c r="V874" s="7" t="str">
        <f ca="1">IF(color_Celda(E874)=12106214,"ROSA",IF(color_Celda(E874)=65535,"AMARILLO",IF(color_Celda(E874)=5296274,"VERDE",IF(color_Celda(E874)=16777215,"BLANCO","NO SE"))))</f>
        <v>ROSA</v>
      </c>
      <c r="W874" s="63" t="s">
        <v>1062</v>
      </c>
      <c r="X874" s="63" t="s">
        <v>2552</v>
      </c>
      <c r="Y874" s="63"/>
      <c r="Z874" s="118" t="s">
        <v>3994</v>
      </c>
      <c r="AA874" s="118" t="s">
        <v>3378</v>
      </c>
      <c r="AB874" s="63" t="s">
        <v>1170</v>
      </c>
      <c r="AC874" s="336"/>
    </row>
    <row r="875" spans="1:29" ht="60" customHeight="1">
      <c r="A875" s="63">
        <v>820</v>
      </c>
      <c r="B875" s="65">
        <v>45238</v>
      </c>
      <c r="C875" s="70">
        <v>0.41805555555555557</v>
      </c>
      <c r="D875" s="63" t="s">
        <v>3490</v>
      </c>
      <c r="E875" s="64" t="s">
        <v>3427</v>
      </c>
      <c r="F875" s="63">
        <v>2</v>
      </c>
      <c r="G875" s="63" t="s">
        <v>1435</v>
      </c>
      <c r="H875" s="208">
        <v>45240</v>
      </c>
      <c r="I875" s="65" t="s">
        <v>73</v>
      </c>
      <c r="J875" s="65" t="s">
        <v>78</v>
      </c>
      <c r="K875" s="63">
        <f>IFERROR(VLOOKUP(J875,Jueces!$A$1:$B$11,2,FALSE),"")</f>
        <v>8</v>
      </c>
      <c r="L875" s="63" t="s">
        <v>2077</v>
      </c>
      <c r="M875" s="63" t="s">
        <v>692</v>
      </c>
      <c r="N875" s="63" t="s">
        <v>3990</v>
      </c>
      <c r="O875" s="63" t="str">
        <f ca="1">IF(H875&lt;&gt;"",IF(H875&lt;=TODAY(),"SI","NO"),"LIMBO")</f>
        <v>SI</v>
      </c>
      <c r="P875" s="63" t="str">
        <f>IF($P$1=H875,"DIASOL", "DIANOSOL")</f>
        <v>DIANOSOL</v>
      </c>
      <c r="Q875" s="63" t="s">
        <v>151</v>
      </c>
      <c r="R875" s="63" t="str">
        <f>VLOOKUP($Q875,Resultados!$A$1:$B$49,2,FALSE)</f>
        <v>Prisión Preventiva</v>
      </c>
      <c r="S875" s="63" t="s">
        <v>2238</v>
      </c>
      <c r="T875" s="72" t="str">
        <f>IF(G875=$J$1,"SI","NO")</f>
        <v>SI</v>
      </c>
      <c r="U875" s="72"/>
      <c r="V875" s="7" t="str">
        <f ca="1">IF(color_Celda(E875)=12106214,"ROSA",IF(color_Celda(E875)=65535,"AMARILLO",IF(color_Celda(E875)=5296274,"VERDE",IF(color_Celda(E875)=16777215,"BLANCO","NO SE"))))</f>
        <v>ROSA</v>
      </c>
      <c r="W875" s="63" t="s">
        <v>1134</v>
      </c>
      <c r="X875" s="63" t="s">
        <v>3991</v>
      </c>
      <c r="Y875" s="63"/>
      <c r="Z875" s="118" t="s">
        <v>748</v>
      </c>
      <c r="AA875" s="118" t="s">
        <v>1167</v>
      </c>
      <c r="AB875" s="63" t="s">
        <v>1171</v>
      </c>
      <c r="AC875" s="336"/>
    </row>
    <row r="876" spans="1:29" ht="60" customHeight="1">
      <c r="A876" s="63">
        <v>872</v>
      </c>
      <c r="B876" s="65">
        <v>45225</v>
      </c>
      <c r="C876" s="70">
        <v>0.40902777777777777</v>
      </c>
      <c r="D876" s="63" t="s">
        <v>3585</v>
      </c>
      <c r="E876" s="64" t="s">
        <v>3586</v>
      </c>
      <c r="F876" s="63">
        <v>3</v>
      </c>
      <c r="G876" s="63" t="s">
        <v>568</v>
      </c>
      <c r="H876" s="208">
        <v>45240</v>
      </c>
      <c r="I876" s="65" t="s">
        <v>1083</v>
      </c>
      <c r="J876" s="65" t="s">
        <v>35</v>
      </c>
      <c r="K876" s="63">
        <f>IFERROR(VLOOKUP(J876,Jueces!$A$1:$B$11,2,FALSE),"")</f>
        <v>3</v>
      </c>
      <c r="L876" s="63" t="s">
        <v>810</v>
      </c>
      <c r="M876" s="7" t="s">
        <v>694</v>
      </c>
      <c r="N876" s="63" t="s">
        <v>897</v>
      </c>
      <c r="O876" s="78" t="str">
        <f ca="1">IF(H876&lt;&gt;"",IF(H876&lt;=TODAY(),"SI","NO"),"LIMBO")</f>
        <v>SI</v>
      </c>
      <c r="P876" s="78" t="str">
        <f>IF($P$1=H876,"DIASOL", "DIANOSOL")</f>
        <v>DIANOSOL</v>
      </c>
      <c r="Q876" s="63" t="s">
        <v>897</v>
      </c>
      <c r="R876" s="63" t="str">
        <f>VLOOKUP($Q876,Resultados!$A$1:$B$49,2,FALSE)</f>
        <v>Libertad</v>
      </c>
      <c r="S876" s="63" t="s">
        <v>2878</v>
      </c>
      <c r="T876" s="81" t="str">
        <f>IF(G876=$J$1,"SI","NO")</f>
        <v>NO</v>
      </c>
      <c r="U876" s="81"/>
      <c r="V876" s="7" t="str">
        <f ca="1">IF(color_Celda(E876)=12106214,"ROSA",IF(color_Celda(E876)=65535,"AMARILLO",IF(color_Celda(E876)=5296274,"VERDE",IF(color_Celda(E876)=16777215,"BLANCO","NO SE"))))</f>
        <v>ROSA</v>
      </c>
      <c r="W876" s="63" t="s">
        <v>1305</v>
      </c>
      <c r="X876" s="63" t="s">
        <v>3199</v>
      </c>
      <c r="Y876" s="63"/>
      <c r="Z876" s="118" t="s">
        <v>748</v>
      </c>
      <c r="AA876" s="118" t="s">
        <v>3379</v>
      </c>
      <c r="AB876" s="63" t="s">
        <v>3258</v>
      </c>
      <c r="AC876" s="336"/>
    </row>
    <row r="877" spans="1:29" ht="60" customHeight="1">
      <c r="A877" s="63">
        <v>892</v>
      </c>
      <c r="B877" s="65">
        <v>45230</v>
      </c>
      <c r="C877" s="70">
        <v>0.33333333333333331</v>
      </c>
      <c r="D877" s="63" t="s">
        <v>3670</v>
      </c>
      <c r="E877" s="64" t="s">
        <v>3671</v>
      </c>
      <c r="F877" s="63">
        <v>1</v>
      </c>
      <c r="G877" s="63" t="s">
        <v>1434</v>
      </c>
      <c r="H877" s="208">
        <v>45240</v>
      </c>
      <c r="I877" s="65" t="s">
        <v>1083</v>
      </c>
      <c r="J877" s="65" t="s">
        <v>1221</v>
      </c>
      <c r="K877" s="63">
        <f>IFERROR(VLOOKUP(J877,Jueces!$A$1:$B$11,2,FALSE),"")</f>
        <v>6</v>
      </c>
      <c r="L877" s="63" t="s">
        <v>1067</v>
      </c>
      <c r="M877" s="63" t="s">
        <v>3698</v>
      </c>
      <c r="N877" s="63" t="s">
        <v>3995</v>
      </c>
      <c r="O877" s="78" t="str">
        <f ca="1">IF(H877&lt;&gt;"",IF(H877&lt;=TODAY(),"SI","NO"),"LIMBO")</f>
        <v>SI</v>
      </c>
      <c r="P877" s="78" t="str">
        <f>IF($P$1=H877,"DIASOL", "DIANOSOL")</f>
        <v>DIANOSOL</v>
      </c>
      <c r="Q877" s="63" t="s">
        <v>151</v>
      </c>
      <c r="R877" s="63" t="s">
        <v>151</v>
      </c>
      <c r="S877" s="63" t="s">
        <v>1383</v>
      </c>
      <c r="T877" s="81" t="str">
        <f>IF(G877=$J$1,"SI","NO")</f>
        <v>NO</v>
      </c>
      <c r="U877" s="81"/>
      <c r="V877" s="7" t="str">
        <f ca="1">IF(color_Celda(E877)=12106214,"ROSA",IF(color_Celda(E877)=65535,"AMARILLO",IF(color_Celda(E877)=5296274,"VERDE",IF(color_Celda(E877)=16777215,"BLANCO","NO SE"))))</f>
        <v>ROSA</v>
      </c>
      <c r="W877" s="63" t="s">
        <v>1601</v>
      </c>
      <c r="X877" s="63"/>
      <c r="Y877" s="63"/>
      <c r="Z877" s="118" t="s">
        <v>770</v>
      </c>
      <c r="AA877" s="118" t="s">
        <v>3379</v>
      </c>
      <c r="AB877" s="63" t="s">
        <v>1171</v>
      </c>
      <c r="AC877" s="336"/>
    </row>
    <row r="878" spans="1:29" ht="60" customHeight="1">
      <c r="A878" s="63">
        <v>884</v>
      </c>
      <c r="B878" s="65">
        <v>45225</v>
      </c>
      <c r="C878" s="70">
        <v>0.53472222222222221</v>
      </c>
      <c r="D878" s="63" t="s">
        <v>3613</v>
      </c>
      <c r="E878" s="64" t="s">
        <v>3614</v>
      </c>
      <c r="F878" s="63">
        <v>2</v>
      </c>
      <c r="G878" s="63" t="s">
        <v>3324</v>
      </c>
      <c r="H878" s="208">
        <v>45240</v>
      </c>
      <c r="I878" s="65" t="s">
        <v>228</v>
      </c>
      <c r="J878" s="65" t="s">
        <v>1216</v>
      </c>
      <c r="K878" s="63">
        <v>5</v>
      </c>
      <c r="L878" s="63" t="s">
        <v>508</v>
      </c>
      <c r="M878" s="63" t="s">
        <v>3631</v>
      </c>
      <c r="N878" s="63" t="s">
        <v>2550</v>
      </c>
      <c r="O878" s="78" t="str">
        <f ca="1">IF(H878&lt;&gt;"",IF(H878&lt;=TODAY(),"SI","NO"),"LIMBO")</f>
        <v>SI</v>
      </c>
      <c r="P878" s="78" t="str">
        <f>IF($P$1=H878,"DIASOL", "DIANOSOL")</f>
        <v>DIANOSOL</v>
      </c>
      <c r="Q878" s="63" t="s">
        <v>897</v>
      </c>
      <c r="R878" s="63" t="str">
        <f>VLOOKUP($Q878,Resultados!$A$1:$B$49,2,FALSE)</f>
        <v>Libertad</v>
      </c>
      <c r="S878" s="63" t="s">
        <v>3996</v>
      </c>
      <c r="T878" s="81" t="str">
        <f>IF(G878=$J$1,"SI","NO")</f>
        <v>NO</v>
      </c>
      <c r="U878" s="81"/>
      <c r="V878" s="7" t="str">
        <f ca="1">IF(color_Celda(E878)=12106214,"ROSA",IF(color_Celda(E878)=65535,"AMARILLO",IF(color_Celda(E878)=5296274,"VERDE",IF(color_Celda(E878)=16777215,"BLANCO","NO SE"))))</f>
        <v>ROSA</v>
      </c>
      <c r="W878" s="63" t="s">
        <v>3997</v>
      </c>
      <c r="X878" s="63"/>
      <c r="Y878" s="63"/>
      <c r="Z878" s="118" t="s">
        <v>748</v>
      </c>
      <c r="AA878" s="118" t="s">
        <v>2828</v>
      </c>
      <c r="AB878" s="63" t="s">
        <v>3322</v>
      </c>
      <c r="AC878" s="336"/>
    </row>
    <row r="879" spans="1:29" ht="60" customHeight="1">
      <c r="A879" s="63">
        <v>898</v>
      </c>
      <c r="B879" s="65">
        <v>45229</v>
      </c>
      <c r="C879" s="70">
        <v>0.34027777777777773</v>
      </c>
      <c r="D879" s="63" t="s">
        <v>3693</v>
      </c>
      <c r="E879" s="64" t="s">
        <v>3694</v>
      </c>
      <c r="F879" s="63">
        <v>3</v>
      </c>
      <c r="G879" s="63" t="s">
        <v>2815</v>
      </c>
      <c r="H879" s="208">
        <v>45240</v>
      </c>
      <c r="I879" s="65" t="s">
        <v>228</v>
      </c>
      <c r="J879" s="65" t="s">
        <v>1217</v>
      </c>
      <c r="K879" s="63" t="s">
        <v>3762</v>
      </c>
      <c r="L879" s="63" t="s">
        <v>808</v>
      </c>
      <c r="M879" s="63" t="s">
        <v>1281</v>
      </c>
      <c r="N879" s="63" t="s">
        <v>2459</v>
      </c>
      <c r="O879" s="78" t="str">
        <f ca="1">IF(H879&lt;&gt;"",IF(H879&lt;=TODAY(),"SI","NO"),"LIMBO")</f>
        <v>SI</v>
      </c>
      <c r="P879" s="78" t="str">
        <f>IF($P$1=H879,"DIASOL", "DIANOSOL")</f>
        <v>DIANOSOL</v>
      </c>
      <c r="Q879" s="63" t="s">
        <v>903</v>
      </c>
      <c r="R879" s="63" t="str">
        <f>VLOOKUP($Q879,Resultados!$A$1:$B$49,2,FALSE)</f>
        <v>Juicio Abreviado</v>
      </c>
      <c r="S879" s="63" t="s">
        <v>3998</v>
      </c>
      <c r="T879" s="81" t="str">
        <f>IF(G879=$J$1,"SI","NO")</f>
        <v>NO</v>
      </c>
      <c r="U879" s="81"/>
      <c r="V879" s="7" t="str">
        <f ca="1">IF(color_Celda(E879)=12106214,"ROSA",IF(color_Celda(E879)=65535,"AMARILLO",IF(color_Celda(E879)=5296274,"VERDE",IF(color_Celda(E879)=16777215,"BLANCO","NO SE"))))</f>
        <v>ROSA</v>
      </c>
      <c r="W879" s="63" t="s">
        <v>1766</v>
      </c>
      <c r="X879" s="63" t="s">
        <v>2552</v>
      </c>
      <c r="Y879" s="63"/>
      <c r="Z879" s="118" t="s">
        <v>3368</v>
      </c>
      <c r="AA879" s="118" t="s">
        <v>1167</v>
      </c>
      <c r="AB879" s="63" t="s">
        <v>1170</v>
      </c>
      <c r="AC879" s="336"/>
    </row>
    <row r="880" spans="1:29" ht="60" customHeight="1">
      <c r="A880" s="63">
        <v>874</v>
      </c>
      <c r="B880" s="65">
        <v>45223</v>
      </c>
      <c r="C880" s="70">
        <v>0.47222222222222227</v>
      </c>
      <c r="D880" s="63" t="s">
        <v>3592</v>
      </c>
      <c r="E880" s="64" t="s">
        <v>3593</v>
      </c>
      <c r="F880" s="63">
        <v>2</v>
      </c>
      <c r="G880" s="63" t="s">
        <v>3791</v>
      </c>
      <c r="H880" s="208">
        <v>45240</v>
      </c>
      <c r="I880" s="65" t="s">
        <v>2011</v>
      </c>
      <c r="J880" s="65" t="s">
        <v>78</v>
      </c>
      <c r="K880" s="63" t="s">
        <v>2324</v>
      </c>
      <c r="L880" s="63" t="s">
        <v>805</v>
      </c>
      <c r="M880" s="63" t="s">
        <v>694</v>
      </c>
      <c r="N880" s="63" t="s">
        <v>3463</v>
      </c>
      <c r="O880" s="78" t="str">
        <f ca="1">IF(H880&lt;&gt;"",IF(H880&lt;=TODAY(),"SI","NO"),"LIMBO")</f>
        <v>SI</v>
      </c>
      <c r="P880" s="78" t="str">
        <f>IF($P$1=H880,"DIASOL", "DIANOSOL")</f>
        <v>DIANOSOL</v>
      </c>
      <c r="Q880" s="63" t="s">
        <v>902</v>
      </c>
      <c r="R880" s="63" t="str">
        <f>VLOOKUP($Q880,Resultados!$A$1:$B$49,2,FALSE)</f>
        <v>Juicio Abreviado</v>
      </c>
      <c r="S880" s="63" t="s">
        <v>1270</v>
      </c>
      <c r="T880" s="81" t="str">
        <f>IF(G880=$J$1,"SI","NO")</f>
        <v>NO</v>
      </c>
      <c r="U880" s="81"/>
      <c r="V880" s="7" t="str">
        <f ca="1">IF(color_Celda(E880)=12106214,"ROSA",IF(color_Celda(E880)=65535,"AMARILLO",IF(color_Celda(E880)=5296274,"VERDE",IF(color_Celda(E880)=16777215,"BLANCO","NO SE"))))</f>
        <v>ROSA</v>
      </c>
      <c r="W880" s="63" t="s">
        <v>3203</v>
      </c>
      <c r="X880" s="63" t="s">
        <v>3999</v>
      </c>
      <c r="Y880" s="63"/>
      <c r="Z880" s="118" t="s">
        <v>770</v>
      </c>
      <c r="AA880" s="118" t="s">
        <v>2869</v>
      </c>
      <c r="AB880" s="63" t="s">
        <v>3258</v>
      </c>
      <c r="AC880" s="336"/>
    </row>
    <row r="881" spans="1:29" ht="60" customHeight="1">
      <c r="A881" s="63">
        <v>850</v>
      </c>
      <c r="B881" s="65">
        <v>45222</v>
      </c>
      <c r="C881" s="70">
        <v>0.4680555555555555</v>
      </c>
      <c r="D881" s="63" t="s">
        <v>3523</v>
      </c>
      <c r="E881" s="64" t="s">
        <v>3524</v>
      </c>
      <c r="F881" s="63">
        <v>2</v>
      </c>
      <c r="G881" s="63" t="s">
        <v>3323</v>
      </c>
      <c r="H881" s="208">
        <v>45243</v>
      </c>
      <c r="I881" s="65" t="s">
        <v>73</v>
      </c>
      <c r="J881" s="65" t="s">
        <v>2922</v>
      </c>
      <c r="K881" s="63">
        <v>2</v>
      </c>
      <c r="L881" s="63" t="s">
        <v>801</v>
      </c>
      <c r="M881" s="63" t="s">
        <v>693</v>
      </c>
      <c r="N881" s="63" t="s">
        <v>4002</v>
      </c>
      <c r="O881" s="78" t="str">
        <f ca="1">IF(H881&lt;&gt;"",IF(H881&lt;=TODAY(),"SI","NO"),"LIMBO")</f>
        <v>SI</v>
      </c>
      <c r="P881" s="78" t="str">
        <f>IF($P$1=H881,"DIASOL", "DIANOSOL")</f>
        <v>DIANOSOL</v>
      </c>
      <c r="Q881" s="63" t="s">
        <v>903</v>
      </c>
      <c r="R881" s="63" t="str">
        <f>VLOOKUP($Q881,Resultados!$A$1:$B$49,2,FALSE)</f>
        <v>Juicio Abreviado</v>
      </c>
      <c r="S881" s="63" t="s">
        <v>686</v>
      </c>
      <c r="T881" s="81" t="str">
        <f>IF(G881=$J$1,"SI","NO")</f>
        <v>NO</v>
      </c>
      <c r="U881" s="81"/>
      <c r="V881" s="7" t="str">
        <f ca="1">IF(color_Celda(E881)=12106214,"ROSA",IF(color_Celda(E881)=65535,"AMARILLO",IF(color_Celda(E881)=5296274,"VERDE",IF(color_Celda(E881)=16777215,"BLANCO","NO SE"))))</f>
        <v>ROSA</v>
      </c>
      <c r="W881" s="63" t="s">
        <v>3513</v>
      </c>
      <c r="X881" s="63" t="s">
        <v>4003</v>
      </c>
      <c r="Y881" s="63"/>
      <c r="Z881" s="63"/>
      <c r="AA881" s="118" t="s">
        <v>2869</v>
      </c>
      <c r="AB881" s="63" t="s">
        <v>1171</v>
      </c>
      <c r="AC881" s="336"/>
    </row>
    <row r="882" spans="1:29" ht="60" customHeight="1">
      <c r="A882" s="63">
        <v>895</v>
      </c>
      <c r="B882" s="65">
        <v>45230</v>
      </c>
      <c r="C882" s="70">
        <v>0.44513888888888892</v>
      </c>
      <c r="D882" s="63" t="s">
        <v>3680</v>
      </c>
      <c r="E882" s="64" t="s">
        <v>3681</v>
      </c>
      <c r="F882" s="63">
        <v>3</v>
      </c>
      <c r="G882" s="63" t="s">
        <v>568</v>
      </c>
      <c r="H882" s="208">
        <v>45243</v>
      </c>
      <c r="I882" s="65" t="s">
        <v>73</v>
      </c>
      <c r="J882" s="65" t="s">
        <v>1217</v>
      </c>
      <c r="K882" s="63" t="s">
        <v>1982</v>
      </c>
      <c r="L882" s="63" t="s">
        <v>808</v>
      </c>
      <c r="M882" s="63" t="s">
        <v>697</v>
      </c>
      <c r="N882" s="63" t="s">
        <v>577</v>
      </c>
      <c r="O882" s="63" t="str">
        <f ca="1">IF(H882&lt;&gt;"",IF(H882&lt;=TODAY(),"SI","NO"),"LIMBO")</f>
        <v>SI</v>
      </c>
      <c r="P882" s="63" t="str">
        <f>IF($P$1=H882,"DIASOL", "DIANOSOL")</f>
        <v>DIANOSOL</v>
      </c>
      <c r="Q882" s="63" t="s">
        <v>151</v>
      </c>
      <c r="R882" s="63" t="str">
        <f>VLOOKUP($Q882,Resultados!$A$1:$B$49,2,FALSE)</f>
        <v>Prisión Preventiva</v>
      </c>
      <c r="S882" s="63" t="s">
        <v>1012</v>
      </c>
      <c r="T882" s="72" t="str">
        <f>IF(G882=$J$1,"SI","NO")</f>
        <v>NO</v>
      </c>
      <c r="U882" s="72"/>
      <c r="V882" s="7" t="str">
        <f ca="1">IF(color_Celda(E882)=12106214,"ROSA",IF(color_Celda(E882)=65535,"AMARILLO",IF(color_Celda(E882)=5296274,"VERDE",IF(color_Celda(E882)=16777215,"BLANCO","NO SE"))))</f>
        <v>ROSA</v>
      </c>
      <c r="W882" s="63" t="s">
        <v>1062</v>
      </c>
      <c r="X882" s="63" t="s">
        <v>4006</v>
      </c>
      <c r="Y882" s="63"/>
      <c r="Z882" s="63"/>
      <c r="AA882" s="118" t="s">
        <v>3379</v>
      </c>
      <c r="AB882" s="63" t="s">
        <v>1170</v>
      </c>
      <c r="AC882" s="336"/>
    </row>
    <row r="883" spans="1:29" ht="60" customHeight="1">
      <c r="A883" s="63">
        <v>879</v>
      </c>
      <c r="B883" s="65">
        <v>45240</v>
      </c>
      <c r="C883" s="70">
        <v>0.3972222222222222</v>
      </c>
      <c r="D883" s="325" t="s">
        <v>3606</v>
      </c>
      <c r="E883" s="64" t="s">
        <v>3607</v>
      </c>
      <c r="F883" s="63">
        <v>3</v>
      </c>
      <c r="G883" s="63" t="s">
        <v>1434</v>
      </c>
      <c r="H883" s="208">
        <v>45243</v>
      </c>
      <c r="I883" s="65" t="s">
        <v>73</v>
      </c>
      <c r="J883" s="65" t="s">
        <v>35</v>
      </c>
      <c r="K883" s="63">
        <f>IFERROR(VLOOKUP(J883,Jueces!$A$1:$B$11,2,FALSE),"")</f>
        <v>3</v>
      </c>
      <c r="L883" s="63" t="s">
        <v>809</v>
      </c>
      <c r="M883" s="63" t="s">
        <v>694</v>
      </c>
      <c r="N883" s="63" t="s">
        <v>4004</v>
      </c>
      <c r="O883" s="78" t="str">
        <f ca="1">IF(H883&lt;&gt;"",IF(H883&lt;=TODAY(),"SI","NO"),"LIMBO")</f>
        <v>SI</v>
      </c>
      <c r="P883" s="78" t="str">
        <f>IF($P$1=H883,"DIASOL", "DIANOSOL")</f>
        <v>DIANOSOL</v>
      </c>
      <c r="Q883" s="63" t="s">
        <v>910</v>
      </c>
      <c r="R883" s="63" t="str">
        <f>VLOOKUP($Q883,Resultados!$A$1:$B$49,2,FALSE)</f>
        <v>Suspendida</v>
      </c>
      <c r="S883" s="63" t="s">
        <v>1291</v>
      </c>
      <c r="T883" s="81" t="str">
        <f>IF(G883=$J$1,"SI","NO")</f>
        <v>NO</v>
      </c>
      <c r="U883" s="81"/>
      <c r="V883" s="7" t="str">
        <f ca="1">IF(color_Celda(E883)=12106214,"ROSA",IF(color_Celda(E883)=65535,"AMARILLO",IF(color_Celda(E883)=5296274,"VERDE",IF(color_Celda(E883)=16777215,"BLANCO","NO SE"))))</f>
        <v>ROSA</v>
      </c>
      <c r="W883" s="63" t="s">
        <v>1119</v>
      </c>
      <c r="X883" s="63" t="s">
        <v>2552</v>
      </c>
      <c r="Y883" s="63"/>
      <c r="Z883" s="63"/>
      <c r="AA883" s="118" t="s">
        <v>2828</v>
      </c>
      <c r="AB883" s="63" t="s">
        <v>1173</v>
      </c>
      <c r="AC883" s="336" t="s">
        <v>1792</v>
      </c>
    </row>
    <row r="884" spans="1:29" ht="60" customHeight="1">
      <c r="A884" s="63">
        <v>866</v>
      </c>
      <c r="B884" s="65">
        <v>45225</v>
      </c>
      <c r="C884" s="70">
        <v>0.37291666666666662</v>
      </c>
      <c r="D884" s="63" t="s">
        <v>3571</v>
      </c>
      <c r="E884" s="64" t="s">
        <v>3570</v>
      </c>
      <c r="F884" s="63">
        <v>2</v>
      </c>
      <c r="G884" s="63" t="s">
        <v>2766</v>
      </c>
      <c r="H884" s="208">
        <v>45243</v>
      </c>
      <c r="I884" s="65" t="s">
        <v>1083</v>
      </c>
      <c r="J884" s="65" t="s">
        <v>1217</v>
      </c>
      <c r="K884" s="63">
        <v>5</v>
      </c>
      <c r="L884" s="63" t="s">
        <v>807</v>
      </c>
      <c r="M884" s="63" t="s">
        <v>693</v>
      </c>
      <c r="N884" s="63" t="s">
        <v>4007</v>
      </c>
      <c r="O884" s="63" t="str">
        <f ca="1">IF(H884&lt;&gt;"",IF(H884&lt;=TODAY(),"SI","NO"),"LIMBO")</f>
        <v>SI</v>
      </c>
      <c r="P884" s="63" t="str">
        <f>IF($P$1=H884,"DIASOL", "DIANOSOL")</f>
        <v>DIANOSOL</v>
      </c>
      <c r="Q884" s="63" t="s">
        <v>902</v>
      </c>
      <c r="R884" s="63" t="s">
        <v>100</v>
      </c>
      <c r="S884" s="63" t="s">
        <v>1121</v>
      </c>
      <c r="T884" s="72" t="str">
        <f>IF(G884=$J$1,"SI","NO")</f>
        <v>NO</v>
      </c>
      <c r="U884" s="72"/>
      <c r="V884" s="7" t="str">
        <f ca="1">IF(color_Celda(E884)=12106214,"ROSA",IF(color_Celda(E884)=65535,"AMARILLO",IF(color_Celda(E884)=5296274,"VERDE",IF(color_Celda(E884)=16777215,"BLANCO","NO SE"))))</f>
        <v>ROSA</v>
      </c>
      <c r="W884" s="63" t="s">
        <v>1388</v>
      </c>
      <c r="X884" s="63" t="s">
        <v>3155</v>
      </c>
      <c r="Y884" s="63"/>
      <c r="Z884" s="63"/>
      <c r="AA884" s="118" t="s">
        <v>1167</v>
      </c>
      <c r="AB884" s="63" t="s">
        <v>1169</v>
      </c>
      <c r="AC884" s="336"/>
    </row>
    <row r="885" spans="1:29" ht="60" customHeight="1">
      <c r="A885" s="63">
        <v>906</v>
      </c>
      <c r="B885" s="65">
        <v>45231</v>
      </c>
      <c r="C885" s="70">
        <v>0.41736111111111113</v>
      </c>
      <c r="D885" s="325" t="s">
        <v>3714</v>
      </c>
      <c r="E885" s="64" t="s">
        <v>3715</v>
      </c>
      <c r="F885" s="63">
        <v>1</v>
      </c>
      <c r="G885" s="63" t="s">
        <v>1433</v>
      </c>
      <c r="H885" s="208">
        <v>45243</v>
      </c>
      <c r="I885" s="65" t="s">
        <v>1083</v>
      </c>
      <c r="J885" s="65" t="s">
        <v>35</v>
      </c>
      <c r="K885" s="63">
        <f>IFERROR(VLOOKUP(J885,Jueces!$A$1:$B$11,2,FALSE),"")</f>
        <v>3</v>
      </c>
      <c r="L885" s="63" t="s">
        <v>806</v>
      </c>
      <c r="M885" s="63" t="s">
        <v>712</v>
      </c>
      <c r="N885" s="63" t="s">
        <v>4005</v>
      </c>
      <c r="O885" s="63" t="str">
        <f ca="1">IF(H885&lt;&gt;"",IF(H885&lt;=TODAY(),"SI","NO"),"LIMBO")</f>
        <v>SI</v>
      </c>
      <c r="P885" s="63" t="str">
        <f>IF($P$1=H885,"DIASOL", "DIANOSOL")</f>
        <v>DIANOSOL</v>
      </c>
      <c r="Q885" s="63" t="s">
        <v>902</v>
      </c>
      <c r="R885" s="63" t="str">
        <f>VLOOKUP($Q885,Resultados!$A$1:$B$49,2,FALSE)</f>
        <v>Juicio Abreviado</v>
      </c>
      <c r="S885" s="63" t="s">
        <v>2929</v>
      </c>
      <c r="T885" s="72" t="str">
        <f>IF(G885=$J$1,"SI","NO")</f>
        <v>NO</v>
      </c>
      <c r="U885" s="72"/>
      <c r="V885" s="7" t="str">
        <f ca="1">IF(color_Celda(E885)=12106214,"ROSA",IF(color_Celda(E885)=65535,"AMARILLO",IF(color_Celda(E885)=5296274,"VERDE",IF(color_Celda(E885)=16777215,"BLANCO","NO SE"))))</f>
        <v>ROSA</v>
      </c>
      <c r="W885" s="63" t="s">
        <v>3360</v>
      </c>
      <c r="X885" s="63" t="s">
        <v>2552</v>
      </c>
      <c r="Y885" s="63"/>
      <c r="Z885" s="63"/>
      <c r="AA885" s="118" t="s">
        <v>1167</v>
      </c>
      <c r="AB885" s="63" t="s">
        <v>1173</v>
      </c>
      <c r="AC885" s="336" t="s">
        <v>1792</v>
      </c>
    </row>
    <row r="886" spans="1:29" ht="60" customHeight="1">
      <c r="A886" s="63">
        <v>870</v>
      </c>
      <c r="B886" s="65">
        <v>45240</v>
      </c>
      <c r="C886" s="70">
        <v>0.34375</v>
      </c>
      <c r="D886" s="63" t="s">
        <v>3976</v>
      </c>
      <c r="E886" s="64" t="s">
        <v>3580</v>
      </c>
      <c r="F886" s="63">
        <v>3</v>
      </c>
      <c r="G886" s="63" t="s">
        <v>283</v>
      </c>
      <c r="H886" s="208">
        <v>45243</v>
      </c>
      <c r="I886" s="65" t="s">
        <v>1083</v>
      </c>
      <c r="J886" s="65" t="s">
        <v>1216</v>
      </c>
      <c r="K886" s="63">
        <f>IFERROR(VLOOKUP(J886,Jueces!$A$1:$B$11,2,FALSE),"")</f>
        <v>1</v>
      </c>
      <c r="L886" s="63" t="s">
        <v>810</v>
      </c>
      <c r="M886" s="63" t="s">
        <v>694</v>
      </c>
      <c r="N886" s="63" t="s">
        <v>4148</v>
      </c>
      <c r="O886" s="78" t="str">
        <f ca="1">IF(H886&lt;&gt;"",IF(H886&lt;=TODAY(),"SI","NO"),"LIMBO")</f>
        <v>SI</v>
      </c>
      <c r="P886" s="78" t="str">
        <f>IF($P$1=H886,"DIASOL", "DIANOSOL")</f>
        <v>DIANOSOL</v>
      </c>
      <c r="Q886" s="63" t="s">
        <v>910</v>
      </c>
      <c r="R886" s="63" t="str">
        <f>VLOOKUP($Q886,Resultados!$A$1:$B$49,2,FALSE)</f>
        <v>Suspendida</v>
      </c>
      <c r="S886" s="63" t="s">
        <v>1131</v>
      </c>
      <c r="T886" s="81" t="str">
        <f>IF(G886=$J$1,"SI","NO")</f>
        <v>NO</v>
      </c>
      <c r="U886" s="81"/>
      <c r="V886" s="7" t="str">
        <f ca="1">IF(color_Celda(E886)=12106214,"ROSA",IF(color_Celda(E886)=65535,"AMARILLO",IF(color_Celda(E886)=5296274,"VERDE",IF(color_Celda(E886)=16777215,"BLANCO","NO SE"))))</f>
        <v>ROSA</v>
      </c>
      <c r="W886" s="63" t="s">
        <v>1232</v>
      </c>
      <c r="X886" s="63" t="s">
        <v>2552</v>
      </c>
      <c r="Y886" s="63"/>
      <c r="Z886" s="63"/>
      <c r="AA886" s="118" t="s">
        <v>1165</v>
      </c>
      <c r="AB886" s="63" t="s">
        <v>3258</v>
      </c>
      <c r="AC886" s="336"/>
    </row>
    <row r="887" spans="1:29" ht="60" customHeight="1">
      <c r="A887" s="63">
        <v>899</v>
      </c>
      <c r="B887" s="65">
        <v>45240</v>
      </c>
      <c r="C887" s="70">
        <v>0.53541666666666665</v>
      </c>
      <c r="D887" s="63" t="s">
        <v>3696</v>
      </c>
      <c r="E887" s="64" t="s">
        <v>3697</v>
      </c>
      <c r="F887" s="63">
        <v>3</v>
      </c>
      <c r="G887" s="63" t="s">
        <v>2815</v>
      </c>
      <c r="H887" s="208">
        <v>45243</v>
      </c>
      <c r="I887" s="65" t="s">
        <v>1083</v>
      </c>
      <c r="J887" s="65" t="s">
        <v>78</v>
      </c>
      <c r="K887" s="63">
        <f>IFERROR(VLOOKUP(J887,Jueces!$A$1:$B$11,2,FALSE),"")</f>
        <v>8</v>
      </c>
      <c r="L887" s="63" t="s">
        <v>2075</v>
      </c>
      <c r="M887" s="63" t="s">
        <v>695</v>
      </c>
      <c r="N887" s="63" t="s">
        <v>4000</v>
      </c>
      <c r="O887" s="78" t="str">
        <f ca="1">IF(H887&lt;&gt;"",IF(H887&lt;=TODAY(),"SI","NO"),"LIMBO")</f>
        <v>SI</v>
      </c>
      <c r="P887" s="78" t="str">
        <f>IF($P$1=H887,"DIASOL", "DIANOSOL")</f>
        <v>DIANOSOL</v>
      </c>
      <c r="Q887" s="63" t="s">
        <v>151</v>
      </c>
      <c r="R887" s="63" t="str">
        <f>VLOOKUP($Q887,Resultados!$A$1:$B$49,2,FALSE)</f>
        <v>Prisión Preventiva</v>
      </c>
      <c r="S887" s="63" t="s">
        <v>1081</v>
      </c>
      <c r="T887" s="81" t="str">
        <f>IF(G887=$J$1,"SI","NO")</f>
        <v>NO</v>
      </c>
      <c r="U887" s="81"/>
      <c r="V887" s="7" t="str">
        <f ca="1">IF(color_Celda(E887)=12106214,"ROSA",IF(color_Celda(E887)=65535,"AMARILLO",IF(color_Celda(E887)=5296274,"VERDE",IF(color_Celda(E887)=16777215,"BLANCO","NO SE"))))</f>
        <v>ROSA</v>
      </c>
      <c r="W887" s="63" t="s">
        <v>1528</v>
      </c>
      <c r="X887" s="63" t="s">
        <v>4001</v>
      </c>
      <c r="Y887" s="63"/>
      <c r="Z887" s="63"/>
      <c r="AA887" s="118" t="s">
        <v>2869</v>
      </c>
      <c r="AB887" s="63" t="s">
        <v>1171</v>
      </c>
      <c r="AC887" s="336"/>
    </row>
    <row r="888" spans="1:29" ht="60" customHeight="1">
      <c r="A888" s="63">
        <v>875</v>
      </c>
      <c r="B888" s="65">
        <v>45223</v>
      </c>
      <c r="C888" s="70">
        <v>0.54305555555555551</v>
      </c>
      <c r="D888" s="63" t="s">
        <v>3594</v>
      </c>
      <c r="E888" s="64" t="s">
        <v>3595</v>
      </c>
      <c r="F888" s="63">
        <v>3</v>
      </c>
      <c r="G888" s="63" t="s">
        <v>2815</v>
      </c>
      <c r="H888" s="208">
        <v>45244</v>
      </c>
      <c r="I888" s="65" t="s">
        <v>73</v>
      </c>
      <c r="J888" s="65" t="s">
        <v>1217</v>
      </c>
      <c r="K888" s="63" t="s">
        <v>1341</v>
      </c>
      <c r="L888" s="63" t="s">
        <v>808</v>
      </c>
      <c r="M888" s="63" t="s">
        <v>694</v>
      </c>
      <c r="N888" s="63" t="s">
        <v>621</v>
      </c>
      <c r="O888" s="78" t="str">
        <f ca="1">IF(H888&lt;&gt;"",IF(H888&lt;=TODAY(),"SI","NO"),"LIMBO")</f>
        <v>SI</v>
      </c>
      <c r="P888" s="78" t="str">
        <f>IF($P$1=H888,"DIASOL", "DIANOSOL")</f>
        <v>DIANOSOL</v>
      </c>
      <c r="Q888" s="63" t="s">
        <v>151</v>
      </c>
      <c r="R888" s="63" t="str">
        <f>VLOOKUP($Q888,Resultados!$A$1:$B$49,2,FALSE)</f>
        <v>Prisión Preventiva</v>
      </c>
      <c r="S888" s="63" t="s">
        <v>1419</v>
      </c>
      <c r="T888" s="81" t="str">
        <f>IF(G888=$J$1,"SI","NO")</f>
        <v>NO</v>
      </c>
      <c r="U888" s="81"/>
      <c r="V888" s="7" t="str">
        <f ca="1">IF(color_Celda(E888)=12106214,"ROSA",IF(color_Celda(E888)=65535,"AMARILLO",IF(color_Celda(E888)=5296274,"VERDE",IF(color_Celda(E888)=16777215,"BLANCO","NO SE"))))</f>
        <v>ROSA</v>
      </c>
      <c r="W888" s="63" t="s">
        <v>1489</v>
      </c>
      <c r="X888" s="63" t="s">
        <v>2552</v>
      </c>
      <c r="Y888" s="63"/>
      <c r="Z888" s="118" t="s">
        <v>770</v>
      </c>
      <c r="AA888" s="118" t="s">
        <v>2869</v>
      </c>
      <c r="AB888" s="118" t="s">
        <v>1169</v>
      </c>
      <c r="AC888" s="336"/>
    </row>
    <row r="889" spans="1:29" ht="60" customHeight="1">
      <c r="A889" s="63">
        <v>910</v>
      </c>
      <c r="B889" s="65">
        <v>45231</v>
      </c>
      <c r="C889" s="70">
        <v>0.48541666666666666</v>
      </c>
      <c r="D889" s="63" t="s">
        <v>3720</v>
      </c>
      <c r="E889" s="64" t="s">
        <v>3721</v>
      </c>
      <c r="F889" s="63">
        <v>6</v>
      </c>
      <c r="G889" s="63" t="s">
        <v>568</v>
      </c>
      <c r="H889" s="208">
        <v>45244</v>
      </c>
      <c r="I889" s="65" t="s">
        <v>73</v>
      </c>
      <c r="J889" s="65" t="s">
        <v>78</v>
      </c>
      <c r="K889" s="63">
        <f>IFERROR(VLOOKUP(J889,Jueces!$A$1:$B$11,2,FALSE),"")</f>
        <v>8</v>
      </c>
      <c r="L889" s="63" t="s">
        <v>802</v>
      </c>
      <c r="M889" s="339" t="s">
        <v>3743</v>
      </c>
      <c r="N889" s="63" t="s">
        <v>4050</v>
      </c>
      <c r="O889" s="78" t="str">
        <f ca="1">IF(H889&lt;&gt;"",IF(H889&lt;=TODAY(),"SI","NO"),"LIMBO")</f>
        <v>SI</v>
      </c>
      <c r="P889" s="78" t="str">
        <f>IF($P$1=H889,"DIASOL", "DIANOSOL")</f>
        <v>DIANOSOL</v>
      </c>
      <c r="Q889" s="63" t="s">
        <v>151</v>
      </c>
      <c r="R889" s="63" t="str">
        <f>VLOOKUP($Q889,Resultados!$A$1:$B$49,2,FALSE)</f>
        <v>Prisión Preventiva</v>
      </c>
      <c r="S889" s="63" t="s">
        <v>3094</v>
      </c>
      <c r="T889" s="81" t="str">
        <f>IF(G889=$J$1,"SI","NO")</f>
        <v>NO</v>
      </c>
      <c r="U889" s="81"/>
      <c r="V889" s="7" t="str">
        <f ca="1">IF(color_Celda(E889)=12106214,"ROSA",IF(color_Celda(E889)=65535,"AMARILLO",IF(color_Celda(E889)=5296274,"VERDE",IF(color_Celda(E889)=16777215,"BLANCO","NO SE"))))</f>
        <v>ROSA</v>
      </c>
      <c r="W889" s="63" t="s">
        <v>1298</v>
      </c>
      <c r="X889" s="63" t="s">
        <v>4051</v>
      </c>
      <c r="Y889" s="63"/>
      <c r="Z889" s="118" t="s">
        <v>748</v>
      </c>
      <c r="AA889" s="118" t="s">
        <v>3379</v>
      </c>
      <c r="AB889" s="118" t="s">
        <v>3258</v>
      </c>
      <c r="AC889" s="336"/>
    </row>
    <row r="890" spans="1:29" ht="60" customHeight="1">
      <c r="A890" s="63">
        <v>911</v>
      </c>
      <c r="B890" s="65">
        <v>45240</v>
      </c>
      <c r="C890" s="70">
        <v>0.33333333333333331</v>
      </c>
      <c r="D890" s="63" t="s">
        <v>3370</v>
      </c>
      <c r="E890" s="64" t="s">
        <v>3723</v>
      </c>
      <c r="F890" s="63">
        <v>2</v>
      </c>
      <c r="G890" s="63" t="s">
        <v>1434</v>
      </c>
      <c r="H890" s="208">
        <v>45244</v>
      </c>
      <c r="I890" s="65" t="s">
        <v>73</v>
      </c>
      <c r="J890" s="65" t="s">
        <v>35</v>
      </c>
      <c r="K890" s="63">
        <f>IFERROR(VLOOKUP(J890,Jueces!$A$1:$B$11,2,FALSE),"")</f>
        <v>3</v>
      </c>
      <c r="L890" s="63" t="s">
        <v>797</v>
      </c>
      <c r="M890" s="63" t="s">
        <v>711</v>
      </c>
      <c r="N890" s="63" t="s">
        <v>4048</v>
      </c>
      <c r="O890" s="78" t="str">
        <f ca="1">IF(H890&lt;&gt;"",IF(H890&lt;=TODAY(),"SI","NO"),"LIMBO")</f>
        <v>SI</v>
      </c>
      <c r="P890" s="78" t="str">
        <f>IF($P$1=H890,"DIASOL", "DIANOSOL")</f>
        <v>DIANOSOL</v>
      </c>
      <c r="Q890" s="63" t="s">
        <v>902</v>
      </c>
      <c r="R890" s="63" t="str">
        <f>VLOOKUP($Q890,Resultados!$A$1:$B$49,2,FALSE)</f>
        <v>Juicio Abreviado</v>
      </c>
      <c r="S890" s="63" t="s">
        <v>1558</v>
      </c>
      <c r="T890" s="81" t="str">
        <f>IF(G890=$J$1,"SI","NO")</f>
        <v>NO</v>
      </c>
      <c r="U890" s="81"/>
      <c r="V890" s="7" t="str">
        <f ca="1">IF(color_Celda(E890)=12106214,"ROSA",IF(color_Celda(E890)=65535,"AMARILLO",IF(color_Celda(E890)=5296274,"VERDE",IF(color_Celda(E890)=16777215,"BLANCO","NO SE"))))</f>
        <v>ROSA</v>
      </c>
      <c r="W890" s="63" t="s">
        <v>1230</v>
      </c>
      <c r="X890" s="63" t="s">
        <v>2363</v>
      </c>
      <c r="Y890" s="63"/>
      <c r="Z890" s="118" t="s">
        <v>3368</v>
      </c>
      <c r="AA890" s="118" t="s">
        <v>3379</v>
      </c>
      <c r="AB890" s="118" t="s">
        <v>1171</v>
      </c>
      <c r="AC890" s="336"/>
    </row>
    <row r="891" spans="1:29" ht="60" customHeight="1">
      <c r="A891" s="63">
        <v>887</v>
      </c>
      <c r="B891" s="65">
        <v>45226</v>
      </c>
      <c r="C891" s="70">
        <v>0.46319444444444446</v>
      </c>
      <c r="D891" s="63" t="s">
        <v>3617</v>
      </c>
      <c r="E891" s="64" t="s">
        <v>3618</v>
      </c>
      <c r="F891" s="63">
        <v>2</v>
      </c>
      <c r="G891" s="63" t="s">
        <v>3323</v>
      </c>
      <c r="H891" s="208">
        <v>45244</v>
      </c>
      <c r="I891" s="65" t="s">
        <v>749</v>
      </c>
      <c r="J891" s="65" t="s">
        <v>1221</v>
      </c>
      <c r="K891" s="63">
        <f>IFERROR(VLOOKUP(J891,Jueces!$A$1:$B$11,2,FALSE),"")</f>
        <v>6</v>
      </c>
      <c r="L891" s="63" t="s">
        <v>810</v>
      </c>
      <c r="M891" s="63" t="s">
        <v>693</v>
      </c>
      <c r="N891" s="63" t="s">
        <v>621</v>
      </c>
      <c r="O891" s="78" t="str">
        <f ca="1">IF(H891&lt;&gt;"",IF(H891&lt;=TODAY(),"SI","NO"),"LIMBO")</f>
        <v>SI</v>
      </c>
      <c r="P891" s="78" t="str">
        <f>IF($P$1=H891,"DIASOL", "DIANOSOL")</f>
        <v>DIANOSOL</v>
      </c>
      <c r="Q891" s="63" t="s">
        <v>151</v>
      </c>
      <c r="R891" s="63" t="str">
        <f>VLOOKUP($Q891,Resultados!$A$1:$B$49,2,FALSE)</f>
        <v>Prisión Preventiva</v>
      </c>
      <c r="S891" s="63" t="s">
        <v>3246</v>
      </c>
      <c r="T891" s="81" t="str">
        <f>IF(G891=$J$1,"SI","NO")</f>
        <v>NO</v>
      </c>
      <c r="U891" s="81"/>
      <c r="V891" s="7" t="str">
        <f ca="1">IF(color_Celda(E891)=12106214,"ROSA",IF(color_Celda(E891)=65535,"AMARILLO",IF(color_Celda(E891)=5296274,"VERDE",IF(color_Celda(E891)=16777215,"BLANCO","NO SE"))))</f>
        <v>ROSA</v>
      </c>
      <c r="W891" s="63" t="s">
        <v>2047</v>
      </c>
      <c r="X891" s="63" t="s">
        <v>4047</v>
      </c>
      <c r="Y891" s="63"/>
      <c r="Z891" s="118" t="s">
        <v>1038</v>
      </c>
      <c r="AA891" s="118" t="s">
        <v>2869</v>
      </c>
      <c r="AB891" s="118" t="s">
        <v>3322</v>
      </c>
      <c r="AC891" s="336"/>
    </row>
    <row r="892" spans="1:29" ht="60" customHeight="1">
      <c r="A892" s="63">
        <v>869</v>
      </c>
      <c r="B892" s="65">
        <v>45225</v>
      </c>
      <c r="C892" s="70">
        <v>0.38541666666666669</v>
      </c>
      <c r="D892" s="63" t="s">
        <v>3576</v>
      </c>
      <c r="E892" s="64" t="s">
        <v>3577</v>
      </c>
      <c r="F892" s="63">
        <v>3</v>
      </c>
      <c r="G892" s="63" t="s">
        <v>1433</v>
      </c>
      <c r="H892" s="208">
        <v>45244</v>
      </c>
      <c r="I892" s="65" t="s">
        <v>1083</v>
      </c>
      <c r="J892" s="65" t="s">
        <v>1216</v>
      </c>
      <c r="K892" s="63">
        <f>IFERROR(VLOOKUP(J892,Jueces!$A$1:$B$11,2,FALSE),"")</f>
        <v>1</v>
      </c>
      <c r="L892" s="63" t="s">
        <v>791</v>
      </c>
      <c r="M892" s="63" t="s">
        <v>694</v>
      </c>
      <c r="N892" s="63" t="s">
        <v>4056</v>
      </c>
      <c r="O892" s="78" t="str">
        <f ca="1">IF(H892&lt;&gt;"",IF(H892&lt;=TODAY(),"SI","NO"),"LIMBO")</f>
        <v>SI</v>
      </c>
      <c r="P892" s="78" t="str">
        <f>IF($P$1=H892,"DIASOL", "DIANOSOL")</f>
        <v>DIANOSOL</v>
      </c>
      <c r="Q892" s="63" t="s">
        <v>902</v>
      </c>
      <c r="R892" s="63" t="str">
        <f>VLOOKUP($Q892,Resultados!$A$1:$B$49,2,FALSE)</f>
        <v>Juicio Abreviado</v>
      </c>
      <c r="S892" s="63" t="s">
        <v>1601</v>
      </c>
      <c r="T892" s="81" t="str">
        <f>IF(G892=$J$1,"SI","NO")</f>
        <v>NO</v>
      </c>
      <c r="U892" s="81"/>
      <c r="V892" s="7" t="str">
        <f ca="1">IF(color_Celda(E892)=12106214,"ROSA",IF(color_Celda(E892)=65535,"AMARILLO",IF(color_Celda(E892)=5296274,"VERDE",IF(color_Celda(E892)=16777215,"BLANCO","NO SE"))))</f>
        <v>ROSA</v>
      </c>
      <c r="W892" s="63" t="s">
        <v>3171</v>
      </c>
      <c r="X892" s="63" t="s">
        <v>3155</v>
      </c>
      <c r="Y892" s="63"/>
      <c r="Z892" s="118" t="s">
        <v>770</v>
      </c>
      <c r="AA892" s="118" t="s">
        <v>2828</v>
      </c>
      <c r="AB892" s="118" t="s">
        <v>1170</v>
      </c>
      <c r="AC892" s="336"/>
    </row>
    <row r="893" spans="1:29" ht="60" customHeight="1">
      <c r="A893" s="63">
        <v>908</v>
      </c>
      <c r="B893" s="65">
        <v>45231</v>
      </c>
      <c r="C893" s="70">
        <v>0.46319444444444446</v>
      </c>
      <c r="D893" s="63" t="s">
        <v>3718</v>
      </c>
      <c r="E893" s="64" t="s">
        <v>3741</v>
      </c>
      <c r="F893" s="63">
        <v>3</v>
      </c>
      <c r="G893" s="63" t="s">
        <v>283</v>
      </c>
      <c r="H893" s="208">
        <v>45244</v>
      </c>
      <c r="I893" s="65" t="s">
        <v>1083</v>
      </c>
      <c r="J893" s="65" t="s">
        <v>78</v>
      </c>
      <c r="K893" s="63">
        <f>IFERROR(VLOOKUP(J893,Jueces!$A$1:$B$11,2,FALSE),"")</f>
        <v>8</v>
      </c>
      <c r="L893" s="63" t="s">
        <v>800</v>
      </c>
      <c r="M893" s="63" t="s">
        <v>1956</v>
      </c>
      <c r="N893" s="63" t="s">
        <v>621</v>
      </c>
      <c r="O893" s="78" t="str">
        <f ca="1">IF(H893&lt;&gt;"",IF(H893&lt;=TODAY(),"SI","NO"),"LIMBO")</f>
        <v>SI</v>
      </c>
      <c r="P893" s="78" t="str">
        <f>IF($P$1=H893,"DIASOL", "DIANOSOL")</f>
        <v>DIANOSOL</v>
      </c>
      <c r="Q893" s="63" t="s">
        <v>151</v>
      </c>
      <c r="R893" s="63" t="str">
        <f>VLOOKUP($Q893,Resultados!$A$1:$B$49,2,FALSE)</f>
        <v>Prisión Preventiva</v>
      </c>
      <c r="S893" s="63" t="s">
        <v>4052</v>
      </c>
      <c r="T893" s="81" t="str">
        <f>IF(G893=$J$1,"SI","NO")</f>
        <v>NO</v>
      </c>
      <c r="U893" s="81"/>
      <c r="V893" s="7" t="str">
        <f ca="1">IF(color_Celda(E893)=12106214,"ROSA",IF(color_Celda(E893)=65535,"AMARILLO",IF(color_Celda(E893)=5296274,"VERDE",IF(color_Celda(E893)=16777215,"BLANCO","NO SE"))))</f>
        <v>ROSA</v>
      </c>
      <c r="W893" s="63" t="s">
        <v>3628</v>
      </c>
      <c r="X893" s="63" t="s">
        <v>3155</v>
      </c>
      <c r="Y893" s="63"/>
      <c r="Z893" s="118" t="s">
        <v>748</v>
      </c>
      <c r="AA893" s="118" t="s">
        <v>1167</v>
      </c>
      <c r="AB893" s="118" t="s">
        <v>1169</v>
      </c>
      <c r="AC893" s="336"/>
    </row>
    <row r="894" spans="1:29" ht="60" customHeight="1">
      <c r="A894" s="63">
        <v>831</v>
      </c>
      <c r="B894" s="65">
        <v>45240</v>
      </c>
      <c r="C894" s="70">
        <v>0.42222222222222222</v>
      </c>
      <c r="D894" s="63" t="s">
        <v>3447</v>
      </c>
      <c r="E894" s="64" t="s">
        <v>3453</v>
      </c>
      <c r="F894" s="63">
        <v>2</v>
      </c>
      <c r="G894" s="63" t="s">
        <v>3324</v>
      </c>
      <c r="H894" s="208">
        <v>45244</v>
      </c>
      <c r="I894" s="65" t="s">
        <v>1083</v>
      </c>
      <c r="J894" s="65" t="s">
        <v>35</v>
      </c>
      <c r="K894" s="63">
        <f>IFERROR(VLOOKUP(J894,Jueces!$A$1:$B$11,2,FALSE),"")</f>
        <v>3</v>
      </c>
      <c r="L894" s="63" t="s">
        <v>812</v>
      </c>
      <c r="M894" s="339" t="s">
        <v>2680</v>
      </c>
      <c r="N894" s="63" t="s">
        <v>4049</v>
      </c>
      <c r="O894" s="78" t="str">
        <f ca="1">IF(H894&lt;&gt;"",IF(H894&lt;=TODAY(),"SI","NO"),"LIMBO")</f>
        <v>SI</v>
      </c>
      <c r="P894" s="78" t="str">
        <f>IF($P$1=H894,"DIASOL", "DIANOSOL")</f>
        <v>DIANOSOL</v>
      </c>
      <c r="Q894" s="63" t="s">
        <v>151</v>
      </c>
      <c r="R894" s="63" t="str">
        <f>VLOOKUP($Q894,Resultados!$A$1:$B$49,2,FALSE)</f>
        <v>Prisión Preventiva</v>
      </c>
      <c r="S894" s="63" t="s">
        <v>1384</v>
      </c>
      <c r="T894" s="81" t="str">
        <f>IF(G894=$J$1,"SI","NO")</f>
        <v>NO</v>
      </c>
      <c r="U894" s="81"/>
      <c r="V894" s="7" t="str">
        <f ca="1">IF(color_Celda(E894)=12106214,"ROSA",IF(color_Celda(E894)=65535,"AMARILLO",IF(color_Celda(E894)=5296274,"VERDE",IF(color_Celda(E894)=16777215,"BLANCO","NO SE"))))</f>
        <v>ROSA</v>
      </c>
      <c r="W894" s="63" t="s">
        <v>1248</v>
      </c>
      <c r="X894" s="63" t="s">
        <v>3155</v>
      </c>
      <c r="Y894" s="63"/>
      <c r="Z894" s="118" t="s">
        <v>3368</v>
      </c>
      <c r="AA894" s="118" t="s">
        <v>2828</v>
      </c>
      <c r="AB894" s="118" t="s">
        <v>1173</v>
      </c>
      <c r="AC894" s="336"/>
    </row>
    <row r="895" spans="1:29" ht="60" customHeight="1">
      <c r="A895" s="336">
        <v>979</v>
      </c>
      <c r="B895" s="349">
        <v>45240</v>
      </c>
      <c r="C895" s="568">
        <v>0.5131944444444444</v>
      </c>
      <c r="D895" s="325" t="s">
        <v>2562</v>
      </c>
      <c r="E895" s="64" t="s">
        <v>3967</v>
      </c>
      <c r="F895" s="336">
        <v>6</v>
      </c>
      <c r="G895" s="336" t="s">
        <v>29</v>
      </c>
      <c r="H895" s="383">
        <v>45244</v>
      </c>
      <c r="I895" s="65" t="s">
        <v>1083</v>
      </c>
      <c r="J895" s="349" t="s">
        <v>1217</v>
      </c>
      <c r="K895" s="63" t="s">
        <v>3989</v>
      </c>
      <c r="L895" s="63" t="s">
        <v>790</v>
      </c>
      <c r="M895" s="63" t="s">
        <v>2107</v>
      </c>
      <c r="N895" s="63" t="s">
        <v>4053</v>
      </c>
      <c r="O895" s="78" t="str">
        <f ca="1">IF(H895&lt;&gt;"",IF(H895&lt;=TODAY(),"SI","NO"),"LIMBO")</f>
        <v>SI</v>
      </c>
      <c r="P895" s="78" t="str">
        <f>IF($P$1=H895,"DIASOL", "DIANOSOL")</f>
        <v>DIANOSOL</v>
      </c>
      <c r="Q895" s="63" t="s">
        <v>902</v>
      </c>
      <c r="R895" s="63" t="str">
        <f>VLOOKUP($Q895,Resultados!$A$1:$B$49,2,FALSE)</f>
        <v>Juicio Abreviado</v>
      </c>
      <c r="S895" s="63" t="s">
        <v>3363</v>
      </c>
      <c r="T895" s="81" t="str">
        <f>IF(G895=$J$1,"SI","NO")</f>
        <v>NO</v>
      </c>
      <c r="U895" s="81"/>
      <c r="V895" s="7" t="str">
        <f ca="1">IF(color_Celda(E895)=12106214,"ROSA",IF(color_Celda(E895)=65535,"AMARILLO",IF(color_Celda(E895)=5296274,"VERDE",IF(color_Celda(E895)=16777215,"BLANCO","NO SE"))))</f>
        <v>ROSA</v>
      </c>
      <c r="W895" s="63" t="s">
        <v>4054</v>
      </c>
      <c r="X895" s="63" t="s">
        <v>4055</v>
      </c>
      <c r="Y895" s="336"/>
      <c r="Z895" s="118" t="s">
        <v>743</v>
      </c>
      <c r="AA895" s="118"/>
      <c r="AB895" s="118" t="s">
        <v>3258</v>
      </c>
      <c r="AC895" s="336" t="s">
        <v>1792</v>
      </c>
    </row>
    <row r="896" spans="1:29" ht="60" customHeight="1">
      <c r="A896" s="7">
        <v>861</v>
      </c>
      <c r="B896" s="19">
        <v>45224</v>
      </c>
      <c r="C896" s="15">
        <v>0.43958333333333338</v>
      </c>
      <c r="D896" s="7" t="s">
        <v>3553</v>
      </c>
      <c r="E896" s="40" t="s">
        <v>3554</v>
      </c>
      <c r="F896" s="7">
        <v>3</v>
      </c>
      <c r="G896" s="7" t="s">
        <v>2815</v>
      </c>
      <c r="H896" s="297">
        <v>45245</v>
      </c>
      <c r="I896" s="19" t="s">
        <v>73</v>
      </c>
      <c r="J896" s="19" t="s">
        <v>31</v>
      </c>
      <c r="K896" s="7">
        <f>IFERROR(VLOOKUP(J896,Jueces!$A$1:$B$11,2,FALSE),"")</f>
        <v>2</v>
      </c>
      <c r="L896" s="7" t="s">
        <v>807</v>
      </c>
      <c r="M896" s="7" t="s">
        <v>694</v>
      </c>
      <c r="N896" s="7" t="s">
        <v>4058</v>
      </c>
      <c r="O896" s="76" t="str">
        <f ca="1">IF(H896&lt;&gt;"",IF(H896&lt;=TODAY(),"SI","NO"),"LIMBO")</f>
        <v>SI</v>
      </c>
      <c r="P896" s="76" t="str">
        <f>IF($P$1=H896,"DIASOL", "DIANOSOL")</f>
        <v>DIANOSOL</v>
      </c>
      <c r="Q896" s="7" t="s">
        <v>902</v>
      </c>
      <c r="R896" s="7" t="str">
        <f>VLOOKUP($Q896,Resultados!$A$1:$B$49,2,FALSE)</f>
        <v>Juicio Abreviado</v>
      </c>
      <c r="S896" s="7" t="s">
        <v>1183</v>
      </c>
      <c r="T896" s="342" t="str">
        <f>IF(G896=$J$1,"SI","NO")</f>
        <v>NO</v>
      </c>
      <c r="U896" s="342"/>
      <c r="V896" s="7" t="str">
        <f ca="1">IF(color_Celda(E896)=12106214,"ROSA",IF(color_Celda(E896)=65535,"AMARILLO",IF(color_Celda(E896)=5296274,"VERDE",IF(color_Celda(E896)=16777215,"BLANCO","NO SE"))))</f>
        <v>ROSA</v>
      </c>
      <c r="W896" s="7" t="s">
        <v>2238</v>
      </c>
      <c r="X896" s="7" t="s">
        <v>2552</v>
      </c>
      <c r="Y896" s="7"/>
      <c r="Z896" s="7" t="s">
        <v>3368</v>
      </c>
      <c r="AA896" s="268" t="s">
        <v>2828</v>
      </c>
      <c r="AB896" s="7" t="s">
        <v>1171</v>
      </c>
      <c r="AC896" s="328"/>
    </row>
    <row r="897" spans="1:29" ht="60" customHeight="1">
      <c r="A897" s="63">
        <v>891</v>
      </c>
      <c r="B897" s="65">
        <v>45229</v>
      </c>
      <c r="C897" s="70">
        <v>0.46527777777777773</v>
      </c>
      <c r="D897" s="63" t="s">
        <v>3668</v>
      </c>
      <c r="E897" s="64" t="s">
        <v>3669</v>
      </c>
      <c r="F897" s="63">
        <v>7</v>
      </c>
      <c r="G897" s="63" t="s">
        <v>568</v>
      </c>
      <c r="H897" s="208">
        <v>45245</v>
      </c>
      <c r="I897" s="65" t="s">
        <v>73</v>
      </c>
      <c r="J897" s="65" t="s">
        <v>35</v>
      </c>
      <c r="K897" s="63">
        <f>IFERROR(VLOOKUP(J897,Jueces!$A$1:$B$11,2,FALSE),"")</f>
        <v>3</v>
      </c>
      <c r="L897" s="63" t="s">
        <v>582</v>
      </c>
      <c r="M897" s="337" t="s">
        <v>2103</v>
      </c>
      <c r="N897" s="63" t="s">
        <v>4065</v>
      </c>
      <c r="O897" s="78" t="str">
        <f ca="1">IF(H897&lt;&gt;"",IF(H897&lt;=TODAY(),"SI","NO"),"LIMBO")</f>
        <v>SI</v>
      </c>
      <c r="P897" s="78" t="str">
        <f>IF($P$1=H897,"DIASOL", "DIANOSOL")</f>
        <v>DIANOSOL</v>
      </c>
      <c r="Q897" s="63" t="s">
        <v>902</v>
      </c>
      <c r="R897" s="63" t="str">
        <f>VLOOKUP($Q897,Resultados!$A$1:$B$49,2,FALSE)</f>
        <v>Juicio Abreviado</v>
      </c>
      <c r="S897" s="63" t="s">
        <v>1528</v>
      </c>
      <c r="T897" s="81" t="str">
        <f>IF(G897=$J$1,"SI","NO")</f>
        <v>NO</v>
      </c>
      <c r="U897" s="81"/>
      <c r="V897" s="7" t="str">
        <f ca="1">IF(color_Celda(E897)=12106214,"ROSA",IF(color_Celda(E897)=65535,"AMARILLO",IF(color_Celda(E897)=5296274,"VERDE",IF(color_Celda(E897)=16777215,"BLANCO","NO SE"))))</f>
        <v>ROSA</v>
      </c>
      <c r="W897" s="63" t="s">
        <v>2327</v>
      </c>
      <c r="X897" s="63" t="s">
        <v>4066</v>
      </c>
      <c r="Y897" s="63"/>
      <c r="Z897" s="63" t="s">
        <v>1039</v>
      </c>
      <c r="AA897" s="63"/>
      <c r="AB897" s="63" t="s">
        <v>3322</v>
      </c>
      <c r="AC897" s="336"/>
    </row>
    <row r="898" spans="1:29" ht="60" customHeight="1">
      <c r="A898" s="63">
        <v>902</v>
      </c>
      <c r="B898" s="65">
        <v>45231</v>
      </c>
      <c r="C898" s="70">
        <v>0.39374999999999999</v>
      </c>
      <c r="D898" s="63" t="s">
        <v>3710</v>
      </c>
      <c r="E898" s="64" t="s">
        <v>3742</v>
      </c>
      <c r="F898" s="63">
        <v>3</v>
      </c>
      <c r="G898" s="63" t="s">
        <v>2766</v>
      </c>
      <c r="H898" s="208">
        <v>45245</v>
      </c>
      <c r="I898" s="65" t="s">
        <v>73</v>
      </c>
      <c r="J898" s="65" t="s">
        <v>78</v>
      </c>
      <c r="K898" s="63">
        <v>8</v>
      </c>
      <c r="L898" s="63" t="s">
        <v>802</v>
      </c>
      <c r="M898" s="63" t="s">
        <v>695</v>
      </c>
      <c r="N898" s="63" t="s">
        <v>4059</v>
      </c>
      <c r="O898" s="78" t="str">
        <f ca="1">IF(H898&lt;&gt;"",IF(H898&lt;=TODAY(),"SI","NO"),"LIMBO")</f>
        <v>SI</v>
      </c>
      <c r="P898" s="78" t="str">
        <f>IF($P$1=H898,"DIASOL", "DIANOSOL")</f>
        <v>DIANOSOL</v>
      </c>
      <c r="Q898" s="63" t="s">
        <v>902</v>
      </c>
      <c r="R898" s="63" t="str">
        <f>VLOOKUP($Q898,Resultados!$A$1:$B$49,2,FALSE)</f>
        <v>Juicio Abreviado</v>
      </c>
      <c r="S898" s="63" t="s">
        <v>1006</v>
      </c>
      <c r="T898" s="81" t="str">
        <f>IF(G898=$J$1,"SI","NO")</f>
        <v>NO</v>
      </c>
      <c r="U898" s="81"/>
      <c r="V898" s="7" t="str">
        <f ca="1">IF(color_Celda(E898)=12106214,"ROSA",IF(color_Celda(E898)=65535,"AMARILLO",IF(color_Celda(E898)=5296274,"VERDE",IF(color_Celda(E898)=16777215,"BLANCO","NO SE"))))</f>
        <v>ROSA</v>
      </c>
      <c r="W898" s="63" t="s">
        <v>1134</v>
      </c>
      <c r="X898" s="63" t="s">
        <v>4060</v>
      </c>
      <c r="Y898" s="63"/>
      <c r="Z898" s="63" t="s">
        <v>1038</v>
      </c>
      <c r="AA898" s="118" t="s">
        <v>2869</v>
      </c>
      <c r="AB898" s="63" t="s">
        <v>1173</v>
      </c>
      <c r="AC898" s="336"/>
    </row>
    <row r="899" spans="1:29" ht="60" customHeight="1">
      <c r="A899" s="63">
        <v>905</v>
      </c>
      <c r="B899" s="65">
        <v>45231</v>
      </c>
      <c r="C899" s="70">
        <v>0.41736111111111113</v>
      </c>
      <c r="D899" s="63" t="s">
        <v>3712</v>
      </c>
      <c r="E899" s="64" t="s">
        <v>3713</v>
      </c>
      <c r="F899" s="63">
        <v>3</v>
      </c>
      <c r="G899" s="63" t="s">
        <v>3323</v>
      </c>
      <c r="H899" s="208">
        <v>45245</v>
      </c>
      <c r="I899" s="65" t="s">
        <v>749</v>
      </c>
      <c r="J899" s="65" t="s">
        <v>1221</v>
      </c>
      <c r="K899" s="63">
        <f>IFERROR(VLOOKUP(J899,Jueces!$A$1:$B$11,2,FALSE),"")</f>
        <v>6</v>
      </c>
      <c r="L899" s="63" t="s">
        <v>811</v>
      </c>
      <c r="M899" s="63" t="s">
        <v>3755</v>
      </c>
      <c r="N899" s="63" t="s">
        <v>621</v>
      </c>
      <c r="O899" s="78" t="str">
        <f ca="1">IF(H899&lt;&gt;"",IF(H899&lt;=TODAY(),"SI","NO"),"LIMBO")</f>
        <v>SI</v>
      </c>
      <c r="P899" s="78" t="str">
        <f>IF($P$1=H899,"DIASOL", "DIANOSOL")</f>
        <v>DIANOSOL</v>
      </c>
      <c r="Q899" s="63" t="s">
        <v>151</v>
      </c>
      <c r="R899" s="63" t="str">
        <f>VLOOKUP($Q899,Resultados!$A$1:$B$49,2,FALSE)</f>
        <v>Prisión Preventiva</v>
      </c>
      <c r="S899" s="63" t="s">
        <v>686</v>
      </c>
      <c r="T899" s="81" t="str">
        <f>IF(G899=$J$1,"SI","NO")</f>
        <v>NO</v>
      </c>
      <c r="U899" s="81"/>
      <c r="V899" s="7" t="str">
        <f ca="1">IF(color_Celda(E899)=12106214,"ROSA",IF(color_Celda(E899)=65535,"AMARILLO",IF(color_Celda(E899)=5296274,"VERDE",IF(color_Celda(E899)=16777215,"BLANCO","NO SE"))))</f>
        <v>ROSA</v>
      </c>
      <c r="W899" s="63" t="s">
        <v>1738</v>
      </c>
      <c r="X899" s="102" t="s">
        <v>4064</v>
      </c>
      <c r="Y899" s="63"/>
      <c r="Z899" s="63" t="s">
        <v>743</v>
      </c>
      <c r="AA899" s="118" t="s">
        <v>2869</v>
      </c>
      <c r="AB899" s="63" t="s">
        <v>1170</v>
      </c>
      <c r="AC899" s="336"/>
    </row>
    <row r="900" spans="1:29" ht="60" customHeight="1">
      <c r="A900" s="63">
        <v>878</v>
      </c>
      <c r="B900" s="65">
        <v>45225</v>
      </c>
      <c r="C900" s="70">
        <v>0.3444444444444445</v>
      </c>
      <c r="D900" s="63" t="s">
        <v>3740</v>
      </c>
      <c r="E900" s="64" t="s">
        <v>3722</v>
      </c>
      <c r="F900" s="63">
        <v>3</v>
      </c>
      <c r="G900" s="63" t="s">
        <v>1434</v>
      </c>
      <c r="H900" s="208">
        <v>45245</v>
      </c>
      <c r="I900" s="65" t="s">
        <v>1083</v>
      </c>
      <c r="J900" s="65" t="s">
        <v>1216</v>
      </c>
      <c r="K900" s="63">
        <f>IFERROR(VLOOKUP(J900,Jueces!$A$1:$B$11,2,FALSE),"")</f>
        <v>1</v>
      </c>
      <c r="L900" s="63" t="s">
        <v>789</v>
      </c>
      <c r="M900" s="63" t="s">
        <v>4062</v>
      </c>
      <c r="N900" s="63" t="s">
        <v>4063</v>
      </c>
      <c r="O900" s="78" t="str">
        <f ca="1">IF(H900&lt;&gt;"",IF(H900&lt;=TODAY(),"SI","NO"),"LIMBO")</f>
        <v>SI</v>
      </c>
      <c r="P900" s="78" t="str">
        <f>IF($P$1=H900,"DIASOL", "DIANOSOL")</f>
        <v>DIANOSOL</v>
      </c>
      <c r="Q900" s="63" t="s">
        <v>151</v>
      </c>
      <c r="R900" s="63" t="str">
        <f>VLOOKUP($Q900,Resultados!$A$1:$B$49,2,FALSE)</f>
        <v>Prisión Preventiva</v>
      </c>
      <c r="S900" s="63" t="s">
        <v>76</v>
      </c>
      <c r="T900" s="81" t="str">
        <f>IF(G900=$J$1,"SI","NO")</f>
        <v>NO</v>
      </c>
      <c r="U900" s="81"/>
      <c r="V900" s="7" t="str">
        <f ca="1">IF(color_Celda(E900)=12106214,"ROSA",IF(color_Celda(E900)=65535,"AMARILLO",IF(color_Celda(E900)=5296274,"VERDE",IF(color_Celda(E900)=16777215,"BLANCO","NO SE"))))</f>
        <v>ROSA</v>
      </c>
      <c r="W900" s="63" t="s">
        <v>1737</v>
      </c>
      <c r="X900" s="63" t="s">
        <v>4061</v>
      </c>
      <c r="Y900" s="63"/>
      <c r="Z900" s="63" t="s">
        <v>743</v>
      </c>
      <c r="AA900" s="118" t="s">
        <v>3379</v>
      </c>
      <c r="AB900" s="118" t="s">
        <v>1169</v>
      </c>
      <c r="AC900" s="336"/>
    </row>
    <row r="901" spans="1:29" ht="60" customHeight="1">
      <c r="A901" s="63">
        <v>916</v>
      </c>
      <c r="B901" s="65">
        <v>45232</v>
      </c>
      <c r="C901" s="70">
        <v>0.4069444444444445</v>
      </c>
      <c r="D901" s="63" t="s">
        <v>3749</v>
      </c>
      <c r="E901" s="64" t="s">
        <v>3750</v>
      </c>
      <c r="F901" s="63">
        <v>3</v>
      </c>
      <c r="G901" s="63" t="s">
        <v>283</v>
      </c>
      <c r="H901" s="208">
        <v>45245</v>
      </c>
      <c r="I901" s="65" t="s">
        <v>1083</v>
      </c>
      <c r="J901" s="65" t="s">
        <v>31</v>
      </c>
      <c r="K901" s="63">
        <f>IFERROR(VLOOKUP(J901,Jueces!$A$1:$B$11,2,FALSE),"")</f>
        <v>2</v>
      </c>
      <c r="L901" s="63" t="s">
        <v>811</v>
      </c>
      <c r="M901" s="63" t="s">
        <v>3755</v>
      </c>
      <c r="N901" s="63" t="s">
        <v>2550</v>
      </c>
      <c r="O901" s="78" t="str">
        <f ca="1">IF(H901&lt;&gt;"",IF(H901&lt;=TODAY(),"SI","NO"),"LIMBO")</f>
        <v>SI</v>
      </c>
      <c r="P901" s="78" t="str">
        <f>IF($P$1=H901,"DIASOL", "DIANOSOL")</f>
        <v>DIANOSOL</v>
      </c>
      <c r="Q901" s="63" t="s">
        <v>897</v>
      </c>
      <c r="R901" s="63" t="str">
        <f>VLOOKUP($Q901,Resultados!$A$1:$B$49,2,FALSE)</f>
        <v>Libertad</v>
      </c>
      <c r="S901" s="63" t="s">
        <v>1206</v>
      </c>
      <c r="T901" s="81" t="str">
        <f>IF(G901=$J$1,"SI","NO")</f>
        <v>NO</v>
      </c>
      <c r="U901" s="81"/>
      <c r="V901" s="7" t="str">
        <f ca="1">IF(color_Celda(E901)=12106214,"ROSA",IF(color_Celda(E901)=65535,"AMARILLO",IF(color_Celda(E901)=5296274,"VERDE",IF(color_Celda(E901)=16777215,"BLANCO","NO SE"))))</f>
        <v>ROSA</v>
      </c>
      <c r="W901" s="63" t="s">
        <v>1502</v>
      </c>
      <c r="X901" s="63" t="s">
        <v>2954</v>
      </c>
      <c r="Y901" s="63"/>
      <c r="Z901" s="63" t="s">
        <v>3368</v>
      </c>
      <c r="AA901" s="118" t="s">
        <v>2828</v>
      </c>
      <c r="AB901" s="118" t="s">
        <v>3258</v>
      </c>
      <c r="AC901" s="336"/>
    </row>
    <row r="902" spans="1:29" ht="60" customHeight="1">
      <c r="A902" s="63">
        <v>877</v>
      </c>
      <c r="B902" s="65">
        <v>45225</v>
      </c>
      <c r="C902" s="70">
        <v>0.46458333333333335</v>
      </c>
      <c r="D902" s="63" t="s">
        <v>3599</v>
      </c>
      <c r="E902" s="64" t="s">
        <v>3605</v>
      </c>
      <c r="F902" s="63">
        <v>3</v>
      </c>
      <c r="G902" s="63" t="s">
        <v>3323</v>
      </c>
      <c r="H902" s="208">
        <v>45246</v>
      </c>
      <c r="I902" s="65" t="s">
        <v>73</v>
      </c>
      <c r="J902" s="65" t="s">
        <v>78</v>
      </c>
      <c r="K902" s="63">
        <f>IFERROR(VLOOKUP(J902,Jueces!$A$1:$B$11,2,FALSE),"")</f>
        <v>8</v>
      </c>
      <c r="L902" s="63" t="s">
        <v>810</v>
      </c>
      <c r="M902" s="63" t="s">
        <v>694</v>
      </c>
      <c r="N902" s="63" t="s">
        <v>3184</v>
      </c>
      <c r="O902" s="78" t="str">
        <f ca="1">IF(H902&lt;&gt;"",IF(H902&lt;=TODAY(),"SI","NO"),"LIMBO")</f>
        <v>SI</v>
      </c>
      <c r="P902" s="78" t="str">
        <f>IF($P$1=H902,"DIASOL", "DIANOSOL")</f>
        <v>DIANOSOL</v>
      </c>
      <c r="Q902" s="63" t="s">
        <v>903</v>
      </c>
      <c r="R902" s="63" t="str">
        <f>VLOOKUP($Q902,Resultados!$A$1:$B$49,2,FALSE)</f>
        <v>Juicio Abreviado</v>
      </c>
      <c r="S902" s="63" t="s">
        <v>1419</v>
      </c>
      <c r="T902" s="81" t="str">
        <f>IF(G902=$J$1,"SI","NO")</f>
        <v>NO</v>
      </c>
      <c r="U902" s="81"/>
      <c r="V902" s="7" t="str">
        <f ca="1">IF(color_Celda(E902)=12106214,"ROSA",IF(color_Celda(E902)=65535,"AMARILLO",IF(color_Celda(E902)=5296274,"VERDE",IF(color_Celda(E902)=16777215,"BLANCO","NO SE"))))</f>
        <v>ROSA</v>
      </c>
      <c r="W902" s="63" t="s">
        <v>1125</v>
      </c>
      <c r="X902" s="63" t="s">
        <v>3438</v>
      </c>
      <c r="Y902" s="63"/>
      <c r="Z902" s="118" t="s">
        <v>1038</v>
      </c>
      <c r="AA902" s="118" t="s">
        <v>2869</v>
      </c>
      <c r="AB902" s="118" t="s">
        <v>3322</v>
      </c>
      <c r="AC902" s="336"/>
    </row>
    <row r="903" spans="1:29" ht="60" customHeight="1">
      <c r="A903" s="63">
        <v>912</v>
      </c>
      <c r="B903" s="65">
        <v>45231</v>
      </c>
      <c r="C903" s="70">
        <v>0.52569444444444446</v>
      </c>
      <c r="D903" s="63" t="s">
        <v>3726</v>
      </c>
      <c r="E903" s="64" t="s">
        <v>3727</v>
      </c>
      <c r="F903" s="63">
        <v>3</v>
      </c>
      <c r="G903" s="63" t="s">
        <v>1435</v>
      </c>
      <c r="H903" s="208">
        <v>45246</v>
      </c>
      <c r="I903" s="65" t="s">
        <v>73</v>
      </c>
      <c r="J903" s="65" t="s">
        <v>33</v>
      </c>
      <c r="K903" s="63">
        <f>IFERROR(VLOOKUP(J903,Jueces!$A$1:$B$11,2,FALSE),"")</f>
        <v>4</v>
      </c>
      <c r="L903" s="63" t="s">
        <v>2076</v>
      </c>
      <c r="M903" s="63" t="s">
        <v>3755</v>
      </c>
      <c r="N903" s="63" t="s">
        <v>4073</v>
      </c>
      <c r="O903" s="78" t="str">
        <f ca="1">IF(H903&lt;&gt;"",IF(H903&lt;=TODAY(),"SI","NO"),"LIMBO")</f>
        <v>SI</v>
      </c>
      <c r="P903" s="78" t="str">
        <f>IF($P$1=H903,"DIASOL", "DIANOSOL")</f>
        <v>DIANOSOL</v>
      </c>
      <c r="Q903" s="63" t="s">
        <v>910</v>
      </c>
      <c r="R903" s="63" t="str">
        <f>VLOOKUP($Q903,Resultados!$A$1:$B$49,2,FALSE)</f>
        <v>Suspendida</v>
      </c>
      <c r="S903" s="63"/>
      <c r="T903" s="81" t="str">
        <f>IF(G903=$J$1,"SI","NO")</f>
        <v>SI</v>
      </c>
      <c r="U903" s="81"/>
      <c r="V903" s="7" t="str">
        <f ca="1">IF(color_Celda(E903)=12106214,"ROSA",IF(color_Celda(E903)=65535,"AMARILLO",IF(color_Celda(E903)=5296274,"VERDE",IF(color_Celda(E903)=16777215,"BLANCO","NO SE"))))</f>
        <v>ROSA</v>
      </c>
      <c r="W903" s="63"/>
      <c r="X903" s="63"/>
      <c r="Y903" s="63"/>
      <c r="Z903" s="118" t="s">
        <v>743</v>
      </c>
      <c r="AA903" s="118" t="s">
        <v>3379</v>
      </c>
      <c r="AB903" s="118" t="s">
        <v>1170</v>
      </c>
      <c r="AC903" s="336"/>
    </row>
    <row r="904" spans="1:29" ht="60" customHeight="1">
      <c r="A904" s="63">
        <v>937</v>
      </c>
      <c r="B904" s="65">
        <v>45233</v>
      </c>
      <c r="C904" s="70">
        <v>0.4513888888888889</v>
      </c>
      <c r="D904" s="63" t="s">
        <v>3841</v>
      </c>
      <c r="E904" s="64" t="s">
        <v>3842</v>
      </c>
      <c r="F904" s="63">
        <v>5</v>
      </c>
      <c r="G904" s="63" t="s">
        <v>3791</v>
      </c>
      <c r="H904" s="208">
        <v>45246</v>
      </c>
      <c r="I904" s="65" t="s">
        <v>73</v>
      </c>
      <c r="J904" s="65" t="s">
        <v>31</v>
      </c>
      <c r="K904" s="63">
        <v>2</v>
      </c>
      <c r="L904" s="63" t="s">
        <v>2077</v>
      </c>
      <c r="M904" s="63" t="s">
        <v>712</v>
      </c>
      <c r="N904" s="63" t="s">
        <v>1892</v>
      </c>
      <c r="O904" s="78" t="str">
        <f ca="1">IF(H904&lt;&gt;"",IF(H904&lt;=TODAY(),"SI","NO"),"LIMBO")</f>
        <v>SI</v>
      </c>
      <c r="P904" s="78" t="str">
        <f>IF($P$1=H904,"DIASOL", "DIANOSOL")</f>
        <v>DIANOSOL</v>
      </c>
      <c r="Q904" s="63" t="s">
        <v>1892</v>
      </c>
      <c r="R904" s="63" t="str">
        <f>VLOOKUP($Q904,Resultados!$A$1:$B$49,2,FALSE)</f>
        <v>Sobreseimiento</v>
      </c>
      <c r="S904" s="63" t="s">
        <v>1558</v>
      </c>
      <c r="T904" s="81" t="str">
        <f>IF(G904=$J$1,"SI","NO")</f>
        <v>NO</v>
      </c>
      <c r="U904" s="81"/>
      <c r="V904" s="7" t="str">
        <f ca="1">IF(color_Celda(E904)=12106214,"ROSA",IF(color_Celda(E904)=65535,"AMARILLO",IF(color_Celda(E904)=5296274,"VERDE",IF(color_Celda(E904)=16777215,"BLANCO","NO SE"))))</f>
        <v>ROSA</v>
      </c>
      <c r="W904" s="63" t="s">
        <v>1062</v>
      </c>
      <c r="X904" s="63" t="s">
        <v>4067</v>
      </c>
      <c r="Y904" s="63"/>
      <c r="Z904" s="118" t="s">
        <v>748</v>
      </c>
      <c r="AA904" s="118" t="s">
        <v>2828</v>
      </c>
      <c r="AB904" s="118" t="s">
        <v>1171</v>
      </c>
      <c r="AC904" s="336"/>
    </row>
    <row r="905" spans="1:29" ht="60" customHeight="1">
      <c r="A905" s="63">
        <v>893</v>
      </c>
      <c r="B905" s="65">
        <v>45243</v>
      </c>
      <c r="C905" s="63" t="s">
        <v>3111</v>
      </c>
      <c r="D905" s="63" t="s">
        <v>3676</v>
      </c>
      <c r="E905" s="64" t="s">
        <v>3688</v>
      </c>
      <c r="F905" s="63">
        <v>3</v>
      </c>
      <c r="G905" s="63" t="s">
        <v>1433</v>
      </c>
      <c r="H905" s="208">
        <v>45246</v>
      </c>
      <c r="I905" s="65" t="s">
        <v>73</v>
      </c>
      <c r="J905" s="65" t="s">
        <v>2925</v>
      </c>
      <c r="K905" s="63" t="s">
        <v>3776</v>
      </c>
      <c r="L905" s="63" t="s">
        <v>805</v>
      </c>
      <c r="M905" s="63" t="s">
        <v>1025</v>
      </c>
      <c r="N905" s="63" t="s">
        <v>4071</v>
      </c>
      <c r="O905" s="78" t="str">
        <f ca="1">IF(H905&lt;&gt;"",IF(H905&lt;=TODAY(),"SI","NO"),"LIMBO")</f>
        <v>SI</v>
      </c>
      <c r="P905" s="78" t="str">
        <f>IF($P$1=H905,"DIASOL", "DIANOSOL")</f>
        <v>DIANOSOL</v>
      </c>
      <c r="Q905" s="63" t="s">
        <v>151</v>
      </c>
      <c r="R905" s="63" t="str">
        <f>VLOOKUP($Q905,Resultados!$A$1:$B$49,2,FALSE)</f>
        <v>Prisión Preventiva</v>
      </c>
      <c r="S905" s="63" t="s">
        <v>2238</v>
      </c>
      <c r="T905" s="81" t="str">
        <f>IF(G905=$J$1,"SI","NO")</f>
        <v>NO</v>
      </c>
      <c r="U905" s="81"/>
      <c r="V905" s="7" t="str">
        <f ca="1">IF(color_Celda(E905)=12106214,"ROSA",IF(color_Celda(E905)=65535,"AMARILLO",IF(color_Celda(E905)=5296274,"VERDE",IF(color_Celda(E905)=16777215,"BLANCO","NO SE"))))</f>
        <v>ROSA</v>
      </c>
      <c r="W905" s="63" t="s">
        <v>3235</v>
      </c>
      <c r="X905" s="63" t="s">
        <v>4072</v>
      </c>
      <c r="Y905" s="63"/>
      <c r="Z905" s="118" t="s">
        <v>3368</v>
      </c>
      <c r="AA905" s="118" t="s">
        <v>1167</v>
      </c>
      <c r="AB905" s="118" t="s">
        <v>1173</v>
      </c>
      <c r="AC905" s="336"/>
    </row>
    <row r="906" spans="1:29" ht="60" customHeight="1">
      <c r="A906" s="63">
        <v>880</v>
      </c>
      <c r="B906" s="65">
        <v>45226</v>
      </c>
      <c r="C906" s="70">
        <v>0.33333333333333331</v>
      </c>
      <c r="D906" s="63" t="s">
        <v>2280</v>
      </c>
      <c r="E906" s="350" t="s">
        <v>3608</v>
      </c>
      <c r="F906" s="63">
        <v>7</v>
      </c>
      <c r="G906" s="63" t="s">
        <v>283</v>
      </c>
      <c r="H906" s="208">
        <v>45246</v>
      </c>
      <c r="I906" s="65" t="s">
        <v>1083</v>
      </c>
      <c r="J906" s="65" t="s">
        <v>1723</v>
      </c>
      <c r="K906" s="63" t="s">
        <v>3779</v>
      </c>
      <c r="L906" s="63" t="s">
        <v>795</v>
      </c>
      <c r="M906" s="63" t="s">
        <v>3667</v>
      </c>
      <c r="N906" s="63" t="s">
        <v>4076</v>
      </c>
      <c r="O906" s="78" t="str">
        <f ca="1">IF(H906&lt;&gt;"",IF(H906&lt;=TODAY(),"SI","NO"),"LIMBO")</f>
        <v>SI</v>
      </c>
      <c r="P906" s="78" t="str">
        <f>IF($P$1=H906,"DIASOL", "DIANOSOL")</f>
        <v>DIANOSOL</v>
      </c>
      <c r="Q906" s="63" t="s">
        <v>911</v>
      </c>
      <c r="R906" s="63" t="str">
        <f>VLOOKUP($Q906,Resultados!$A$1:$B$49,2,FALSE)</f>
        <v>Prision domiciliaria</v>
      </c>
      <c r="S906" s="63" t="s">
        <v>76</v>
      </c>
      <c r="T906" s="81" t="str">
        <f>IF(G906=$J$1,"SI","NO")</f>
        <v>NO</v>
      </c>
      <c r="U906" s="81"/>
      <c r="V906" s="7" t="str">
        <f ca="1">IF(color_Celda(E906)=12106214,"ROSA",IF(color_Celda(E906)=65535,"AMARILLO",IF(color_Celda(E906)=5296274,"VERDE",IF(color_Celda(E906)=16777215,"BLANCO","NO SE"))))</f>
        <v>ROSA</v>
      </c>
      <c r="W906" s="70">
        <v>0.39930555555555558</v>
      </c>
      <c r="X906" s="63" t="s">
        <v>3155</v>
      </c>
      <c r="Y906" s="63"/>
      <c r="Z906" s="118" t="s">
        <v>743</v>
      </c>
      <c r="AA906" s="118" t="s">
        <v>1167</v>
      </c>
      <c r="AB906" s="118" t="s">
        <v>1169</v>
      </c>
      <c r="AC906" s="336"/>
    </row>
    <row r="907" spans="1:29" ht="60" customHeight="1">
      <c r="A907" s="63">
        <v>886</v>
      </c>
      <c r="B907" s="65">
        <v>45226</v>
      </c>
      <c r="C907" s="70">
        <v>0.50138888888888888</v>
      </c>
      <c r="D907" s="63" t="s">
        <v>3615</v>
      </c>
      <c r="E907" s="64" t="s">
        <v>3616</v>
      </c>
      <c r="F907" s="63">
        <v>4</v>
      </c>
      <c r="G907" s="63" t="s">
        <v>3324</v>
      </c>
      <c r="H907" s="208">
        <v>45246</v>
      </c>
      <c r="I907" s="65" t="s">
        <v>1083</v>
      </c>
      <c r="J907" s="65" t="s">
        <v>31</v>
      </c>
      <c r="K907" s="63">
        <f>IFERROR(VLOOKUP(J907,Jueces!$A$1:$B$11,2,FALSE),"")</f>
        <v>2</v>
      </c>
      <c r="L907" s="63" t="s">
        <v>807</v>
      </c>
      <c r="M907" s="7" t="s">
        <v>694</v>
      </c>
      <c r="N907" s="63" t="s">
        <v>4070</v>
      </c>
      <c r="O907" s="78" t="str">
        <f ca="1">IF(H907&lt;&gt;"",IF(H907&lt;=TODAY(),"SI","NO"),"LIMBO")</f>
        <v>SI</v>
      </c>
      <c r="P907" s="78" t="str">
        <f>IF($P$1=H907,"DIASOL", "DIANOSOL")</f>
        <v>DIANOSOL</v>
      </c>
      <c r="Q907" s="63" t="s">
        <v>151</v>
      </c>
      <c r="R907" s="63" t="str">
        <f>VLOOKUP($Q907,Resultados!$A$1:$B$49,2,FALSE)</f>
        <v>Prisión Preventiva</v>
      </c>
      <c r="S907" s="63" t="s">
        <v>1003</v>
      </c>
      <c r="T907" s="81" t="str">
        <f>IF(G907=$J$1,"SI","NO")</f>
        <v>NO</v>
      </c>
      <c r="U907" s="81"/>
      <c r="V907" s="7" t="str">
        <f ca="1">IF(color_Celda(E907)=12106214,"ROSA",IF(color_Celda(E907)=65535,"AMARILLO",IF(color_Celda(E907)=5296274,"VERDE",IF(color_Celda(E907)=16777215,"BLANCO","NO SE"))))</f>
        <v>ROSA</v>
      </c>
      <c r="W907" s="63" t="s">
        <v>3360</v>
      </c>
      <c r="X907" s="63" t="s">
        <v>3155</v>
      </c>
      <c r="Y907" s="63"/>
      <c r="Z907" s="118" t="s">
        <v>748</v>
      </c>
      <c r="AA907" s="118" t="s">
        <v>2828</v>
      </c>
      <c r="AB907" s="118" t="s">
        <v>3258</v>
      </c>
      <c r="AC907" s="336"/>
    </row>
    <row r="908" spans="1:29" ht="60" customHeight="1">
      <c r="A908" s="63">
        <v>904</v>
      </c>
      <c r="B908" s="65">
        <v>45231</v>
      </c>
      <c r="C908" s="70">
        <v>0.39652777777777781</v>
      </c>
      <c r="D908" s="63" t="s">
        <v>3245</v>
      </c>
      <c r="E908" s="64" t="s">
        <v>3778</v>
      </c>
      <c r="F908" s="63">
        <v>1</v>
      </c>
      <c r="G908" s="63" t="s">
        <v>568</v>
      </c>
      <c r="H908" s="208">
        <v>45246</v>
      </c>
      <c r="I908" s="65" t="s">
        <v>1083</v>
      </c>
      <c r="J908" s="65" t="s">
        <v>1216</v>
      </c>
      <c r="K908" s="63">
        <f>IFERROR(VLOOKUP(J908,Jueces!$A$1:$B$11,2,FALSE),"")</f>
        <v>1</v>
      </c>
      <c r="L908" s="63" t="s">
        <v>805</v>
      </c>
      <c r="M908" s="63" t="s">
        <v>1175</v>
      </c>
      <c r="N908" s="63" t="s">
        <v>4074</v>
      </c>
      <c r="O908" s="78" t="str">
        <f ca="1">IF(H908&lt;&gt;"",IF(H908&lt;=TODAY(),"SI","NO"),"LIMBO")</f>
        <v>SI</v>
      </c>
      <c r="P908" s="78" t="str">
        <f>IF($P$1=H908,"DIASOL", "DIANOSOL")</f>
        <v>DIANOSOL</v>
      </c>
      <c r="Q908" s="63" t="s">
        <v>902</v>
      </c>
      <c r="R908" s="63" t="str">
        <f>VLOOKUP($Q908,Resultados!$A$1:$B$49,2,FALSE)</f>
        <v>Juicio Abreviado</v>
      </c>
      <c r="S908" s="63" t="s">
        <v>3201</v>
      </c>
      <c r="T908" s="81" t="str">
        <f>IF(G908=$J$1,"SI","NO")</f>
        <v>NO</v>
      </c>
      <c r="U908" s="81"/>
      <c r="V908" s="7" t="str">
        <f ca="1">IF(color_Celda(E908)=12106214,"ROSA",IF(color_Celda(E908)=65535,"AMARILLO",IF(color_Celda(E908)=5296274,"VERDE",IF(color_Celda(E908)=16777215,"BLANCO","NO SE"))))</f>
        <v>ROSA</v>
      </c>
      <c r="W908" s="63" t="s">
        <v>3682</v>
      </c>
      <c r="X908" s="63" t="s">
        <v>4075</v>
      </c>
      <c r="Y908" s="63"/>
      <c r="Z908" s="118" t="s">
        <v>3368</v>
      </c>
      <c r="AA908" s="118" t="s">
        <v>3379</v>
      </c>
      <c r="AB908" s="118" t="s">
        <v>1171</v>
      </c>
      <c r="AC908" s="336"/>
    </row>
    <row r="909" spans="1:29" ht="60" customHeight="1">
      <c r="A909" s="63">
        <v>917</v>
      </c>
      <c r="B909" s="65">
        <v>45232</v>
      </c>
      <c r="C909" s="70">
        <v>0.34236111111111112</v>
      </c>
      <c r="D909" s="63" t="s">
        <v>3751</v>
      </c>
      <c r="E909" s="64" t="s">
        <v>3752</v>
      </c>
      <c r="F909" s="63">
        <v>3</v>
      </c>
      <c r="G909" s="63" t="s">
        <v>1434</v>
      </c>
      <c r="H909" s="208">
        <v>45246</v>
      </c>
      <c r="I909" s="65" t="s">
        <v>1083</v>
      </c>
      <c r="J909" s="65" t="s">
        <v>1221</v>
      </c>
      <c r="K909" s="63">
        <f>IFERROR(VLOOKUP(J909,Jueces!$A$1:$B$11,2,FALSE),"")</f>
        <v>6</v>
      </c>
      <c r="L909" s="63" t="s">
        <v>810</v>
      </c>
      <c r="M909" s="63" t="s">
        <v>1991</v>
      </c>
      <c r="N909" s="63" t="s">
        <v>4068</v>
      </c>
      <c r="O909" s="78" t="str">
        <f ca="1">IF(H909&lt;&gt;"",IF(H909&lt;=TODAY(),"SI","NO"),"LIMBO")</f>
        <v>SI</v>
      </c>
      <c r="P909" s="78" t="str">
        <f>IF($P$1=H909,"DIASOL", "DIANOSOL")</f>
        <v>DIANOSOL</v>
      </c>
      <c r="Q909" s="63" t="s">
        <v>897</v>
      </c>
      <c r="R909" s="63" t="str">
        <f>VLOOKUP($Q909,Resultados!$A$1:$B$49,2,FALSE)</f>
        <v>Libertad</v>
      </c>
      <c r="S909" s="63" t="s">
        <v>1373</v>
      </c>
      <c r="T909" s="81" t="str">
        <f>IF(G909=$J$1,"SI","NO")</f>
        <v>NO</v>
      </c>
      <c r="U909" s="81"/>
      <c r="V909" s="7" t="str">
        <f ca="1">IF(color_Celda(E909)=12106214,"ROSA",IF(color_Celda(E909)=65535,"AMARILLO",IF(color_Celda(E909)=5296274,"VERDE",IF(color_Celda(E909)=16777215,"BLANCO","NO SE"))))</f>
        <v>ROSA</v>
      </c>
      <c r="W909" s="63" t="s">
        <v>2935</v>
      </c>
      <c r="X909" s="63" t="s">
        <v>4069</v>
      </c>
      <c r="Y909" s="63"/>
      <c r="Z909" s="118" t="s">
        <v>1039</v>
      </c>
      <c r="AA909" s="118" t="s">
        <v>2869</v>
      </c>
      <c r="AB909" s="118" t="s">
        <v>3322</v>
      </c>
      <c r="AC909" s="336"/>
    </row>
    <row r="910" spans="1:29" ht="60" customHeight="1">
      <c r="A910" s="63">
        <v>901</v>
      </c>
      <c r="B910" s="65">
        <v>45231</v>
      </c>
      <c r="C910" s="70">
        <v>0.33333333333333331</v>
      </c>
      <c r="D910" s="63" t="s">
        <v>3708</v>
      </c>
      <c r="E910" s="64" t="s">
        <v>3709</v>
      </c>
      <c r="F910" s="63">
        <v>2</v>
      </c>
      <c r="G910" s="63" t="s">
        <v>2766</v>
      </c>
      <c r="H910" s="208">
        <v>45246</v>
      </c>
      <c r="I910" s="65" t="s">
        <v>547</v>
      </c>
      <c r="J910" s="65" t="s">
        <v>1216</v>
      </c>
      <c r="K910" s="63">
        <f>IFERROR(VLOOKUP(J910,Jueces!$A$1:$B$11,2,FALSE),"")</f>
        <v>1</v>
      </c>
      <c r="L910" s="63" t="s">
        <v>807</v>
      </c>
      <c r="M910" s="371" t="s">
        <v>1408</v>
      </c>
      <c r="N910" s="63" t="s">
        <v>621</v>
      </c>
      <c r="O910" s="78" t="str">
        <f ca="1">IF(H910&lt;&gt;"",IF(H910&lt;=TODAY(),"SI","NO"),"LIMBO")</f>
        <v>SI</v>
      </c>
      <c r="P910" s="78" t="str">
        <f>IF($P$1=H910,"DIASOL", "DIANOSOL")</f>
        <v>DIANOSOL</v>
      </c>
      <c r="Q910" s="63" t="s">
        <v>151</v>
      </c>
      <c r="R910" s="63" t="str">
        <f>VLOOKUP($Q910,Resultados!$A$1:$B$49,2,FALSE)</f>
        <v>Prisión Preventiva</v>
      </c>
      <c r="S910" s="63" t="s">
        <v>1729</v>
      </c>
      <c r="T910" s="81" t="str">
        <f>IF(G910=$J$1,"SI","NO")</f>
        <v>NO</v>
      </c>
      <c r="U910" s="81"/>
      <c r="V910" s="7" t="str">
        <f ca="1">IF(color_Celda(E910)=12106214,"ROSA",IF(color_Celda(E910)=65535,"AMARILLO",IF(color_Celda(E910)=5296274,"VERDE",IF(color_Celda(E910)=16777215,"BLANCO","NO SE"))))</f>
        <v>ROSA</v>
      </c>
      <c r="W910" s="63" t="s">
        <v>4077</v>
      </c>
      <c r="X910" s="63" t="s">
        <v>3155</v>
      </c>
      <c r="Y910" s="63"/>
      <c r="Z910" s="118" t="s">
        <v>3368</v>
      </c>
      <c r="AA910" s="118" t="s">
        <v>2828</v>
      </c>
      <c r="AB910" s="118" t="s">
        <v>1173</v>
      </c>
      <c r="AC910" s="336"/>
    </row>
    <row r="911" spans="1:29" ht="60" customHeight="1">
      <c r="A911" s="63">
        <v>881</v>
      </c>
      <c r="B911" s="65">
        <v>45226</v>
      </c>
      <c r="C911" s="70">
        <v>0.33333333333333331</v>
      </c>
      <c r="D911" s="63" t="s">
        <v>3609</v>
      </c>
      <c r="E911" s="64" t="s">
        <v>3610</v>
      </c>
      <c r="F911" s="63">
        <v>2</v>
      </c>
      <c r="G911" s="63" t="s">
        <v>1433</v>
      </c>
      <c r="H911" s="208">
        <v>45246</v>
      </c>
      <c r="I911" s="65" t="s">
        <v>77</v>
      </c>
      <c r="J911" s="65" t="s">
        <v>31</v>
      </c>
      <c r="K911" s="63">
        <f>IFERROR(VLOOKUP(J911,Jueces!$A$1:$B$11,2,FALSE),"")</f>
        <v>2</v>
      </c>
      <c r="L911" s="63" t="s">
        <v>805</v>
      </c>
      <c r="M911" s="63" t="s">
        <v>693</v>
      </c>
      <c r="N911" s="63" t="s">
        <v>4078</v>
      </c>
      <c r="O911" s="78" t="str">
        <f ca="1">IF(H911&lt;&gt;"",IF(H911&lt;=TODAY(),"SI","NO"),"LIMBO")</f>
        <v>SI</v>
      </c>
      <c r="P911" s="78" t="str">
        <f>IF($P$1=H911,"DIASOL", "DIANOSOL")</f>
        <v>DIANOSOL</v>
      </c>
      <c r="Q911" s="63" t="s">
        <v>151</v>
      </c>
      <c r="R911" s="63" t="str">
        <f>VLOOKUP($Q911,Resultados!$A$1:$B$49,2,FALSE)</f>
        <v>Prisión Preventiva</v>
      </c>
      <c r="S911" s="63" t="s">
        <v>3120</v>
      </c>
      <c r="T911" s="81" t="str">
        <f>IF(G911=$J$1,"SI","NO")</f>
        <v>NO</v>
      </c>
      <c r="U911" s="81"/>
      <c r="V911" s="7" t="str">
        <f ca="1">IF(color_Celda(E911)=12106214,"ROSA",IF(color_Celda(E911)=65535,"AMARILLO",IF(color_Celda(E911)=5296274,"VERDE",IF(color_Celda(E911)=16777215,"BLANCO","NO SE"))))</f>
        <v>ROSA</v>
      </c>
      <c r="W911" s="63" t="s">
        <v>2192</v>
      </c>
      <c r="X911" s="63" t="s">
        <v>2552</v>
      </c>
      <c r="Y911" s="63"/>
      <c r="Z911" s="118" t="s">
        <v>748</v>
      </c>
      <c r="AA911" s="118" t="s">
        <v>1167</v>
      </c>
      <c r="AB911" s="118" t="s">
        <v>1170</v>
      </c>
      <c r="AC911" s="336"/>
    </row>
    <row r="912" spans="1:29" ht="60" customHeight="1">
      <c r="A912" s="63">
        <v>894</v>
      </c>
      <c r="B912" s="65">
        <v>45230</v>
      </c>
      <c r="C912" s="70">
        <v>0.44861111111111113</v>
      </c>
      <c r="D912" s="63" t="s">
        <v>3679</v>
      </c>
      <c r="E912" s="64" t="s">
        <v>4158</v>
      </c>
      <c r="F912" s="63">
        <v>3</v>
      </c>
      <c r="G912" s="63" t="s">
        <v>3323</v>
      </c>
      <c r="H912" s="208">
        <v>45251</v>
      </c>
      <c r="I912" s="65" t="s">
        <v>73</v>
      </c>
      <c r="J912" s="65" t="s">
        <v>78</v>
      </c>
      <c r="K912" s="63">
        <f>IFERROR(VLOOKUP(J912,Jueces!$A$1:$B$11,2,FALSE),"")</f>
        <v>8</v>
      </c>
      <c r="L912" s="63" t="s">
        <v>2412</v>
      </c>
      <c r="M912" s="7" t="s">
        <v>1024</v>
      </c>
      <c r="N912" s="63" t="s">
        <v>4156</v>
      </c>
      <c r="O912" s="78" t="str">
        <f ca="1">IF(H912&lt;&gt;"",IF(H912&lt;=TODAY(),"SI","NO"),"LIMBO")</f>
        <v>SI</v>
      </c>
      <c r="P912" s="78" t="str">
        <f>IF($P$1=H912,"DIASOL", "DIANOSOL")</f>
        <v>DIANOSOL</v>
      </c>
      <c r="Q912" s="63" t="s">
        <v>903</v>
      </c>
      <c r="R912" s="63" t="str">
        <f>VLOOKUP($Q912,Resultados!$A$1:$B$49,2,FALSE)</f>
        <v>Juicio Abreviado</v>
      </c>
      <c r="S912" s="63" t="s">
        <v>1367</v>
      </c>
      <c r="T912" s="81" t="str">
        <f>IF(G912=$J$1,"SI","NO")</f>
        <v>NO</v>
      </c>
      <c r="U912" s="81"/>
      <c r="V912" s="7" t="str">
        <f ca="1">IF(color_Celda(E912)=12106214,"ROSA",IF(color_Celda(E912)=65535,"AMARILLO",IF(color_Celda(E912)=5296274,"VERDE",IF(color_Celda(E912)=16777215,"BLANCO","NO SE"))))</f>
        <v>ROSA</v>
      </c>
      <c r="W912" s="63" t="s">
        <v>3253</v>
      </c>
      <c r="X912" s="366" t="s">
        <v>4157</v>
      </c>
      <c r="Y912" s="63"/>
      <c r="Z912" s="327" t="s">
        <v>748</v>
      </c>
      <c r="AA912" s="327" t="s">
        <v>1167</v>
      </c>
      <c r="AB912" s="327" t="s">
        <v>1169</v>
      </c>
      <c r="AC912" s="336"/>
    </row>
    <row r="913" spans="1:29" ht="60" customHeight="1">
      <c r="A913" s="63">
        <v>909</v>
      </c>
      <c r="B913" s="65">
        <v>45230</v>
      </c>
      <c r="C913" s="70">
        <v>0.53125</v>
      </c>
      <c r="D913" s="63" t="s">
        <v>3926</v>
      </c>
      <c r="E913" s="64" t="s">
        <v>3719</v>
      </c>
      <c r="F913" s="63">
        <v>2</v>
      </c>
      <c r="G913" s="63" t="s">
        <v>2766</v>
      </c>
      <c r="H913" s="208">
        <v>45251</v>
      </c>
      <c r="I913" s="65" t="s">
        <v>73</v>
      </c>
      <c r="J913" s="65" t="s">
        <v>31</v>
      </c>
      <c r="K913" s="63">
        <f>IFERROR(VLOOKUP(J913,Jueces!$A$1:$B$11,2,FALSE),"")</f>
        <v>2</v>
      </c>
      <c r="L913" s="63" t="s">
        <v>192</v>
      </c>
      <c r="M913" s="339" t="s">
        <v>3394</v>
      </c>
      <c r="N913" s="63" t="s">
        <v>4128</v>
      </c>
      <c r="O913" s="78" t="str">
        <f ca="1">IF(H913&lt;&gt;"",IF(H913&lt;=TODAY(),"SI","NO"),"LIMBO")</f>
        <v>SI</v>
      </c>
      <c r="P913" s="78" t="str">
        <f>IF($P$1=H913,"DIASOL", "DIANOSOL")</f>
        <v>DIANOSOL</v>
      </c>
      <c r="Q913" s="63" t="s">
        <v>151</v>
      </c>
      <c r="R913" s="63" t="str">
        <f>VLOOKUP($Q913,Resultados!$A$1:$B$49,2,FALSE)</f>
        <v>Prisión Preventiva</v>
      </c>
      <c r="S913" s="63" t="s">
        <v>1524</v>
      </c>
      <c r="T913" s="81" t="str">
        <f>IF(G913=$J$1,"SI","NO")</f>
        <v>NO</v>
      </c>
      <c r="U913" s="81"/>
      <c r="V913" s="7" t="str">
        <f ca="1">IF(color_Celda(E913)=12106214,"ROSA",IF(color_Celda(E913)=65535,"AMARILLO",IF(color_Celda(E913)=5296274,"VERDE",IF(color_Celda(E913)=16777215,"BLANCO","NO SE"))))</f>
        <v>ROSA</v>
      </c>
      <c r="W913" s="63" t="s">
        <v>1373</v>
      </c>
      <c r="X913" s="7" t="s">
        <v>4129</v>
      </c>
      <c r="Y913" s="63"/>
      <c r="Z913" s="327" t="s">
        <v>1039</v>
      </c>
      <c r="AA913" s="327" t="s">
        <v>3379</v>
      </c>
      <c r="AB913" s="327" t="s">
        <v>3258</v>
      </c>
      <c r="AC913" s="336"/>
    </row>
    <row r="914" spans="1:29" ht="60" customHeight="1">
      <c r="A914" s="63">
        <v>914</v>
      </c>
      <c r="B914" s="65">
        <v>45232</v>
      </c>
      <c r="C914" s="70">
        <v>0.40277777777777773</v>
      </c>
      <c r="D914" s="63" t="s">
        <v>3745</v>
      </c>
      <c r="E914" s="64" t="s">
        <v>3746</v>
      </c>
      <c r="F914" s="63">
        <v>3</v>
      </c>
      <c r="G914" s="63" t="s">
        <v>283</v>
      </c>
      <c r="H914" s="208">
        <v>45251</v>
      </c>
      <c r="I914" s="65" t="s">
        <v>73</v>
      </c>
      <c r="J914" s="65" t="s">
        <v>2922</v>
      </c>
      <c r="K914" s="63">
        <v>1</v>
      </c>
      <c r="L914" s="63" t="s">
        <v>798</v>
      </c>
      <c r="M914" s="63" t="s">
        <v>3755</v>
      </c>
      <c r="N914" s="536" t="s">
        <v>4150</v>
      </c>
      <c r="O914" s="78" t="str">
        <f ca="1">IF(H914&lt;&gt;"",IF(H914&lt;=TODAY(),"SI","NO"),"LIMBO")</f>
        <v>SI</v>
      </c>
      <c r="P914" s="78" t="str">
        <f>IF($P$1=H914,"DIASOL", "DIANOSOL")</f>
        <v>DIANOSOL</v>
      </c>
      <c r="Q914" s="63" t="s">
        <v>903</v>
      </c>
      <c r="R914" s="63" t="str">
        <f>VLOOKUP($Q914,Resultados!$A$1:$B$49,2,FALSE)</f>
        <v>Juicio Abreviado</v>
      </c>
      <c r="S914" s="63" t="s">
        <v>1227</v>
      </c>
      <c r="T914" s="81" t="str">
        <f>IF(G914=$J$1,"SI","NO")</f>
        <v>NO</v>
      </c>
      <c r="U914" s="81"/>
      <c r="V914" s="7" t="str">
        <f ca="1">IF(color_Celda(E914)=12106214,"ROSA",IF(color_Celda(E914)=65535,"AMARILLO",IF(color_Celda(E914)=5296274,"VERDE",IF(color_Celda(E914)=16777215,"BLANCO","NO SE"))))</f>
        <v>ROSA</v>
      </c>
      <c r="W914" s="63" t="s">
        <v>1189</v>
      </c>
      <c r="X914" s="366" t="s">
        <v>4151</v>
      </c>
      <c r="Y914" s="63"/>
      <c r="Z914" s="327" t="s">
        <v>770</v>
      </c>
      <c r="AA914" s="327" t="s">
        <v>2869</v>
      </c>
      <c r="AB914" s="327" t="s">
        <v>1171</v>
      </c>
      <c r="AC914" s="336"/>
    </row>
    <row r="915" spans="1:29" ht="60" customHeight="1">
      <c r="A915" s="63">
        <v>925</v>
      </c>
      <c r="B915" s="65">
        <v>45233</v>
      </c>
      <c r="C915" s="70">
        <v>0.52777777777777779</v>
      </c>
      <c r="D915" s="63" t="s">
        <v>3803</v>
      </c>
      <c r="E915" s="64" t="s">
        <v>3804</v>
      </c>
      <c r="F915" s="63">
        <v>3</v>
      </c>
      <c r="G915" s="63" t="s">
        <v>2815</v>
      </c>
      <c r="H915" s="208">
        <v>45251</v>
      </c>
      <c r="I915" s="65" t="s">
        <v>73</v>
      </c>
      <c r="J915" s="65" t="s">
        <v>1723</v>
      </c>
      <c r="K915" s="63" t="s">
        <v>3890</v>
      </c>
      <c r="L915" s="63" t="s">
        <v>807</v>
      </c>
      <c r="M915" s="63" t="s">
        <v>695</v>
      </c>
      <c r="N915" s="63" t="s">
        <v>4125</v>
      </c>
      <c r="O915" s="78" t="str">
        <f ca="1">IF(H915&lt;&gt;"",IF(H915&lt;=TODAY(),"SI","NO"),"LIMBO")</f>
        <v>SI</v>
      </c>
      <c r="P915" s="78" t="str">
        <f>IF($P$1=H915,"DIASOL", "DIANOSOL")</f>
        <v>DIANOSOL</v>
      </c>
      <c r="Q915" s="63" t="s">
        <v>151</v>
      </c>
      <c r="R915" s="63" t="str">
        <f>VLOOKUP($Q915,Resultados!$A$1:$B$49,2,FALSE)</f>
        <v>Prisión Preventiva</v>
      </c>
      <c r="S915" s="70" t="s">
        <v>1081</v>
      </c>
      <c r="T915" s="81" t="str">
        <f>IF(G915=$J$1,"SI","NO")</f>
        <v>NO</v>
      </c>
      <c r="U915" s="81"/>
      <c r="V915" s="7" t="str">
        <f ca="1">IF(color_Celda(E915)=12106214,"ROSA",IF(color_Celda(E915)=65535,"AMARILLO",IF(color_Celda(E915)=5296274,"VERDE",IF(color_Celda(E915)=16777215,"BLANCO","NO SE"))))</f>
        <v>ROSA</v>
      </c>
      <c r="W915" s="63" t="s">
        <v>1248</v>
      </c>
      <c r="X915" s="63" t="s">
        <v>2954</v>
      </c>
      <c r="Y915" s="63"/>
      <c r="Z915" s="327" t="s">
        <v>1038</v>
      </c>
      <c r="AA915" s="327" t="s">
        <v>2828</v>
      </c>
      <c r="AB915" s="327" t="s">
        <v>3322</v>
      </c>
      <c r="AC915" s="336"/>
    </row>
    <row r="916" spans="1:29" ht="60" customHeight="1">
      <c r="A916" s="63">
        <v>941</v>
      </c>
      <c r="B916" s="65">
        <v>45246</v>
      </c>
      <c r="C916" s="70">
        <v>0.48402777777777778</v>
      </c>
      <c r="D916" s="63" t="s">
        <v>3849</v>
      </c>
      <c r="E916" s="64" t="s">
        <v>3850</v>
      </c>
      <c r="F916" s="63">
        <v>4</v>
      </c>
      <c r="G916" s="63" t="s">
        <v>3324</v>
      </c>
      <c r="H916" s="208">
        <v>45251</v>
      </c>
      <c r="I916" s="65" t="s">
        <v>73</v>
      </c>
      <c r="J916" s="65" t="s">
        <v>1217</v>
      </c>
      <c r="K916" s="63" t="s">
        <v>3779</v>
      </c>
      <c r="L916" s="63" t="s">
        <v>811</v>
      </c>
      <c r="M916" s="7" t="s">
        <v>1866</v>
      </c>
      <c r="N916" s="63" t="s">
        <v>4126</v>
      </c>
      <c r="O916" s="78" t="str">
        <f ca="1">IF(H916&lt;&gt;"",IF(H916&lt;=TODAY(),"SI","NO"),"LIMBO")</f>
        <v>SI</v>
      </c>
      <c r="P916" s="78" t="str">
        <f>IF($P$1=H916,"DIASOL", "DIANOSOL")</f>
        <v>DIANOSOL</v>
      </c>
      <c r="Q916" s="63" t="s">
        <v>151</v>
      </c>
      <c r="R916" s="63" t="str">
        <f>VLOOKUP($Q916,Resultados!$A$1:$B$49,2,FALSE)</f>
        <v>Prisión Preventiva</v>
      </c>
      <c r="S916" s="63" t="s">
        <v>679</v>
      </c>
      <c r="T916" s="81" t="str">
        <f>IF(G916=$J$1,"SI","NO")</f>
        <v>NO</v>
      </c>
      <c r="U916" s="81"/>
      <c r="V916" s="7" t="str">
        <f ca="1">IF(color_Celda(E916)=12106214,"ROSA",IF(color_Celda(E916)=65535,"AMARILLO",IF(color_Celda(E916)=5296274,"VERDE",IF(color_Celda(E916)=16777215,"BLANCO","NO SE"))))</f>
        <v>ROSA</v>
      </c>
      <c r="W916" s="63" t="s">
        <v>1294</v>
      </c>
      <c r="X916" s="63" t="s">
        <v>2954</v>
      </c>
      <c r="Y916" s="63"/>
      <c r="Z916" s="327" t="s">
        <v>3368</v>
      </c>
      <c r="AA916" s="327" t="s">
        <v>2869</v>
      </c>
      <c r="AB916" s="327" t="s">
        <v>1173</v>
      </c>
      <c r="AC916" s="336"/>
    </row>
    <row r="917" spans="1:29" ht="60" customHeight="1">
      <c r="A917" s="63">
        <v>890</v>
      </c>
      <c r="B917" s="65">
        <v>45229</v>
      </c>
      <c r="C917" s="63" t="s">
        <v>1906</v>
      </c>
      <c r="D917" s="63" t="s">
        <v>3657</v>
      </c>
      <c r="E917" s="64" t="s">
        <v>3777</v>
      </c>
      <c r="F917" s="63">
        <v>3</v>
      </c>
      <c r="G917" s="63" t="s">
        <v>568</v>
      </c>
      <c r="H917" s="208">
        <v>45251</v>
      </c>
      <c r="I917" s="65" t="s">
        <v>1083</v>
      </c>
      <c r="J917" s="65" t="s">
        <v>78</v>
      </c>
      <c r="K917" s="63">
        <f>IFERROR(VLOOKUP(J917,Jueces!$A$1:$B$11,2,FALSE),"")</f>
        <v>8</v>
      </c>
      <c r="L917" s="63" t="s">
        <v>793</v>
      </c>
      <c r="M917" s="63" t="s">
        <v>694</v>
      </c>
      <c r="N917" s="63" t="s">
        <v>4152</v>
      </c>
      <c r="O917" s="78" t="str">
        <f ca="1">IF(H917&lt;&gt;"",IF(H917&lt;=TODAY(),"SI","NO"),"LIMBO")</f>
        <v>SI</v>
      </c>
      <c r="P917" s="78" t="str">
        <f>IF($P$1=H917,"DIASOL", "DIANOSOL")</f>
        <v>DIANOSOL</v>
      </c>
      <c r="Q917" s="63" t="s">
        <v>151</v>
      </c>
      <c r="R917" s="63" t="str">
        <f>VLOOKUP($Q917,Resultados!$A$1:$B$49,2,FALSE)</f>
        <v>Prisión Preventiva</v>
      </c>
      <c r="S917" s="63" t="s">
        <v>1601</v>
      </c>
      <c r="T917" s="81" t="str">
        <f>IF(G917=$J$1,"SI","NO")</f>
        <v>NO</v>
      </c>
      <c r="U917" s="81"/>
      <c r="V917" s="7" t="str">
        <f ca="1">IF(color_Celda(E917)=12106214,"ROSA",IF(color_Celda(E917)=65535,"AMARILLO",IF(color_Celda(E917)=5296274,"VERDE",IF(color_Celda(E917)=16777215,"BLANCO","NO SE"))))</f>
        <v>ROSA</v>
      </c>
      <c r="W917" s="63" t="s">
        <v>1298</v>
      </c>
      <c r="X917" s="63" t="s">
        <v>4153</v>
      </c>
      <c r="Y917" s="63"/>
      <c r="Z917" s="327" t="s">
        <v>748</v>
      </c>
      <c r="AA917" s="327" t="s">
        <v>3379</v>
      </c>
      <c r="AB917" s="327" t="s">
        <v>1170</v>
      </c>
      <c r="AC917" s="336"/>
    </row>
    <row r="918" spans="1:29" ht="60" customHeight="1">
      <c r="A918" s="63">
        <v>913</v>
      </c>
      <c r="B918" s="65">
        <v>45231</v>
      </c>
      <c r="C918" s="63" t="s">
        <v>3738</v>
      </c>
      <c r="D918" s="63" t="s">
        <v>3739</v>
      </c>
      <c r="E918" s="64" t="s">
        <v>3756</v>
      </c>
      <c r="F918" s="63">
        <v>3</v>
      </c>
      <c r="G918" s="63" t="s">
        <v>1434</v>
      </c>
      <c r="H918" s="208">
        <v>45251</v>
      </c>
      <c r="I918" s="65" t="s">
        <v>1083</v>
      </c>
      <c r="J918" s="65" t="s">
        <v>1221</v>
      </c>
      <c r="K918" s="63">
        <f>IFERROR(VLOOKUP(J918,Jueces!$A$1:$B$11,2,FALSE),"")</f>
        <v>6</v>
      </c>
      <c r="L918" s="63" t="s">
        <v>810</v>
      </c>
      <c r="M918" s="63" t="s">
        <v>695</v>
      </c>
      <c r="N918" s="63" t="s">
        <v>4127</v>
      </c>
      <c r="O918" s="78" t="str">
        <f ca="1">IF(H918&lt;&gt;"",IF(H918&lt;=TODAY(),"SI","NO"),"LIMBO")</f>
        <v>SI</v>
      </c>
      <c r="P918" s="78" t="str">
        <f>IF($P$1=H918,"DIASOL", "DIANOSOL")</f>
        <v>DIANOSOL</v>
      </c>
      <c r="Q918" s="63" t="s">
        <v>151</v>
      </c>
      <c r="R918" s="63" t="str">
        <f>VLOOKUP($Q918,Resultados!$A$1:$B$49,2,FALSE)</f>
        <v>Prisión Preventiva</v>
      </c>
      <c r="S918" s="63" t="s">
        <v>1292</v>
      </c>
      <c r="T918" s="81" t="str">
        <f>IF(G918=$J$1,"SI","NO")</f>
        <v>NO</v>
      </c>
      <c r="U918" s="81"/>
      <c r="V918" s="7" t="str">
        <f ca="1">IF(color_Celda(E918)=12106214,"ROSA",IF(color_Celda(E918)=65535,"AMARILLO",IF(color_Celda(E918)=5296274,"VERDE",IF(color_Celda(E918)=16777215,"BLANCO","NO SE"))))</f>
        <v>ROSA</v>
      </c>
      <c r="W918" s="63" t="s">
        <v>1737</v>
      </c>
      <c r="X918" s="7"/>
      <c r="Y918" s="63"/>
      <c r="Z918" s="327" t="s">
        <v>743</v>
      </c>
      <c r="AA918" s="327" t="s">
        <v>2828</v>
      </c>
      <c r="AB918" s="327" t="s">
        <v>1169</v>
      </c>
      <c r="AC918" s="336"/>
    </row>
    <row r="919" spans="1:29" ht="60" customHeight="1">
      <c r="A919" s="63">
        <v>915</v>
      </c>
      <c r="B919" s="65">
        <v>45232</v>
      </c>
      <c r="C919" s="70">
        <v>0.40625</v>
      </c>
      <c r="D919" s="63" t="s">
        <v>3747</v>
      </c>
      <c r="E919" s="64" t="s">
        <v>3748</v>
      </c>
      <c r="F919" s="63">
        <v>3</v>
      </c>
      <c r="G919" s="63" t="s">
        <v>1435</v>
      </c>
      <c r="H919" s="208">
        <v>45251</v>
      </c>
      <c r="I919" s="65" t="s">
        <v>1083</v>
      </c>
      <c r="J919" s="65" t="s">
        <v>33</v>
      </c>
      <c r="K919" s="63">
        <f>IFERROR(VLOOKUP(J919,Jueces!$A$1:$B$11,2,FALSE),"")</f>
        <v>4</v>
      </c>
      <c r="L919" s="63" t="s">
        <v>799</v>
      </c>
      <c r="M919" s="63" t="s">
        <v>1960</v>
      </c>
      <c r="N919" s="63" t="s">
        <v>4154</v>
      </c>
      <c r="O919" s="78" t="str">
        <f ca="1">IF(H919&lt;&gt;"",IF(H919&lt;=TODAY(),"SI","NO"),"LIMBO")</f>
        <v>SI</v>
      </c>
      <c r="P919" s="78" t="str">
        <f>IF($P$1=H919,"DIASOL", "DIANOSOL")</f>
        <v>DIANOSOL</v>
      </c>
      <c r="Q919" s="63" t="s">
        <v>902</v>
      </c>
      <c r="R919" s="63" t="str">
        <f>VLOOKUP($Q919,Resultados!$A$1:$B$49,2,FALSE)</f>
        <v>Juicio Abreviado</v>
      </c>
      <c r="S919" s="63" t="s">
        <v>1225</v>
      </c>
      <c r="T919" s="81" t="str">
        <f>IF(G919=$J$1,"SI","NO")</f>
        <v>SI</v>
      </c>
      <c r="U919" s="81"/>
      <c r="V919" s="7" t="str">
        <f ca="1">IF(color_Celda(E919)=12106214,"ROSA",IF(color_Celda(E919)=65535,"AMARILLO",IF(color_Celda(E919)=5296274,"VERDE",IF(color_Celda(E919)=16777215,"BLANCO","NO SE"))))</f>
        <v>ROSA</v>
      </c>
      <c r="W919" s="63" t="s">
        <v>3539</v>
      </c>
      <c r="X919" s="366" t="s">
        <v>4155</v>
      </c>
      <c r="Y919" s="63"/>
      <c r="Z919" s="327" t="s">
        <v>3368</v>
      </c>
      <c r="AA919" s="327" t="s">
        <v>1167</v>
      </c>
      <c r="AB919" s="327" t="s">
        <v>3258</v>
      </c>
      <c r="AC919" s="336"/>
    </row>
    <row r="920" spans="1:29" ht="60" customHeight="1">
      <c r="A920" s="336">
        <v>966</v>
      </c>
      <c r="B920" s="349">
        <v>45246</v>
      </c>
      <c r="C920" s="336"/>
      <c r="D920" s="325" t="s">
        <v>3944</v>
      </c>
      <c r="E920" s="64" t="s">
        <v>3943</v>
      </c>
      <c r="F920" s="336">
        <v>1</v>
      </c>
      <c r="G920" s="336" t="s">
        <v>2751</v>
      </c>
      <c r="H920" s="383">
        <v>45251</v>
      </c>
      <c r="I920" s="65" t="s">
        <v>1083</v>
      </c>
      <c r="J920" s="349" t="s">
        <v>1216</v>
      </c>
      <c r="K920" s="336">
        <f>IFERROR(VLOOKUP(J920,Jueces!$A$1:$B$11,2,FALSE),"")</f>
        <v>1</v>
      </c>
      <c r="L920" s="63" t="s">
        <v>3081</v>
      </c>
      <c r="M920" s="63" t="s">
        <v>1866</v>
      </c>
      <c r="N920" s="63" t="s">
        <v>4149</v>
      </c>
      <c r="O920" s="63" t="str">
        <f ca="1">IF(H920&lt;&gt;"",IF(H920&lt;=TODAY(),"SI","NO"),"LIMBO")</f>
        <v>SI</v>
      </c>
      <c r="P920" s="63" t="str">
        <f>IF($P$1=H920,"DIASOL", "DIANOSOL")</f>
        <v>DIANOSOL</v>
      </c>
      <c r="Q920" s="63" t="s">
        <v>909</v>
      </c>
      <c r="R920" s="63" t="str">
        <f>VLOOKUP($Q920,Resultados!$A$1:$B$49,2,FALSE)</f>
        <v>Suspendida</v>
      </c>
      <c r="S920" s="63"/>
      <c r="T920" s="72" t="str">
        <f>IF(G920=$J$1,"SI","NO")</f>
        <v>NO</v>
      </c>
      <c r="U920" s="72"/>
      <c r="V920" s="7" t="str">
        <f ca="1">IF(color_Celda(E920)=12106214,"ROSA",IF(color_Celda(E920)=65535,"AMARILLO",IF(color_Celda(E920)=5296274,"VERDE",IF(color_Celda(E920)=16777215,"BLANCO","NO SE"))))</f>
        <v>ROSA</v>
      </c>
      <c r="W920" s="336"/>
      <c r="X920" s="336"/>
      <c r="Y920" s="336"/>
      <c r="Z920" s="327" t="s">
        <v>770</v>
      </c>
      <c r="AA920" s="354"/>
      <c r="AB920" s="327" t="s">
        <v>1171</v>
      </c>
      <c r="AC920" s="336" t="s">
        <v>1792</v>
      </c>
    </row>
    <row r="921" spans="1:29" ht="60" customHeight="1">
      <c r="A921" s="63">
        <v>930</v>
      </c>
      <c r="B921" s="65">
        <v>45233</v>
      </c>
      <c r="C921" s="70">
        <v>0.45416666666666666</v>
      </c>
      <c r="D921" s="325" t="s">
        <v>3811</v>
      </c>
      <c r="E921" s="64" t="s">
        <v>3812</v>
      </c>
      <c r="F921" s="63">
        <v>3</v>
      </c>
      <c r="G921" s="63" t="s">
        <v>2766</v>
      </c>
      <c r="H921" s="208">
        <v>45252</v>
      </c>
      <c r="I921" s="65" t="s">
        <v>73</v>
      </c>
      <c r="J921" s="65" t="s">
        <v>35</v>
      </c>
      <c r="K921" s="63">
        <f>IFERROR(VLOOKUP(J921,Jueces!$A$1:$B$11,2,FALSE),"")</f>
        <v>3</v>
      </c>
      <c r="L921" s="63" t="s">
        <v>806</v>
      </c>
      <c r="M921" s="63" t="s">
        <v>3755</v>
      </c>
      <c r="N921" s="7" t="s">
        <v>4167</v>
      </c>
      <c r="O921" s="78" t="str">
        <f ca="1">IF(H921&lt;&gt;"",IF(H921&lt;=TODAY(),"SI","NO"),"LIMBO")</f>
        <v>SI</v>
      </c>
      <c r="P921" s="63" t="str">
        <f>IF($P$1=H921,"DIASOL", "DIANOSOL")</f>
        <v>DIANOSOL</v>
      </c>
      <c r="Q921" s="63" t="s">
        <v>897</v>
      </c>
      <c r="R921" s="63" t="str">
        <f>VLOOKUP($Q921,Resultados!$A$1:$B$49,2,FALSE)</f>
        <v>Libertad</v>
      </c>
      <c r="S921" s="63" t="s">
        <v>1233</v>
      </c>
      <c r="T921" s="81" t="str">
        <f>IF(G921=$J$1,"SI","NO")</f>
        <v>NO</v>
      </c>
      <c r="U921" s="81"/>
      <c r="V921" s="7" t="str">
        <f ca="1">IF(color_Celda(E921)=12106214,"ROSA",IF(color_Celda(E921)=65535,"AMARILLO",IF(color_Celda(E921)=5296274,"VERDE",IF(color_Celda(E921)=16777215,"BLANCO","NO SE"))))</f>
        <v>ROSA</v>
      </c>
      <c r="W921" s="63" t="s">
        <v>1129</v>
      </c>
      <c r="X921" s="223" t="s">
        <v>4168</v>
      </c>
      <c r="Y921" s="63"/>
      <c r="Z921" s="118" t="s">
        <v>770</v>
      </c>
      <c r="AA921" s="118" t="s">
        <v>3378</v>
      </c>
      <c r="AB921" s="118" t="s">
        <v>1170</v>
      </c>
      <c r="AC921" s="336" t="s">
        <v>1792</v>
      </c>
    </row>
    <row r="922" spans="1:29" ht="60" customHeight="1">
      <c r="A922" s="63">
        <v>933</v>
      </c>
      <c r="B922" s="65">
        <v>45236</v>
      </c>
      <c r="C922" s="70">
        <v>0.35833333333333334</v>
      </c>
      <c r="D922" s="63" t="s">
        <v>3820</v>
      </c>
      <c r="E922" s="64" t="s">
        <v>4121</v>
      </c>
      <c r="F922" s="63">
        <v>3</v>
      </c>
      <c r="G922" s="63" t="s">
        <v>568</v>
      </c>
      <c r="H922" s="208">
        <v>45252</v>
      </c>
      <c r="I922" s="65" t="s">
        <v>73</v>
      </c>
      <c r="J922" s="65" t="s">
        <v>33</v>
      </c>
      <c r="K922" s="63">
        <f>IFERROR(VLOOKUP(J922,Jueces!$A$1:$B$11,2,FALSE),"")</f>
        <v>4</v>
      </c>
      <c r="L922" s="63" t="s">
        <v>2219</v>
      </c>
      <c r="M922" s="63" t="s">
        <v>695</v>
      </c>
      <c r="N922" s="63" t="s">
        <v>2243</v>
      </c>
      <c r="O922" s="78" t="str">
        <f ca="1">IF(H922&lt;&gt;"",IF(H922&lt;=TODAY(),"SI","NO"),"LIMBO")</f>
        <v>SI</v>
      </c>
      <c r="P922" s="63" t="str">
        <f>IF($P$1=H922,"DIASOL", "DIANOSOL")</f>
        <v>DIANOSOL</v>
      </c>
      <c r="Q922" s="63" t="s">
        <v>897</v>
      </c>
      <c r="R922" s="63" t="str">
        <f>VLOOKUP($Q922,Resultados!$A$1:$B$49,2,FALSE)</f>
        <v>Libertad</v>
      </c>
      <c r="S922" s="63" t="s">
        <v>1328</v>
      </c>
      <c r="T922" s="81" t="str">
        <f>IF(G922=$J$1,"SI","NO")</f>
        <v>NO</v>
      </c>
      <c r="U922" s="81"/>
      <c r="V922" s="7" t="str">
        <f ca="1">IF(color_Celda(E922)=12106214,"ROSA",IF(color_Celda(E922)=65535,"AMARILLO",IF(color_Celda(E922)=5296274,"VERDE",IF(color_Celda(E922)=16777215,"BLANCO","NO SE"))))</f>
        <v>ROSA</v>
      </c>
      <c r="W922" s="63" t="s">
        <v>2688</v>
      </c>
      <c r="X922" s="63" t="s">
        <v>4161</v>
      </c>
      <c r="Y922" s="63"/>
      <c r="Z922" s="118" t="s">
        <v>748</v>
      </c>
      <c r="AA922" s="118" t="s">
        <v>1165</v>
      </c>
      <c r="AB922" s="118" t="s">
        <v>1169</v>
      </c>
      <c r="AC922" s="336"/>
    </row>
    <row r="923" spans="1:29" ht="60" customHeight="1">
      <c r="A923" s="336">
        <v>953</v>
      </c>
      <c r="B923" s="349">
        <v>45236</v>
      </c>
      <c r="C923" s="568">
        <v>0.51111111111111118</v>
      </c>
      <c r="D923" s="325" t="s">
        <v>1876</v>
      </c>
      <c r="E923" s="64" t="s">
        <v>3877</v>
      </c>
      <c r="F923" s="336">
        <v>7</v>
      </c>
      <c r="G923" s="336" t="s">
        <v>43</v>
      </c>
      <c r="H923" s="383">
        <v>45252</v>
      </c>
      <c r="I923" s="65" t="s">
        <v>73</v>
      </c>
      <c r="J923" s="349" t="s">
        <v>31</v>
      </c>
      <c r="K923" s="336">
        <f>IFERROR(VLOOKUP(J923,Jueces!$A$1:$B$11,2,FALSE),"")</f>
        <v>2</v>
      </c>
      <c r="L923" s="63" t="s">
        <v>811</v>
      </c>
      <c r="M923" s="339" t="s">
        <v>700</v>
      </c>
      <c r="N923" s="63" t="s">
        <v>4162</v>
      </c>
      <c r="O923" s="78" t="str">
        <f ca="1">IF(H923&lt;&gt;"",IF(H923&lt;=TODAY(),"SI","NO"),"LIMBO")</f>
        <v>SI</v>
      </c>
      <c r="P923" s="63" t="str">
        <f>IF($P$1=H923,"DIASOL", "DIANOSOL")</f>
        <v>DIANOSOL</v>
      </c>
      <c r="Q923" s="63" t="s">
        <v>902</v>
      </c>
      <c r="R923" s="63" t="str">
        <f>VLOOKUP($Q923,Resultados!$A$1:$B$49,2,FALSE)</f>
        <v>Juicio Abreviado</v>
      </c>
      <c r="S923" s="63" t="s">
        <v>1232</v>
      </c>
      <c r="T923" s="81" t="str">
        <f>IF(G923=$J$1,"SI","NO")</f>
        <v>NO</v>
      </c>
      <c r="U923" s="81"/>
      <c r="V923" s="7" t="str">
        <f ca="1">IF(color_Celda(E923)=12106214,"ROSA",IF(color_Celda(E923)=65535,"AMARILLO",IF(color_Celda(E923)=5296274,"VERDE",IF(color_Celda(E923)=16777215,"BLANCO","NO SE"))))</f>
        <v>ROSA</v>
      </c>
      <c r="W923" s="63" t="s">
        <v>3358</v>
      </c>
      <c r="X923" s="365" t="s">
        <v>4163</v>
      </c>
      <c r="Y923" s="336"/>
      <c r="Z923" s="118" t="s">
        <v>3368</v>
      </c>
      <c r="AA923" s="118" t="s">
        <v>2869</v>
      </c>
      <c r="AB923" s="118" t="s">
        <v>1173</v>
      </c>
      <c r="AC923" s="336" t="s">
        <v>1792</v>
      </c>
    </row>
    <row r="924" spans="1:29" ht="60" customHeight="1">
      <c r="A924" s="336">
        <v>965</v>
      </c>
      <c r="B924" s="349">
        <v>45239</v>
      </c>
      <c r="C924" s="568">
        <v>0.45277777777777778</v>
      </c>
      <c r="D924" s="63" t="s">
        <v>3933</v>
      </c>
      <c r="E924" s="64" t="s">
        <v>3934</v>
      </c>
      <c r="F924" s="336">
        <v>4</v>
      </c>
      <c r="G924" s="336" t="s">
        <v>1434</v>
      </c>
      <c r="H924" s="383">
        <v>45252</v>
      </c>
      <c r="I924" s="65" t="s">
        <v>73</v>
      </c>
      <c r="J924" s="349" t="s">
        <v>1723</v>
      </c>
      <c r="K924" s="63" t="s">
        <v>4118</v>
      </c>
      <c r="L924" s="63" t="s">
        <v>805</v>
      </c>
      <c r="M924" s="63" t="s">
        <v>1984</v>
      </c>
      <c r="N924" s="63" t="s">
        <v>4159</v>
      </c>
      <c r="O924" s="78" t="str">
        <f ca="1">IF(H924&lt;&gt;"",IF(H924&lt;=TODAY(),"SI","NO"),"LIMBO")</f>
        <v>SI</v>
      </c>
      <c r="P924" s="63" t="str">
        <f>IF($P$1=H924,"DIASOL", "DIANOSOL")</f>
        <v>DIANOSOL</v>
      </c>
      <c r="Q924" s="63" t="s">
        <v>902</v>
      </c>
      <c r="R924" s="63" t="str">
        <f>VLOOKUP($Q924,Resultados!$A$1:$B$49,2,FALSE)</f>
        <v>Juicio Abreviado</v>
      </c>
      <c r="S924" s="63" t="s">
        <v>679</v>
      </c>
      <c r="T924" s="81" t="str">
        <f>IF(G924=$J$1,"SI","NO")</f>
        <v>NO</v>
      </c>
      <c r="U924" s="81"/>
      <c r="V924" s="7" t="str">
        <f ca="1">IF(color_Celda(E924)=12106214,"ROSA",IF(color_Celda(E924)=65535,"AMARILLO",IF(color_Celda(E924)=5296274,"VERDE",IF(color_Celda(E924)=16777215,"BLANCO","NO SE"))))</f>
        <v>ROSA</v>
      </c>
      <c r="W924" s="63" t="s">
        <v>1006</v>
      </c>
      <c r="X924" s="63" t="s">
        <v>4160</v>
      </c>
      <c r="Y924" s="336"/>
      <c r="Z924" s="118" t="s">
        <v>1038</v>
      </c>
      <c r="AA924" s="118" t="s">
        <v>1167</v>
      </c>
      <c r="AB924" s="118" t="s">
        <v>3258</v>
      </c>
      <c r="AC924" s="336"/>
    </row>
    <row r="925" spans="1:29" ht="60" customHeight="1">
      <c r="A925" s="63">
        <v>896</v>
      </c>
      <c r="B925" s="65">
        <v>45246</v>
      </c>
      <c r="C925" s="70">
        <v>0.53541666666666665</v>
      </c>
      <c r="D925" s="63" t="s">
        <v>3690</v>
      </c>
      <c r="E925" s="64" t="s">
        <v>3691</v>
      </c>
      <c r="F925" s="63">
        <v>3</v>
      </c>
      <c r="G925" s="63" t="s">
        <v>1435</v>
      </c>
      <c r="H925" s="208">
        <v>45252</v>
      </c>
      <c r="I925" s="65" t="s">
        <v>73</v>
      </c>
      <c r="J925" s="65" t="s">
        <v>2922</v>
      </c>
      <c r="K925" s="63" t="s">
        <v>3776</v>
      </c>
      <c r="L925" s="63" t="s">
        <v>2077</v>
      </c>
      <c r="M925" s="371" t="s">
        <v>3725</v>
      </c>
      <c r="N925" s="63" t="s">
        <v>4164</v>
      </c>
      <c r="O925" s="78" t="str">
        <f ca="1">IF(H925&lt;&gt;"",IF(H925&lt;=TODAY(),"SI","NO"),"LIMBO")</f>
        <v>SI</v>
      </c>
      <c r="P925" s="63" t="str">
        <f>IF($P$1=H925,"DIASOL", "DIANOSOL")</f>
        <v>DIANOSOL</v>
      </c>
      <c r="Q925" s="63" t="s">
        <v>151</v>
      </c>
      <c r="R925" s="63" t="str">
        <f>VLOOKUP($Q925,Resultados!$A$1:$B$49,2,FALSE)</f>
        <v>Prisión Preventiva</v>
      </c>
      <c r="S925" s="63" t="s">
        <v>1013</v>
      </c>
      <c r="T925" s="81" t="str">
        <f>IF(G925=$J$1,"SI","NO")</f>
        <v>SI</v>
      </c>
      <c r="U925" s="81"/>
      <c r="V925" s="7" t="str">
        <f ca="1">IF(color_Celda(E925)=12106214,"ROSA",IF(color_Celda(E925)=65535,"AMARILLO",IF(color_Celda(E925)=5296274,"VERDE",IF(color_Celda(E925)=16777215,"BLANCO","NO SE"))))</f>
        <v>ROSA</v>
      </c>
      <c r="W925" s="63" t="s">
        <v>1003</v>
      </c>
      <c r="X925" s="63" t="s">
        <v>4165</v>
      </c>
      <c r="Y925" s="63"/>
      <c r="Z925" s="118" t="s">
        <v>1039</v>
      </c>
      <c r="AA925" s="118" t="s">
        <v>3379</v>
      </c>
      <c r="AB925" s="118" t="s">
        <v>3322</v>
      </c>
      <c r="AC925" s="336"/>
    </row>
    <row r="926" spans="1:29" ht="60" customHeight="1">
      <c r="A926" s="336">
        <v>999</v>
      </c>
      <c r="B926" s="349">
        <v>45210</v>
      </c>
      <c r="C926" s="568">
        <v>0.3840277777777778</v>
      </c>
      <c r="D926" s="336" t="s">
        <v>3343</v>
      </c>
      <c r="E926" s="355" t="s">
        <v>3344</v>
      </c>
      <c r="F926" s="336">
        <v>1</v>
      </c>
      <c r="G926" s="336" t="s">
        <v>3791</v>
      </c>
      <c r="H926" s="383">
        <v>45252</v>
      </c>
      <c r="I926" s="65" t="s">
        <v>1083</v>
      </c>
      <c r="J926" s="349" t="s">
        <v>1216</v>
      </c>
      <c r="K926" s="63" t="s">
        <v>3779</v>
      </c>
      <c r="L926" s="63" t="s">
        <v>827</v>
      </c>
      <c r="M926" s="63" t="s">
        <v>1175</v>
      </c>
      <c r="N926" s="63" t="s">
        <v>4171</v>
      </c>
      <c r="O926" s="78" t="str">
        <f ca="1">IF(H926&lt;&gt;"",IF(H926&lt;=TODAY(),"SI","NO"),"LIMBO")</f>
        <v>SI</v>
      </c>
      <c r="P926" s="63" t="str">
        <f>IF($P$1=H926,"DIASOL", "DIANOSOL")</f>
        <v>DIANOSOL</v>
      </c>
      <c r="Q926" s="63" t="s">
        <v>151</v>
      </c>
      <c r="R926" s="63" t="str">
        <f>VLOOKUP($Q926,Resultados!$A$1:$B$49,2,FALSE)</f>
        <v>Prisión Preventiva</v>
      </c>
      <c r="S926" s="63" t="s">
        <v>1127</v>
      </c>
      <c r="T926" s="81" t="str">
        <f>IF(G926=$J$1,"SI","NO")</f>
        <v>NO</v>
      </c>
      <c r="U926" s="81"/>
      <c r="V926" s="7" t="str">
        <f ca="1">IF(color_Celda(E926)=12106214,"ROSA",IF(color_Celda(E926)=65535,"AMARILLO",IF(color_Celda(E926)=5296274,"VERDE",IF(color_Celda(E926)=16777215,"BLANCO","NO SE"))))</f>
        <v>ROSA</v>
      </c>
      <c r="W926" s="63" t="s">
        <v>3232</v>
      </c>
      <c r="X926" s="223" t="s">
        <v>4172</v>
      </c>
      <c r="Y926" s="336"/>
      <c r="Z926" s="118" t="s">
        <v>748</v>
      </c>
      <c r="AA926" s="118" t="s">
        <v>3378</v>
      </c>
      <c r="AB926" s="118" t="s">
        <v>1173</v>
      </c>
      <c r="AC926" s="336"/>
    </row>
    <row r="927" spans="1:29" ht="60" customHeight="1">
      <c r="A927" s="336">
        <v>959</v>
      </c>
      <c r="B927" s="349">
        <v>45219</v>
      </c>
      <c r="C927" s="568">
        <v>0.33333333333333331</v>
      </c>
      <c r="D927" s="325" t="s">
        <v>3898</v>
      </c>
      <c r="E927" s="64" t="s">
        <v>3899</v>
      </c>
      <c r="F927" s="336">
        <v>1</v>
      </c>
      <c r="G927" s="336" t="s">
        <v>2751</v>
      </c>
      <c r="H927" s="383">
        <v>45252</v>
      </c>
      <c r="I927" s="65" t="s">
        <v>1083</v>
      </c>
      <c r="J927" s="349" t="s">
        <v>35</v>
      </c>
      <c r="K927" s="336">
        <f>IFERROR(VLOOKUP(J927,Jueces!$A$1:$B$11,2,FALSE),"")</f>
        <v>3</v>
      </c>
      <c r="L927" s="63" t="s">
        <v>811</v>
      </c>
      <c r="M927" s="63" t="s">
        <v>1378</v>
      </c>
      <c r="N927" s="63" t="s">
        <v>4166</v>
      </c>
      <c r="O927" s="78" t="str">
        <f ca="1">IF(H927&lt;&gt;"",IF(H927&lt;=TODAY(),"SI","NO"),"LIMBO")</f>
        <v>SI</v>
      </c>
      <c r="P927" s="63" t="str">
        <f>IF($P$1=H927,"DIASOL", "DIANOSOL")</f>
        <v>DIANOSOL</v>
      </c>
      <c r="Q927" s="63" t="s">
        <v>909</v>
      </c>
      <c r="R927" s="63" t="str">
        <f>VLOOKUP($Q927,Resultados!$A$1:$B$49,2,FALSE)</f>
        <v>Suspendida</v>
      </c>
      <c r="S927" s="63" t="s">
        <v>1126</v>
      </c>
      <c r="T927" s="81" t="str">
        <f>IF(G927=$J$1,"SI","NO")</f>
        <v>NO</v>
      </c>
      <c r="U927" s="81"/>
      <c r="V927" s="7" t="str">
        <f ca="1">IF(color_Celda(E927)=12106214,"ROSA",IF(color_Celda(E927)=65535,"AMARILLO",IF(color_Celda(E927)=5296274,"VERDE",IF(color_Celda(E927)=16777215,"BLANCO","NO SE"))))</f>
        <v>ROSA</v>
      </c>
      <c r="W927" s="568">
        <v>0.3840277777777778</v>
      </c>
      <c r="X927" s="336"/>
      <c r="Y927" s="336"/>
      <c r="Z927" s="118" t="s">
        <v>770</v>
      </c>
      <c r="AA927" s="118" t="s">
        <v>2869</v>
      </c>
      <c r="AB927" s="118" t="s">
        <v>3322</v>
      </c>
      <c r="AC927" s="336" t="s">
        <v>1792</v>
      </c>
    </row>
    <row r="928" spans="1:29" ht="60" customHeight="1">
      <c r="A928" s="63">
        <v>924</v>
      </c>
      <c r="B928" s="65">
        <v>45233</v>
      </c>
      <c r="C928" s="70">
        <v>0.33333333333333331</v>
      </c>
      <c r="D928" s="63" t="s">
        <v>3788</v>
      </c>
      <c r="E928" s="64" t="s">
        <v>3789</v>
      </c>
      <c r="F928" s="63">
        <v>4</v>
      </c>
      <c r="G928" s="63" t="s">
        <v>3323</v>
      </c>
      <c r="H928" s="208">
        <v>45252</v>
      </c>
      <c r="I928" s="65" t="s">
        <v>1083</v>
      </c>
      <c r="J928" s="65" t="s">
        <v>1221</v>
      </c>
      <c r="K928" s="63">
        <f>IFERROR(VLOOKUP(J928,Jueces!$A$1:$B$11,2,FALSE),"")</f>
        <v>6</v>
      </c>
      <c r="L928" s="63" t="s">
        <v>802</v>
      </c>
      <c r="M928" s="63" t="s">
        <v>3755</v>
      </c>
      <c r="N928" s="63" t="s">
        <v>4169</v>
      </c>
      <c r="O928" s="78" t="str">
        <f ca="1">IF(H928&lt;&gt;"",IF(H928&lt;=TODAY(),"SI","NO"),"LIMBO")</f>
        <v>SI</v>
      </c>
      <c r="P928" s="63" t="str">
        <f>IF($P$1=H928,"DIASOL", "DIANOSOL")</f>
        <v>DIANOSOL</v>
      </c>
      <c r="Q928" s="63" t="s">
        <v>903</v>
      </c>
      <c r="R928" s="63" t="str">
        <f>VLOOKUP($Q928,Resultados!$A$1:$B$49,2,FALSE)</f>
        <v>Juicio Abreviado</v>
      </c>
      <c r="S928" s="63" t="s">
        <v>1016</v>
      </c>
      <c r="T928" s="81" t="str">
        <f>IF(G928=$J$1,"SI","NO")</f>
        <v>NO</v>
      </c>
      <c r="U928" s="81"/>
      <c r="V928" s="7" t="str">
        <f ca="1">IF(color_Celda(E928)=12106214,"ROSA",IF(color_Celda(E928)=65535,"AMARILLO",IF(color_Celda(E928)=5296274,"VERDE",IF(color_Celda(E928)=16777215,"BLANCO","NO SE"))))</f>
        <v>ROSA</v>
      </c>
      <c r="W928" s="63" t="s">
        <v>1502</v>
      </c>
      <c r="X928" s="150" t="s">
        <v>4170</v>
      </c>
      <c r="Y928" s="63"/>
      <c r="Z928" s="118" t="s">
        <v>4130</v>
      </c>
      <c r="AA928" s="118" t="s">
        <v>1167</v>
      </c>
      <c r="AB928" s="118" t="s">
        <v>3874</v>
      </c>
      <c r="AC928" s="336"/>
    </row>
    <row r="929" spans="1:29" ht="60" customHeight="1">
      <c r="A929" s="63">
        <v>935</v>
      </c>
      <c r="B929" s="65">
        <v>45236</v>
      </c>
      <c r="C929" s="70">
        <v>0.40138888888888885</v>
      </c>
      <c r="D929" s="325" t="s">
        <v>3823</v>
      </c>
      <c r="E929" s="64" t="s">
        <v>3916</v>
      </c>
      <c r="F929" s="63">
        <v>4</v>
      </c>
      <c r="G929" s="63" t="s">
        <v>3324</v>
      </c>
      <c r="H929" s="208">
        <v>45252</v>
      </c>
      <c r="I929" s="65" t="s">
        <v>1206</v>
      </c>
      <c r="J929" s="65" t="s">
        <v>31</v>
      </c>
      <c r="K929" s="63">
        <f>IFERROR(VLOOKUP(J929,Jueces!$A$1:$B$11,2,FALSE),"")</f>
        <v>2</v>
      </c>
      <c r="L929" s="63" t="s">
        <v>809</v>
      </c>
      <c r="M929" s="63" t="s">
        <v>3755</v>
      </c>
      <c r="N929" s="63" t="s">
        <v>4173</v>
      </c>
      <c r="O929" s="78" t="str">
        <f ca="1">IF(H929&lt;&gt;"",IF(H929&lt;=TODAY(),"SI","NO"),"LIMBO")</f>
        <v>SI</v>
      </c>
      <c r="P929" s="63" t="str">
        <f>IF($P$1=H929,"DIASOL", "DIANOSOL")</f>
        <v>DIANOSOL</v>
      </c>
      <c r="Q929" s="63" t="s">
        <v>900</v>
      </c>
      <c r="R929" s="63" t="str">
        <f>VLOOKUP($Q929,Resultados!$A$1:$B$49,2,FALSE)</f>
        <v>Libertad</v>
      </c>
      <c r="S929" s="63" t="s">
        <v>1798</v>
      </c>
      <c r="T929" s="81" t="str">
        <f>IF(G929=$J$1,"SI","NO")</f>
        <v>NO</v>
      </c>
      <c r="U929" s="81"/>
      <c r="V929" s="7" t="str">
        <f ca="1">IF(color_Celda(E929)=12106214,"ROSA",IF(color_Celda(E929)=65535,"AMARILLO",IF(color_Celda(E929)=5296274,"VERDE",IF(color_Celda(E929)=16777215,"BLANCO","NO SE"))))</f>
        <v>ROSA</v>
      </c>
      <c r="W929" s="63" t="s">
        <v>3171</v>
      </c>
      <c r="X929" s="7" t="s">
        <v>1306</v>
      </c>
      <c r="Y929" s="63"/>
      <c r="Z929" s="118" t="s">
        <v>3368</v>
      </c>
      <c r="AA929" s="118" t="s">
        <v>3378</v>
      </c>
      <c r="AB929" s="118" t="s">
        <v>1170</v>
      </c>
      <c r="AC929" s="336" t="s">
        <v>1792</v>
      </c>
    </row>
    <row r="930" spans="1:29" ht="60" customHeight="1">
      <c r="A930" s="63">
        <v>945</v>
      </c>
      <c r="B930" s="65">
        <v>45237</v>
      </c>
      <c r="C930" s="70">
        <v>0.3840277777777778</v>
      </c>
      <c r="D930" s="63" t="s">
        <v>3857</v>
      </c>
      <c r="E930" s="64" t="s">
        <v>3858</v>
      </c>
      <c r="F930" s="63">
        <v>3</v>
      </c>
      <c r="G930" s="63" t="s">
        <v>1433</v>
      </c>
      <c r="H930" s="208">
        <v>45252</v>
      </c>
      <c r="I930" s="65" t="s">
        <v>1206</v>
      </c>
      <c r="J930" s="65" t="s">
        <v>1216</v>
      </c>
      <c r="K930" s="63" t="s">
        <v>3890</v>
      </c>
      <c r="L930" s="63" t="s">
        <v>2076</v>
      </c>
      <c r="M930" s="339" t="s">
        <v>3873</v>
      </c>
      <c r="N930" s="63" t="s">
        <v>4174</v>
      </c>
      <c r="O930" s="206" t="str">
        <f ca="1">IF(H930&lt;&gt;"",IF(H930&lt;=TODAY(),"SI","NO"),"LIMBO")</f>
        <v>SI</v>
      </c>
      <c r="P930" s="63" t="str">
        <f>IF($P$1=H930,"DIASOL", "DIANOSOL")</f>
        <v>DIANOSOL</v>
      </c>
      <c r="Q930" s="63" t="s">
        <v>903</v>
      </c>
      <c r="R930" s="63" t="str">
        <f>VLOOKUP($Q930,Resultados!$A$1:$B$49,2,FALSE)</f>
        <v>Juicio Abreviado</v>
      </c>
      <c r="S930" s="63" t="s">
        <v>1457</v>
      </c>
      <c r="T930" s="267" t="str">
        <f>IF(G930=$J$1,"SI","NO")</f>
        <v>NO</v>
      </c>
      <c r="U930" s="267"/>
      <c r="V930" s="7" t="str">
        <f ca="1">IF(color_Celda(E930)=12106214,"ROSA",IF(color_Celda(E930)=65535,"AMARILLO",IF(color_Celda(E930)=5296274,"VERDE",IF(color_Celda(E930)=16777215,"BLANCO","NO SE"))))</f>
        <v>ROSA</v>
      </c>
      <c r="W930" s="63" t="s">
        <v>3171</v>
      </c>
      <c r="X930" s="259" t="s">
        <v>4175</v>
      </c>
      <c r="Y930" s="63"/>
      <c r="Z930" s="118" t="s">
        <v>770</v>
      </c>
      <c r="AA930" s="118" t="s">
        <v>3379</v>
      </c>
      <c r="AB930" s="118" t="s">
        <v>1169</v>
      </c>
      <c r="AC930" s="336"/>
    </row>
    <row r="931" spans="1:29" ht="60" customHeight="1">
      <c r="A931" s="63">
        <v>929</v>
      </c>
      <c r="B931" s="65">
        <v>45233</v>
      </c>
      <c r="C931" s="70">
        <v>0.48402777777777778</v>
      </c>
      <c r="D931" s="325" t="s">
        <v>3810</v>
      </c>
      <c r="E931" s="64" t="s">
        <v>3843</v>
      </c>
      <c r="F931" s="63">
        <v>3</v>
      </c>
      <c r="G931" s="63" t="s">
        <v>2815</v>
      </c>
      <c r="H931" s="208">
        <v>45252</v>
      </c>
      <c r="I931" s="65" t="s">
        <v>547</v>
      </c>
      <c r="J931" s="65" t="s">
        <v>1217</v>
      </c>
      <c r="K931" s="63">
        <v>8</v>
      </c>
      <c r="L931" s="63" t="s">
        <v>810</v>
      </c>
      <c r="M931" s="63" t="s">
        <v>3755</v>
      </c>
      <c r="N931" s="63" t="s">
        <v>4177</v>
      </c>
      <c r="O931" s="78" t="str">
        <f ca="1">IF(H931&lt;&gt;"",IF(H931&lt;=TODAY(),"SI","NO"),"LIMBO")</f>
        <v>SI</v>
      </c>
      <c r="P931" s="63" t="str">
        <f>IF($P$1=H931,"DIASOL", "DIANOSOL")</f>
        <v>DIANOSOL</v>
      </c>
      <c r="Q931" s="63" t="s">
        <v>902</v>
      </c>
      <c r="R931" s="63" t="str">
        <f>VLOOKUP($Q931,Resultados!$A$1:$B$49,2,FALSE)</f>
        <v>Juicio Abreviado</v>
      </c>
      <c r="S931" s="63" t="s">
        <v>3309</v>
      </c>
      <c r="T931" s="81" t="str">
        <f>IF(G931=$J$1,"SI","NO")</f>
        <v>NO</v>
      </c>
      <c r="U931" s="81"/>
      <c r="V931" s="7" t="str">
        <f ca="1">IF(color_Celda(E931)=12106214,"ROSA",IF(color_Celda(E931)=65535,"AMARILLO",IF(color_Celda(E931)=5296274,"VERDE",IF(color_Celda(E931)=16777215,"BLANCO","NO SE"))))</f>
        <v>ROSA</v>
      </c>
      <c r="W931" s="63" t="s">
        <v>4176</v>
      </c>
      <c r="X931" s="223" t="s">
        <v>4178</v>
      </c>
      <c r="Y931" s="63"/>
      <c r="Z931" s="118" t="s">
        <v>748</v>
      </c>
      <c r="AA931" s="118" t="s">
        <v>1167</v>
      </c>
      <c r="AB931" s="118" t="s">
        <v>3258</v>
      </c>
      <c r="AC931" s="336" t="s">
        <v>1792</v>
      </c>
    </row>
    <row r="932" spans="1:29" ht="60" customHeight="1">
      <c r="A932" s="63">
        <v>900</v>
      </c>
      <c r="B932" s="65">
        <v>45231</v>
      </c>
      <c r="C932" s="70">
        <v>0.33333333333333331</v>
      </c>
      <c r="D932" s="63" t="s">
        <v>3706</v>
      </c>
      <c r="E932" s="64" t="s">
        <v>3707</v>
      </c>
      <c r="F932" s="63">
        <v>2</v>
      </c>
      <c r="G932" s="63" t="s">
        <v>1433</v>
      </c>
      <c r="H932" s="208">
        <v>45253</v>
      </c>
      <c r="I932" s="65" t="s">
        <v>73</v>
      </c>
      <c r="J932" s="65" t="s">
        <v>1217</v>
      </c>
      <c r="K932" s="63" t="s">
        <v>3779</v>
      </c>
      <c r="L932" s="63" t="s">
        <v>802</v>
      </c>
      <c r="M932" s="63" t="s">
        <v>694</v>
      </c>
      <c r="N932" s="63" t="s">
        <v>4238</v>
      </c>
      <c r="O932" s="78" t="str">
        <f ca="1">IF(H932&lt;&gt;"",IF(H932&lt;=TODAY(),"SI","NO"),"LIMBO")</f>
        <v>SI</v>
      </c>
      <c r="P932" s="63" t="str">
        <f>IF($P$1=H932,"DIASOL", "DIANOSOL")</f>
        <v>DIANOSOL</v>
      </c>
      <c r="Q932" s="63" t="s">
        <v>151</v>
      </c>
      <c r="R932" s="63" t="str">
        <f>VLOOKUP($Q932,Resultados!$A$1:$B$49,2,FALSE)</f>
        <v>Prisión Preventiva</v>
      </c>
      <c r="S932" s="63" t="s">
        <v>1524</v>
      </c>
      <c r="T932" s="81" t="str">
        <f>IF(G932=$J$1,"SI","NO")</f>
        <v>NO</v>
      </c>
      <c r="U932" s="81"/>
      <c r="V932" s="7" t="str">
        <f ca="1">IF(color_Celda(E932)=12106214,"ROSA",IF(color_Celda(E932)=65535,"AMARILLO",IF(color_Celda(E932)=5296274,"VERDE",IF(color_Celda(E932)=16777215,"BLANCO","NO SE"))))</f>
        <v>ROSA</v>
      </c>
      <c r="W932" s="63" t="s">
        <v>76</v>
      </c>
      <c r="X932" s="63" t="s">
        <v>3216</v>
      </c>
      <c r="Y932" s="63"/>
      <c r="Z932" s="118" t="s">
        <v>770</v>
      </c>
      <c r="AA932" s="118" t="s">
        <v>3379</v>
      </c>
      <c r="AB932" s="63" t="s">
        <v>1171</v>
      </c>
      <c r="AC932" s="336"/>
    </row>
    <row r="933" spans="1:29" ht="60" customHeight="1">
      <c r="A933" s="63">
        <v>918</v>
      </c>
      <c r="B933" s="65">
        <v>45231</v>
      </c>
      <c r="C933" s="70">
        <v>0.54027777777777775</v>
      </c>
      <c r="D933" s="63" t="s">
        <v>3753</v>
      </c>
      <c r="E933" s="64" t="s">
        <v>3754</v>
      </c>
      <c r="F933" s="63">
        <v>3</v>
      </c>
      <c r="G933" s="63" t="s">
        <v>3324</v>
      </c>
      <c r="H933" s="208">
        <v>45253</v>
      </c>
      <c r="I933" s="65" t="s">
        <v>73</v>
      </c>
      <c r="J933" s="65" t="s">
        <v>31</v>
      </c>
      <c r="K933" s="63">
        <f>IFERROR(VLOOKUP(J933,Jueces!$A$1:$B$11,2,FALSE),"")</f>
        <v>2</v>
      </c>
      <c r="L933" s="63" t="s">
        <v>791</v>
      </c>
      <c r="M933" s="63" t="s">
        <v>3755</v>
      </c>
      <c r="N933" s="63" t="s">
        <v>4234</v>
      </c>
      <c r="O933" s="78" t="str">
        <f ca="1">IF(H933&lt;&gt;"",IF(H933&lt;=TODAY(),"SI","NO"),"LIMBO")</f>
        <v>SI</v>
      </c>
      <c r="P933" s="63" t="str">
        <f>IF($P$1=H933,"DIASOL", "DIANOSOL")</f>
        <v>DIANOSOL</v>
      </c>
      <c r="Q933" s="63" t="s">
        <v>897</v>
      </c>
      <c r="R933" s="63" t="str">
        <f>VLOOKUP($Q933,Resultados!$A$1:$B$49,2,FALSE)</f>
        <v>Libertad</v>
      </c>
      <c r="S933" s="63" t="s">
        <v>1421</v>
      </c>
      <c r="T933" s="81" t="str">
        <f>IF(G933=$J$1,"SI","NO")</f>
        <v>NO</v>
      </c>
      <c r="U933" s="81"/>
      <c r="V933" s="7" t="str">
        <f ca="1">IF(color_Celda(E933)=12106214,"ROSA",IF(color_Celda(E933)=65535,"AMARILLO",IF(color_Celda(E933)=5296274,"VERDE",IF(color_Celda(E933)=16777215,"BLANCO","NO SE"))))</f>
        <v>ROSA</v>
      </c>
      <c r="W933" s="63" t="s">
        <v>2063</v>
      </c>
      <c r="X933" s="63" t="s">
        <v>4235</v>
      </c>
      <c r="Y933" s="63"/>
      <c r="Z933" s="118" t="s">
        <v>748</v>
      </c>
      <c r="AA933" s="118" t="s">
        <v>2869</v>
      </c>
      <c r="AB933" s="63" t="s">
        <v>3322</v>
      </c>
      <c r="AC933" s="336"/>
    </row>
    <row r="934" spans="1:29" ht="60" customHeight="1">
      <c r="A934" s="63">
        <v>931</v>
      </c>
      <c r="B934" s="65">
        <v>45233</v>
      </c>
      <c r="C934" s="70">
        <v>0.46388888888888885</v>
      </c>
      <c r="D934" s="63" t="s">
        <v>3813</v>
      </c>
      <c r="E934" s="64" t="s">
        <v>3814</v>
      </c>
      <c r="F934" s="63">
        <v>3</v>
      </c>
      <c r="G934" s="63" t="s">
        <v>283</v>
      </c>
      <c r="H934" s="208">
        <v>45253</v>
      </c>
      <c r="I934" s="65" t="s">
        <v>73</v>
      </c>
      <c r="J934" s="65" t="s">
        <v>2922</v>
      </c>
      <c r="K934" s="63" t="s">
        <v>3776</v>
      </c>
      <c r="L934" s="63" t="s">
        <v>805</v>
      </c>
      <c r="M934" s="7" t="s">
        <v>695</v>
      </c>
      <c r="N934" s="63" t="s">
        <v>621</v>
      </c>
      <c r="O934" s="78" t="str">
        <f ca="1">IF(H934&lt;&gt;"",IF(H934&lt;=TODAY(),"SI","NO"),"LIMBO")</f>
        <v>SI</v>
      </c>
      <c r="P934" s="63" t="str">
        <f>IF($P$1=H934,"DIASOL", "DIANOSOL")</f>
        <v>DIANOSOL</v>
      </c>
      <c r="Q934" s="63" t="s">
        <v>151</v>
      </c>
      <c r="R934" s="63" t="str">
        <f>VLOOKUP($Q934,Resultados!$A$1:$B$49,2,FALSE)</f>
        <v>Prisión Preventiva</v>
      </c>
      <c r="S934" s="63" t="s">
        <v>1336</v>
      </c>
      <c r="T934" s="81" t="str">
        <f>IF(G934=$J$1,"SI","NO")</f>
        <v>NO</v>
      </c>
      <c r="U934" s="81"/>
      <c r="V934" s="7" t="str">
        <f ca="1">IF(color_Celda(E934)=12106214,"ROSA",IF(color_Celda(E934)=65535,"AMARILLO",IF(color_Celda(E934)=5296274,"VERDE",IF(color_Celda(E934)=16777215,"BLANCO","NO SE"))))</f>
        <v>ROSA</v>
      </c>
      <c r="W934" s="63" t="s">
        <v>1126</v>
      </c>
      <c r="X934" s="63" t="s">
        <v>2954</v>
      </c>
      <c r="Y934" s="63"/>
      <c r="Z934" s="118" t="s">
        <v>1039</v>
      </c>
      <c r="AA934" s="118" t="s">
        <v>3378</v>
      </c>
      <c r="AB934" s="63" t="s">
        <v>1170</v>
      </c>
      <c r="AC934" s="336"/>
    </row>
    <row r="935" spans="1:29" ht="60" customHeight="1">
      <c r="A935" s="63">
        <v>939</v>
      </c>
      <c r="B935" s="65">
        <v>45236</v>
      </c>
      <c r="C935" s="70">
        <v>0.51597222222222217</v>
      </c>
      <c r="D935" s="63" t="s">
        <v>3846</v>
      </c>
      <c r="E935" s="64" t="s">
        <v>3919</v>
      </c>
      <c r="F935" s="63">
        <v>4</v>
      </c>
      <c r="G935" s="63" t="s">
        <v>1435</v>
      </c>
      <c r="H935" s="208">
        <v>45253</v>
      </c>
      <c r="I935" s="65" t="s">
        <v>73</v>
      </c>
      <c r="J935" s="65" t="s">
        <v>35</v>
      </c>
      <c r="K935" s="63">
        <f>IFERROR(VLOOKUP(J935,Jueces!$A$1:$B$11,2,FALSE),"")</f>
        <v>3</v>
      </c>
      <c r="L935" s="63" t="s">
        <v>810</v>
      </c>
      <c r="M935" s="63" t="s">
        <v>1866</v>
      </c>
      <c r="N935" s="63" t="s">
        <v>2178</v>
      </c>
      <c r="O935" s="78" t="str">
        <f ca="1">IF(H935&lt;&gt;"",IF(H935&lt;=TODAY(),"SI","NO"),"LIMBO")</f>
        <v>SI</v>
      </c>
      <c r="P935" s="63" t="str">
        <f>IF($P$1=H935,"DIASOL", "DIANOSOL")</f>
        <v>DIANOSOL</v>
      </c>
      <c r="Q935" s="63" t="s">
        <v>902</v>
      </c>
      <c r="R935" s="63" t="str">
        <f>VLOOKUP($Q935,Resultados!$A$1:$B$49,2,FALSE)</f>
        <v>Juicio Abreviado</v>
      </c>
      <c r="S935" s="63" t="s">
        <v>1524</v>
      </c>
      <c r="T935" s="81" t="str">
        <f>IF(G935=$J$1,"SI","NO")</f>
        <v>SI</v>
      </c>
      <c r="U935" s="81"/>
      <c r="V935" s="7" t="str">
        <f ca="1">IF(color_Celda(E935)=12106214,"ROSA",IF(color_Celda(E935)=65535,"AMARILLO",IF(color_Celda(E935)=5296274,"VERDE",IF(color_Celda(E935)=16777215,"BLANCO","NO SE"))))</f>
        <v>ROSA</v>
      </c>
      <c r="W935" s="63" t="s">
        <v>3094</v>
      </c>
      <c r="X935" s="63" t="s">
        <v>2552</v>
      </c>
      <c r="Y935" s="63"/>
      <c r="Z935" s="118" t="s">
        <v>3368</v>
      </c>
      <c r="AA935" s="118" t="s">
        <v>1167</v>
      </c>
      <c r="AB935" s="63" t="s">
        <v>1173</v>
      </c>
      <c r="AC935" s="336"/>
    </row>
    <row r="936" spans="1:29" ht="60" customHeight="1">
      <c r="A936" s="63">
        <v>932</v>
      </c>
      <c r="B936" s="65">
        <v>45233</v>
      </c>
      <c r="C936" s="70">
        <v>0.375</v>
      </c>
      <c r="D936" s="63" t="s">
        <v>3817</v>
      </c>
      <c r="E936" s="64" t="s">
        <v>3818</v>
      </c>
      <c r="F936" s="63">
        <v>3</v>
      </c>
      <c r="G936" s="63" t="s">
        <v>3323</v>
      </c>
      <c r="H936" s="208">
        <v>45253</v>
      </c>
      <c r="I936" s="65" t="s">
        <v>1083</v>
      </c>
      <c r="J936" s="65" t="s">
        <v>35</v>
      </c>
      <c r="K936" s="63">
        <f>IFERROR(VLOOKUP(J936,Jueces!$A$1:$B$11,2,FALSE),"")</f>
        <v>3</v>
      </c>
      <c r="L936" s="63" t="s">
        <v>805</v>
      </c>
      <c r="M936" s="63" t="s">
        <v>694</v>
      </c>
      <c r="N936" s="63" t="s">
        <v>3184</v>
      </c>
      <c r="O936" s="78" t="str">
        <f ca="1">IF(H936&lt;&gt;"",IF(H936&lt;=TODAY(),"SI","NO"),"LIMBO")</f>
        <v>SI</v>
      </c>
      <c r="P936" s="63" t="str">
        <f>IF($P$1=H936,"DIASOL", "DIANOSOL")</f>
        <v>DIANOSOL</v>
      </c>
      <c r="Q936" s="63" t="s">
        <v>903</v>
      </c>
      <c r="R936" s="63" t="str">
        <f>VLOOKUP($Q936,Resultados!$A$1:$B$49,2,FALSE)</f>
        <v>Juicio Abreviado</v>
      </c>
      <c r="S936" s="63" t="s">
        <v>1502</v>
      </c>
      <c r="T936" s="81" t="str">
        <f>IF(G936=$J$1,"SI","NO")</f>
        <v>NO</v>
      </c>
      <c r="U936" s="81"/>
      <c r="V936" s="7" t="str">
        <f ca="1">IF(color_Celda(E936)=12106214,"ROSA",IF(color_Celda(E936)=65535,"AMARILLO",IF(color_Celda(E936)=5296274,"VERDE",IF(color_Celda(E936)=16777215,"BLANCO","NO SE"))))</f>
        <v>ROSA</v>
      </c>
      <c r="W936" s="63" t="s">
        <v>2663</v>
      </c>
      <c r="X936" s="63" t="s">
        <v>3155</v>
      </c>
      <c r="Y936" s="63"/>
      <c r="Z936" s="118" t="s">
        <v>3368</v>
      </c>
      <c r="AA936" s="118" t="s">
        <v>2869</v>
      </c>
      <c r="AB936" s="63" t="s">
        <v>1169</v>
      </c>
      <c r="AC936" s="336"/>
    </row>
    <row r="937" spans="1:29" ht="60" customHeight="1">
      <c r="A937" s="63">
        <v>944</v>
      </c>
      <c r="B937" s="65">
        <v>45251</v>
      </c>
      <c r="C937" s="70">
        <v>0.39444444444444443</v>
      </c>
      <c r="D937" s="63" t="s">
        <v>3856</v>
      </c>
      <c r="E937" s="64" t="s">
        <v>3885</v>
      </c>
      <c r="F937" s="63">
        <v>3</v>
      </c>
      <c r="G937" s="63" t="s">
        <v>2815</v>
      </c>
      <c r="H937" s="208">
        <v>45253</v>
      </c>
      <c r="I937" s="65" t="s">
        <v>1083</v>
      </c>
      <c r="J937" s="65" t="s">
        <v>78</v>
      </c>
      <c r="K937" s="63">
        <f>IFERROR(VLOOKUP(J937,Jueces!$A$1:$B$11,2,FALSE),"")</f>
        <v>8</v>
      </c>
      <c r="L937" s="63" t="s">
        <v>795</v>
      </c>
      <c r="M937" s="339" t="s">
        <v>695</v>
      </c>
      <c r="N937" s="63" t="s">
        <v>4239</v>
      </c>
      <c r="O937" s="78" t="str">
        <f ca="1">IF(H937&lt;&gt;"",IF(H937&lt;=TODAY(),"SI","NO"),"LIMBO")</f>
        <v>SI</v>
      </c>
      <c r="P937" s="63" t="str">
        <f>IF($P$1=H937,"DIASOL", "DIANOSOL")</f>
        <v>DIANOSOL</v>
      </c>
      <c r="Q937" s="63" t="s">
        <v>1010</v>
      </c>
      <c r="R937" s="63" t="str">
        <f>VLOOKUP($Q937,Resultados!$A$1:$B$49,2,FALSE)</f>
        <v>Suspendida</v>
      </c>
      <c r="S937" s="63"/>
      <c r="T937" s="81" t="str">
        <f>IF(G937=$J$1,"SI","NO")</f>
        <v>NO</v>
      </c>
      <c r="U937" s="81"/>
      <c r="V937" s="7" t="str">
        <f ca="1">IF(color_Celda(E937)=12106214,"ROSA",IF(color_Celda(E937)=65535,"AMARILLO",IF(color_Celda(E937)=5296274,"VERDE",IF(color_Celda(E937)=16777215,"BLANCO","NO SE"))))</f>
        <v>ROSA</v>
      </c>
      <c r="W937" s="63"/>
      <c r="X937" s="63"/>
      <c r="Y937" s="63"/>
      <c r="Z937" s="118" t="s">
        <v>743</v>
      </c>
      <c r="AA937" s="118" t="s">
        <v>1167</v>
      </c>
      <c r="AB937" s="63" t="s">
        <v>3258</v>
      </c>
      <c r="AC937" s="336"/>
    </row>
    <row r="938" spans="1:29" ht="60" customHeight="1">
      <c r="A938" s="63">
        <v>921</v>
      </c>
      <c r="B938" s="65">
        <v>45232</v>
      </c>
      <c r="C938" s="70">
        <v>0.52638888888888891</v>
      </c>
      <c r="D938" s="63" t="s">
        <v>3784</v>
      </c>
      <c r="E938" s="64" t="s">
        <v>3816</v>
      </c>
      <c r="F938" s="63">
        <v>4</v>
      </c>
      <c r="G938" s="63" t="s">
        <v>2766</v>
      </c>
      <c r="H938" s="208">
        <v>45253</v>
      </c>
      <c r="I938" s="65" t="s">
        <v>1206</v>
      </c>
      <c r="J938" s="65" t="s">
        <v>1216</v>
      </c>
      <c r="K938" s="63" t="s">
        <v>3922</v>
      </c>
      <c r="L938" s="63" t="s">
        <v>805</v>
      </c>
      <c r="M938" s="63" t="s">
        <v>3755</v>
      </c>
      <c r="N938" s="365" t="s">
        <v>4236</v>
      </c>
      <c r="O938" s="78" t="str">
        <f ca="1">IF(H938&lt;&gt;"",IF(H938&lt;=TODAY(),"SI","NO"),"LIMBO")</f>
        <v>SI</v>
      </c>
      <c r="P938" s="63" t="str">
        <f>IF($P$1=H938,"DIASOL", "DIANOSOL")</f>
        <v>DIANOSOL</v>
      </c>
      <c r="Q938" s="63" t="s">
        <v>902</v>
      </c>
      <c r="R938" s="63" t="str">
        <f>VLOOKUP($Q938,Resultados!$A$1:$B$49,2,FALSE)</f>
        <v>Juicio Abreviado</v>
      </c>
      <c r="S938" s="63" t="s">
        <v>3626</v>
      </c>
      <c r="T938" s="81" t="str">
        <f>IF(G938=$J$1,"SI","NO")</f>
        <v>NO</v>
      </c>
      <c r="U938" s="81"/>
      <c r="V938" s="7" t="str">
        <f ca="1">IF(color_Celda(E938)=12106214,"ROSA",IF(color_Celda(E938)=65535,"AMARILLO",IF(color_Celda(E938)=5296274,"VERDE",IF(color_Celda(E938)=16777215,"BLANCO","NO SE"))))</f>
        <v>ROSA</v>
      </c>
      <c r="W938" s="63" t="s">
        <v>1772</v>
      </c>
      <c r="X938" s="365" t="s">
        <v>4237</v>
      </c>
      <c r="Y938" s="63"/>
      <c r="Z938" s="118" t="s">
        <v>743</v>
      </c>
      <c r="AA938" s="118" t="s">
        <v>3379</v>
      </c>
      <c r="AB938" s="63" t="s">
        <v>1171</v>
      </c>
      <c r="AC938" s="336"/>
    </row>
    <row r="939" spans="1:29" ht="60" customHeight="1">
      <c r="A939" s="63">
        <v>920</v>
      </c>
      <c r="B939" s="65">
        <v>45232</v>
      </c>
      <c r="C939" s="70">
        <v>0.50763888888888886</v>
      </c>
      <c r="D939" s="63" t="s">
        <v>3782</v>
      </c>
      <c r="E939" s="64" t="s">
        <v>3815</v>
      </c>
      <c r="F939" s="63">
        <v>4</v>
      </c>
      <c r="G939" s="63" t="s">
        <v>568</v>
      </c>
      <c r="H939" s="208">
        <v>45254</v>
      </c>
      <c r="I939" s="65" t="s">
        <v>73</v>
      </c>
      <c r="J939" s="65" t="s">
        <v>2925</v>
      </c>
      <c r="K939" s="63" t="s">
        <v>3922</v>
      </c>
      <c r="L939" s="63" t="s">
        <v>810</v>
      </c>
      <c r="M939" s="63" t="s">
        <v>1960</v>
      </c>
      <c r="N939" s="259" t="s">
        <v>4230</v>
      </c>
      <c r="O939" s="78" t="str">
        <f ca="1">IF(H939&lt;&gt;"",IF(H939&lt;=TODAY(),"SI","NO"),"LIMBO")</f>
        <v>SI</v>
      </c>
      <c r="P939" s="63" t="str">
        <f>IF($P$1=H939,"DIASOL", "DIANOSOL")</f>
        <v>DIANOSOL</v>
      </c>
      <c r="Q939" s="63" t="s">
        <v>902</v>
      </c>
      <c r="R939" s="63" t="str">
        <f>VLOOKUP($Q939,Resultados!$A$1:$B$49,2,FALSE)</f>
        <v>Juicio Abreviado</v>
      </c>
      <c r="S939" s="63" t="s">
        <v>2659</v>
      </c>
      <c r="T939" s="81" t="str">
        <f>IF(G939=$J$1,"SI","NO")</f>
        <v>NO</v>
      </c>
      <c r="U939" s="81"/>
      <c r="V939" s="7" t="str">
        <f ca="1">IF(color_Celda(E939)=12106214,"ROSA",IF(color_Celda(E939)=65535,"AMARILLO",IF(color_Celda(E939)=5296274,"VERDE",IF(color_Celda(E939)=16777215,"BLANCO","NO SE"))))</f>
        <v>ROSA</v>
      </c>
      <c r="W939" s="63" t="s">
        <v>1083</v>
      </c>
      <c r="X939" s="332" t="s">
        <v>4231</v>
      </c>
      <c r="Y939" s="63"/>
      <c r="Z939" s="63" t="s">
        <v>3368</v>
      </c>
      <c r="AA939" s="118" t="s">
        <v>1165</v>
      </c>
      <c r="AB939" s="63" t="s">
        <v>1173</v>
      </c>
      <c r="AC939" s="336"/>
    </row>
    <row r="940" spans="1:29" ht="60" customHeight="1">
      <c r="A940" s="63">
        <v>919</v>
      </c>
      <c r="B940" s="65">
        <v>45233</v>
      </c>
      <c r="C940" s="70">
        <v>0.38472222222222219</v>
      </c>
      <c r="D940" s="63" t="s">
        <v>3780</v>
      </c>
      <c r="E940" s="64" t="s">
        <v>3781</v>
      </c>
      <c r="F940" s="63">
        <v>5</v>
      </c>
      <c r="G940" s="63" t="s">
        <v>2766</v>
      </c>
      <c r="H940" s="208">
        <v>45254</v>
      </c>
      <c r="I940" s="65" t="s">
        <v>73</v>
      </c>
      <c r="J940" s="65" t="s">
        <v>1217</v>
      </c>
      <c r="K940" s="63" t="s">
        <v>3776</v>
      </c>
      <c r="L940" s="63" t="s">
        <v>1067</v>
      </c>
      <c r="M940" s="356" t="s">
        <v>3819</v>
      </c>
      <c r="N940" s="63" t="s">
        <v>4232</v>
      </c>
      <c r="O940" s="78" t="str">
        <f ca="1">IF(H940&lt;&gt;"",IF(H940&lt;=TODAY(),"SI","NO"),"LIMBO")</f>
        <v>SI</v>
      </c>
      <c r="P940" s="63" t="str">
        <f>IF($P$1=H940,"DIASOL", "DIANOSOL")</f>
        <v>DIANOSOL</v>
      </c>
      <c r="Q940" s="63" t="s">
        <v>151</v>
      </c>
      <c r="R940" s="63" t="str">
        <f>VLOOKUP($Q940,Resultados!$A$1:$B$49,2,FALSE)</f>
        <v>Prisión Preventiva</v>
      </c>
      <c r="S940" s="63" t="s">
        <v>1119</v>
      </c>
      <c r="T940" s="81" t="str">
        <f>IF(G940=$J$1,"SI","NO")</f>
        <v>NO</v>
      </c>
      <c r="U940" s="81"/>
      <c r="V940" s="7" t="str">
        <f ca="1">IF(color_Celda(E940)=12106214,"ROSA",IF(color_Celda(E940)=65535,"AMARILLO",IF(color_Celda(E940)=5296274,"VERDE",IF(color_Celda(E940)=16777215,"BLANCO","NO SE"))))</f>
        <v>ROSA</v>
      </c>
      <c r="W940" s="63" t="s">
        <v>1081</v>
      </c>
      <c r="X940" s="365"/>
      <c r="Y940" s="63"/>
      <c r="Z940" s="63" t="s">
        <v>743</v>
      </c>
      <c r="AA940" s="118" t="s">
        <v>2869</v>
      </c>
      <c r="AB940" s="63" t="s">
        <v>3322</v>
      </c>
      <c r="AC940" s="336"/>
    </row>
    <row r="941" spans="1:29" ht="60" customHeight="1">
      <c r="A941" s="63">
        <v>926</v>
      </c>
      <c r="B941" s="65">
        <v>45233</v>
      </c>
      <c r="C941" s="70">
        <v>0.52777777777777779</v>
      </c>
      <c r="D941" s="63" t="s">
        <v>3805</v>
      </c>
      <c r="E941" s="64" t="s">
        <v>3806</v>
      </c>
      <c r="F941" s="63">
        <v>3</v>
      </c>
      <c r="G941" s="63" t="s">
        <v>1435</v>
      </c>
      <c r="H941" s="208">
        <v>45254</v>
      </c>
      <c r="I941" s="65" t="s">
        <v>73</v>
      </c>
      <c r="J941" s="65" t="s">
        <v>33</v>
      </c>
      <c r="K941" s="63">
        <f>IFERROR(VLOOKUP(J941,Jueces!$A$1:$B$11,2,FALSE),"")</f>
        <v>4</v>
      </c>
      <c r="L941" s="63" t="s">
        <v>789</v>
      </c>
      <c r="M941" s="63" t="s">
        <v>694</v>
      </c>
      <c r="N941" s="223" t="s">
        <v>4226</v>
      </c>
      <c r="O941" s="78" t="str">
        <f ca="1">IF(H941&lt;&gt;"",IF(H941&lt;=TODAY(),"SI","NO"),"LIMBO")</f>
        <v>SI</v>
      </c>
      <c r="P941" s="63" t="str">
        <f>IF($P$1=H941,"DIASOL", "DIANOSOL")</f>
        <v>DIANOSOL</v>
      </c>
      <c r="Q941" s="63" t="s">
        <v>902</v>
      </c>
      <c r="R941" s="63" t="str">
        <f>VLOOKUP($Q941,Resultados!$A$1:$B$49,2,FALSE)</f>
        <v>Juicio Abreviado</v>
      </c>
      <c r="S941" s="63" t="s">
        <v>1183</v>
      </c>
      <c r="T941" s="81" t="str">
        <f>IF(G941=$J$1,"SI","NO")</f>
        <v>SI</v>
      </c>
      <c r="U941" s="81"/>
      <c r="V941" s="7" t="str">
        <f ca="1">IF(color_Celda(E941)=12106214,"ROSA",IF(color_Celda(E941)=65535,"AMARILLO",IF(color_Celda(E941)=5296274,"VERDE",IF(color_Celda(E941)=16777215,"BLANCO","NO SE"))))</f>
        <v>ROSA</v>
      </c>
      <c r="W941" s="63" t="s">
        <v>1328</v>
      </c>
      <c r="X941" s="577" t="s">
        <v>4227</v>
      </c>
      <c r="Y941" s="63"/>
      <c r="Z941" s="63" t="s">
        <v>770</v>
      </c>
      <c r="AA941" s="118" t="s">
        <v>2828</v>
      </c>
      <c r="AB941" s="63" t="s">
        <v>1170</v>
      </c>
      <c r="AC941" s="336"/>
    </row>
    <row r="942" spans="1:29" ht="60" customHeight="1">
      <c r="A942" s="63">
        <v>934</v>
      </c>
      <c r="B942" s="65">
        <v>45236</v>
      </c>
      <c r="C942" s="70">
        <v>0.38472222222222219</v>
      </c>
      <c r="D942" s="63" t="s">
        <v>3821</v>
      </c>
      <c r="E942" s="64" t="s">
        <v>3822</v>
      </c>
      <c r="F942" s="63">
        <v>3</v>
      </c>
      <c r="G942" s="63" t="s">
        <v>3323</v>
      </c>
      <c r="H942" s="208">
        <v>45254</v>
      </c>
      <c r="I942" s="65" t="s">
        <v>73</v>
      </c>
      <c r="J942" s="65" t="s">
        <v>35</v>
      </c>
      <c r="K942" s="63">
        <f>IFERROR(VLOOKUP(J942,Jueces!$A$1:$B$11,2,FALSE),"")</f>
        <v>3</v>
      </c>
      <c r="L942" s="63" t="s">
        <v>805</v>
      </c>
      <c r="M942" s="63" t="s">
        <v>695</v>
      </c>
      <c r="N942" s="223" t="s">
        <v>4228</v>
      </c>
      <c r="O942" s="78" t="str">
        <f ca="1">IF(H942&lt;&gt;"",IF(H942&lt;=TODAY(),"SI","NO"),"LIMBO")</f>
        <v>SI</v>
      </c>
      <c r="P942" s="63" t="str">
        <f>IF($P$1=H942,"DIASOL", "DIANOSOL")</f>
        <v>DIANOSOL</v>
      </c>
      <c r="Q942" s="63" t="s">
        <v>902</v>
      </c>
      <c r="R942" s="63" t="str">
        <f>VLOOKUP($Q942,Resultados!$A$1:$B$49,2,FALSE)</f>
        <v>Juicio Abreviado</v>
      </c>
      <c r="S942" s="63" t="s">
        <v>1336</v>
      </c>
      <c r="T942" s="81" t="str">
        <f>IF(G942=$J$1,"SI","NO")</f>
        <v>NO</v>
      </c>
      <c r="U942" s="81"/>
      <c r="V942" s="7" t="str">
        <f ca="1">IF(color_Celda(E942)=12106214,"ROSA",IF(color_Celda(E942)=65535,"AMARILLO",IF(color_Celda(E942)=5296274,"VERDE",IF(color_Celda(E942)=16777215,"BLANCO","NO SE"))))</f>
        <v>ROSA</v>
      </c>
      <c r="W942" s="63" t="s">
        <v>1120</v>
      </c>
      <c r="X942" s="245" t="s">
        <v>4229</v>
      </c>
      <c r="Y942" s="63"/>
      <c r="Z942" s="63" t="s">
        <v>1038</v>
      </c>
      <c r="AA942" s="118" t="s">
        <v>1167</v>
      </c>
      <c r="AB942" s="63" t="s">
        <v>1169</v>
      </c>
      <c r="AC942" s="336"/>
    </row>
    <row r="943" spans="1:29" ht="60" customHeight="1">
      <c r="A943" s="63">
        <v>863</v>
      </c>
      <c r="B943" s="65">
        <v>45224</v>
      </c>
      <c r="C943" s="70">
        <v>0.43124999999999997</v>
      </c>
      <c r="D943" s="63" t="s">
        <v>3556</v>
      </c>
      <c r="E943" s="64" t="s">
        <v>3589</v>
      </c>
      <c r="F943" s="63">
        <v>2</v>
      </c>
      <c r="G943" s="63" t="s">
        <v>283</v>
      </c>
      <c r="H943" s="208">
        <v>45254</v>
      </c>
      <c r="I943" s="65" t="s">
        <v>1083</v>
      </c>
      <c r="J943" s="65" t="s">
        <v>1216</v>
      </c>
      <c r="K943" s="63" t="s">
        <v>2285</v>
      </c>
      <c r="L943" s="63" t="s">
        <v>2076</v>
      </c>
      <c r="M943" s="339" t="s">
        <v>3381</v>
      </c>
      <c r="N943" s="63" t="s">
        <v>4224</v>
      </c>
      <c r="O943" s="78" t="str">
        <f ca="1">IF(H943&lt;&gt;"",IF(H943&lt;=TODAY(),"SI","NO"),"LIMBO")</f>
        <v>SI</v>
      </c>
      <c r="P943" s="63" t="str">
        <f>IF($P$1=H943,"DIASOL", "DIANOSOL")</f>
        <v>DIANOSOL</v>
      </c>
      <c r="Q943" s="63" t="s">
        <v>897</v>
      </c>
      <c r="R943" s="63" t="str">
        <f>VLOOKUP($Q943,Resultados!$A$1:$B$49,2,FALSE)</f>
        <v>Libertad</v>
      </c>
      <c r="S943" s="63" t="s">
        <v>1230</v>
      </c>
      <c r="T943" s="81" t="str">
        <f>IF(G943=$J$1,"SI","NO")</f>
        <v>NO</v>
      </c>
      <c r="U943" s="81"/>
      <c r="V943" s="7" t="str">
        <f ca="1">IF(color_Celda(E943)=12106214,"ROSA",IF(color_Celda(E943)=65535,"AMARILLO",IF(color_Celda(E943)=5296274,"VERDE",IF(color_Celda(E943)=16777215,"BLANCO","NO SE"))))</f>
        <v>ROSA</v>
      </c>
      <c r="W943" s="63" t="s">
        <v>4223</v>
      </c>
      <c r="X943" s="366" t="s">
        <v>4225</v>
      </c>
      <c r="Y943" s="63"/>
      <c r="Z943" s="63" t="s">
        <v>770</v>
      </c>
      <c r="AA943" s="118" t="s">
        <v>2869</v>
      </c>
      <c r="AB943" s="63" t="s">
        <v>3258</v>
      </c>
      <c r="AC943" s="336"/>
    </row>
    <row r="944" spans="1:29" ht="60" customHeight="1">
      <c r="A944" s="336">
        <v>952</v>
      </c>
      <c r="B944" s="349">
        <v>45237</v>
      </c>
      <c r="C944" s="568">
        <v>0.43263888888888885</v>
      </c>
      <c r="D944" s="63" t="s">
        <v>3869</v>
      </c>
      <c r="E944" s="64" t="s">
        <v>3870</v>
      </c>
      <c r="F944" s="336">
        <v>3</v>
      </c>
      <c r="G944" s="336" t="s">
        <v>2815</v>
      </c>
      <c r="H944" s="383">
        <v>45254</v>
      </c>
      <c r="I944" s="65" t="s">
        <v>1083</v>
      </c>
      <c r="J944" s="349" t="s">
        <v>1217</v>
      </c>
      <c r="K944" s="336">
        <f>IFERROR(VLOOKUP(J944,Jueces!$A$1:$B$11,2,FALSE),"")</f>
        <v>7</v>
      </c>
      <c r="L944" s="63" t="s">
        <v>827</v>
      </c>
      <c r="M944" s="63" t="s">
        <v>2755</v>
      </c>
      <c r="N944" s="63" t="s">
        <v>1744</v>
      </c>
      <c r="O944" s="78" t="str">
        <f ca="1">IF(H944&lt;&gt;"",IF(H944&lt;=TODAY(),"SI","NO"),"LIMBO")</f>
        <v>SI</v>
      </c>
      <c r="P944" s="63" t="str">
        <f>IF($P$1=H944,"DIASOL", "DIANOSOL")</f>
        <v>DIANOSOL</v>
      </c>
      <c r="Q944" s="63" t="s">
        <v>151</v>
      </c>
      <c r="R944" s="63" t="str">
        <f>VLOOKUP($Q944,Resultados!$A$1:$B$49,2,FALSE)</f>
        <v>Prisión Preventiva</v>
      </c>
      <c r="S944" s="63" t="s">
        <v>1442</v>
      </c>
      <c r="T944" s="81" t="str">
        <f>IF(G944=$J$1,"SI","NO")</f>
        <v>NO</v>
      </c>
      <c r="U944" s="81"/>
      <c r="V944" s="7" t="str">
        <f ca="1">IF(color_Celda(E944)=12106214,"ROSA",IF(color_Celda(E944)=65535,"AMARILLO",IF(color_Celda(E944)=5296274,"VERDE",IF(color_Celda(E944)=16777215,"BLANCO","NO SE"))))</f>
        <v>ROSA</v>
      </c>
      <c r="W944" s="63" t="s">
        <v>1793</v>
      </c>
      <c r="X944" s="677" t="s">
        <v>4221</v>
      </c>
      <c r="Y944" s="336"/>
      <c r="Z944" s="63" t="s">
        <v>743</v>
      </c>
      <c r="AA944" s="118" t="s">
        <v>2828</v>
      </c>
      <c r="AB944" s="63" t="s">
        <v>1173</v>
      </c>
      <c r="AC944" s="336"/>
    </row>
    <row r="945" spans="1:29" ht="60" customHeight="1">
      <c r="A945" s="63">
        <v>922</v>
      </c>
      <c r="B945" s="65">
        <v>45251</v>
      </c>
      <c r="C945" s="70">
        <v>0.53541666666666665</v>
      </c>
      <c r="D945" s="63" t="s">
        <v>3785</v>
      </c>
      <c r="E945" s="64" t="s">
        <v>4008</v>
      </c>
      <c r="F945" s="63">
        <v>4</v>
      </c>
      <c r="G945" s="63" t="s">
        <v>1433</v>
      </c>
      <c r="H945" s="208">
        <v>45254</v>
      </c>
      <c r="I945" s="65" t="s">
        <v>1083</v>
      </c>
      <c r="J945" s="65" t="s">
        <v>31</v>
      </c>
      <c r="K945" s="63">
        <f>IFERROR(VLOOKUP(J945,Jueces!$A$1:$B$11,2,FALSE),"")</f>
        <v>2</v>
      </c>
      <c r="L945" s="63" t="s">
        <v>791</v>
      </c>
      <c r="M945" s="63" t="s">
        <v>3755</v>
      </c>
      <c r="N945" s="63" t="s">
        <v>2062</v>
      </c>
      <c r="O945" s="78" t="str">
        <f ca="1">IF(H945&lt;&gt;"",IF(H945&lt;=TODAY(),"SI","NO"),"LIMBO")</f>
        <v>SI</v>
      </c>
      <c r="P945" s="63" t="str">
        <f>IF($P$1=H945,"DIASOL", "DIANOSOL")</f>
        <v>DIANOSOL</v>
      </c>
      <c r="Q945" s="63" t="s">
        <v>910</v>
      </c>
      <c r="R945" s="63" t="str">
        <f>VLOOKUP($Q945,Resultados!$A$1:$B$49,2,FALSE)</f>
        <v>Suspendida</v>
      </c>
      <c r="S945" s="63" t="s">
        <v>1002</v>
      </c>
      <c r="T945" s="81" t="str">
        <f>IF(G945=$J$1,"SI","NO")</f>
        <v>NO</v>
      </c>
      <c r="U945" s="81"/>
      <c r="V945" s="7" t="str">
        <f ca="1">IF(color_Celda(E945)=12106214,"ROSA",IF(color_Celda(E945)=65535,"AMARILLO",IF(color_Celda(E945)=5296274,"VERDE",IF(color_Celda(E945)=16777215,"BLANCO","NO SE"))))</f>
        <v>ROSA</v>
      </c>
      <c r="W945" s="63" t="s">
        <v>1275</v>
      </c>
      <c r="X945" s="245" t="s">
        <v>4222</v>
      </c>
      <c r="Y945" s="63"/>
      <c r="Z945" s="63" t="s">
        <v>1039</v>
      </c>
      <c r="AA945" s="118" t="s">
        <v>1165</v>
      </c>
      <c r="AB945" s="63" t="s">
        <v>1171</v>
      </c>
      <c r="AC945" s="336"/>
    </row>
    <row r="946" spans="1:29" ht="60" customHeight="1">
      <c r="A946" s="63">
        <v>938</v>
      </c>
      <c r="B946" s="65">
        <v>45251</v>
      </c>
      <c r="C946" s="70">
        <v>0.51111111111111118</v>
      </c>
      <c r="D946" s="63" t="s">
        <v>3844</v>
      </c>
      <c r="E946" s="64" t="s">
        <v>3845</v>
      </c>
      <c r="F946" s="63">
        <v>3</v>
      </c>
      <c r="G946" s="63" t="s">
        <v>3324</v>
      </c>
      <c r="H946" s="208">
        <v>45254</v>
      </c>
      <c r="I946" s="65" t="s">
        <v>1083</v>
      </c>
      <c r="J946" s="65" t="s">
        <v>78</v>
      </c>
      <c r="K946" s="63">
        <f>IFERROR(VLOOKUP(J946,Jueces!$A$1:$B$11,2,FALSE),"")</f>
        <v>8</v>
      </c>
      <c r="L946" s="63" t="s">
        <v>795</v>
      </c>
      <c r="M946" s="63" t="s">
        <v>694</v>
      </c>
      <c r="N946" s="63" t="s">
        <v>4233</v>
      </c>
      <c r="O946" s="63" t="str">
        <f ca="1">IF(H946&lt;&gt;"",IF(H946&lt;=TODAY(),"SI","NO"),"LIMBO")</f>
        <v>SI</v>
      </c>
      <c r="P946" s="63" t="str">
        <f>IF($P$1=H946,"DIASOL", "DIANOSOL")</f>
        <v>DIANOSOL</v>
      </c>
      <c r="Q946" s="63" t="s">
        <v>910</v>
      </c>
      <c r="R946" s="63" t="str">
        <f>VLOOKUP($Q946,Resultados!$A$1:$B$49,2,FALSE)</f>
        <v>Suspendida</v>
      </c>
      <c r="S946" s="63"/>
      <c r="T946" s="72" t="str">
        <f>IF(G946=$J$1,"SI","NO")</f>
        <v>NO</v>
      </c>
      <c r="U946" s="72"/>
      <c r="V946" s="7" t="str">
        <f ca="1">IF(color_Celda(E946)=12106214,"ROSA",IF(color_Celda(E946)=65535,"AMARILLO",IF(color_Celda(E946)=5296274,"VERDE",IF(color_Celda(E946)=16777215,"BLANCO","NO SE"))))</f>
        <v>ROSA</v>
      </c>
      <c r="W946" s="63"/>
      <c r="X946" s="63"/>
      <c r="Y946" s="63"/>
      <c r="Z946" s="63" t="s">
        <v>3368</v>
      </c>
      <c r="AA946" s="118" t="s">
        <v>1167</v>
      </c>
      <c r="AB946" s="63" t="s">
        <v>3322</v>
      </c>
      <c r="AC946" s="336"/>
    </row>
    <row r="947" spans="1:29" ht="60" customHeight="1">
      <c r="A947" s="336">
        <v>1011</v>
      </c>
      <c r="B947" s="349">
        <v>45246</v>
      </c>
      <c r="C947" s="568">
        <v>0.53263888888888888</v>
      </c>
      <c r="D947" s="63" t="s">
        <v>4099</v>
      </c>
      <c r="E947" s="64" t="s">
        <v>4134</v>
      </c>
      <c r="F947" s="336">
        <v>4</v>
      </c>
      <c r="G947" s="336" t="s">
        <v>2752</v>
      </c>
      <c r="H947" s="383">
        <v>45254</v>
      </c>
      <c r="I947" s="65" t="s">
        <v>987</v>
      </c>
      <c r="J947" s="349" t="s">
        <v>31</v>
      </c>
      <c r="K947" s="63" t="s">
        <v>4179</v>
      </c>
      <c r="L947" s="63" t="s">
        <v>797</v>
      </c>
      <c r="M947" s="63" t="s">
        <v>4218</v>
      </c>
      <c r="N947" s="63" t="s">
        <v>4219</v>
      </c>
      <c r="O947" s="78" t="str">
        <f ca="1">IF(H947&lt;&gt;"",IF(H947&lt;=TODAY(),"SI","NO"),"LIMBO")</f>
        <v>SI</v>
      </c>
      <c r="P947" s="63" t="str">
        <f>IF($P$1=H947,"DIASOL", "DIANOSOL")</f>
        <v>DIANOSOL</v>
      </c>
      <c r="Q947" s="63" t="s">
        <v>897</v>
      </c>
      <c r="R947" s="63" t="str">
        <f>VLOOKUP($Q947,Resultados!$A$1:$B$49,2,FALSE)</f>
        <v>Libertad</v>
      </c>
      <c r="S947" s="63" t="s">
        <v>1763</v>
      </c>
      <c r="T947" s="81" t="str">
        <f>IF(G947=$J$1,"SI","NO")</f>
        <v>NO</v>
      </c>
      <c r="U947" s="81"/>
      <c r="V947" s="7" t="str">
        <f ca="1">IF(color_Celda(E947)=12106214,"ROSA",IF(color_Celda(E947)=65535,"AMARILLO",IF(color_Celda(E947)=5296274,"VERDE",IF(color_Celda(E947)=16777215,"BLANCO","NO SE"))))</f>
        <v>ROSA</v>
      </c>
      <c r="W947" s="63" t="s">
        <v>1146</v>
      </c>
      <c r="X947" s="223" t="s">
        <v>4220</v>
      </c>
      <c r="Y947" s="336"/>
      <c r="Z947" s="63" t="s">
        <v>770</v>
      </c>
      <c r="AA947" s="336"/>
      <c r="AB947" s="336"/>
      <c r="AC947" s="336"/>
    </row>
    <row r="948" spans="1:29" ht="60" customHeight="1">
      <c r="A948" s="336">
        <v>956</v>
      </c>
      <c r="B948" s="349">
        <v>45238</v>
      </c>
      <c r="C948" s="568">
        <v>0.52222222222222225</v>
      </c>
      <c r="D948" s="63" t="s">
        <v>3894</v>
      </c>
      <c r="E948" s="64" t="s">
        <v>3959</v>
      </c>
      <c r="F948" s="336">
        <v>7</v>
      </c>
      <c r="G948" s="336" t="s">
        <v>3323</v>
      </c>
      <c r="H948" s="383">
        <v>45257</v>
      </c>
      <c r="I948" s="65" t="s">
        <v>4013</v>
      </c>
      <c r="J948" s="349" t="s">
        <v>1217</v>
      </c>
      <c r="K948" s="336">
        <f>IFERROR(VLOOKUP(J948,Jueces!$A$1:$B$11,2,FALSE),"")</f>
        <v>7</v>
      </c>
      <c r="L948" s="63" t="s">
        <v>811</v>
      </c>
      <c r="M948" s="63" t="s">
        <v>693</v>
      </c>
      <c r="N948" s="63" t="s">
        <v>2872</v>
      </c>
      <c r="O948" s="78" t="str">
        <f ca="1">IF(H948&lt;&gt;"",IF(H948&lt;=TODAY(),"SI","NO"),"LIMBO")</f>
        <v>SI</v>
      </c>
      <c r="P948" s="63" t="str">
        <f>IF($P$1=H948,"DIASOL", "DIANOSOL")</f>
        <v>DIANOSOL</v>
      </c>
      <c r="Q948" s="63" t="s">
        <v>902</v>
      </c>
      <c r="R948" s="63" t="str">
        <f>VLOOKUP($Q948,Resultados!$A$1:$B$49,2,FALSE)</f>
        <v>Juicio Abreviado</v>
      </c>
      <c r="S948" s="63" t="s">
        <v>1592</v>
      </c>
      <c r="T948" s="81" t="str">
        <f>IF(G948=$J$1,"SI","NO")</f>
        <v>NO</v>
      </c>
      <c r="U948" s="81"/>
      <c r="V948" s="7" t="str">
        <f ca="1">IF(color_Celda(E948)=12106214,"ROSA",IF(color_Celda(E948)=65535,"AMARILLO",IF(color_Celda(E948)=5296274,"VERDE",IF(color_Celda(E948)=16777215,"BLANCO","NO SE"))))</f>
        <v>ROSA</v>
      </c>
      <c r="W948" s="63" t="s">
        <v>4252</v>
      </c>
      <c r="X948" s="63" t="s">
        <v>4253</v>
      </c>
      <c r="Y948" s="336"/>
      <c r="Z948" s="63" t="s">
        <v>748</v>
      </c>
      <c r="AA948" s="118" t="s">
        <v>3378</v>
      </c>
      <c r="AB948" s="63" t="s">
        <v>1169</v>
      </c>
      <c r="AC948" s="336"/>
    </row>
    <row r="949" spans="1:29" ht="60" customHeight="1">
      <c r="A949" s="63">
        <v>923</v>
      </c>
      <c r="B949" s="65">
        <v>45233</v>
      </c>
      <c r="C949" s="70">
        <v>0.33333333333333331</v>
      </c>
      <c r="D949" s="63" t="s">
        <v>3786</v>
      </c>
      <c r="E949" s="64" t="s">
        <v>3787</v>
      </c>
      <c r="F949" s="63">
        <v>4</v>
      </c>
      <c r="G949" s="63" t="s">
        <v>2766</v>
      </c>
      <c r="H949" s="208">
        <v>45257</v>
      </c>
      <c r="I949" s="65" t="s">
        <v>73</v>
      </c>
      <c r="J949" s="65" t="s">
        <v>1217</v>
      </c>
      <c r="K949" s="63" t="s">
        <v>3922</v>
      </c>
      <c r="L949" s="63" t="s">
        <v>810</v>
      </c>
      <c r="M949" s="63" t="s">
        <v>3755</v>
      </c>
      <c r="N949" s="63" t="s">
        <v>4249</v>
      </c>
      <c r="O949" s="78" t="str">
        <f ca="1">IF(H949&lt;&gt;"",IF(H949&lt;=TODAY(),"SI","NO"),"LIMBO")</f>
        <v>SI</v>
      </c>
      <c r="P949" s="63" t="str">
        <f>IF($P$1=H949,"DIASOL", "DIANOSOL")</f>
        <v>DIANOSOL</v>
      </c>
      <c r="Q949" s="63" t="s">
        <v>903</v>
      </c>
      <c r="R949" s="63" t="str">
        <f>VLOOKUP($Q949,Resultados!$A$1:$B$49,2,FALSE)</f>
        <v>Juicio Abreviado</v>
      </c>
      <c r="S949" s="63" t="s">
        <v>1062</v>
      </c>
      <c r="T949" s="81" t="str">
        <f>IF(G949=$J$1,"SI","NO")</f>
        <v>NO</v>
      </c>
      <c r="U949" s="81"/>
      <c r="V949" s="7" t="str">
        <f ca="1">IF(color_Celda(E949)=12106214,"ROSA",IF(color_Celda(E949)=65535,"AMARILLO",IF(color_Celda(E949)=5296274,"VERDE",IF(color_Celda(E949)=16777215,"BLANCO","NO SE"))))</f>
        <v>ROSA</v>
      </c>
      <c r="W949" s="63" t="s">
        <v>2685</v>
      </c>
      <c r="X949" s="63" t="s">
        <v>2552</v>
      </c>
      <c r="Y949" s="63"/>
      <c r="Z949" s="63" t="s">
        <v>770</v>
      </c>
      <c r="AA949" s="118" t="s">
        <v>2828</v>
      </c>
      <c r="AB949" s="63" t="s">
        <v>3258</v>
      </c>
      <c r="AC949" s="336"/>
    </row>
    <row r="950" spans="1:29" ht="60" customHeight="1">
      <c r="A950" s="336">
        <v>948</v>
      </c>
      <c r="B950" s="349">
        <v>45237</v>
      </c>
      <c r="C950" s="568">
        <v>0.3430555555555555</v>
      </c>
      <c r="D950" s="63" t="s">
        <v>3862</v>
      </c>
      <c r="E950" s="64" t="s">
        <v>3863</v>
      </c>
      <c r="F950" s="336">
        <v>3</v>
      </c>
      <c r="G950" s="63" t="s">
        <v>568</v>
      </c>
      <c r="H950" s="383">
        <v>45257</v>
      </c>
      <c r="I950" s="65" t="s">
        <v>73</v>
      </c>
      <c r="J950" s="349" t="s">
        <v>35</v>
      </c>
      <c r="K950" s="336">
        <f>IFERROR(VLOOKUP(J950,Jueces!$A$1:$B$11,2,FALSE),"")</f>
        <v>3</v>
      </c>
      <c r="L950" s="63" t="s">
        <v>2412</v>
      </c>
      <c r="M950" s="63" t="s">
        <v>695</v>
      </c>
      <c r="N950" s="63" t="s">
        <v>897</v>
      </c>
      <c r="O950" s="78" t="str">
        <f ca="1">IF(H950&lt;&gt;"",IF(H950&lt;=TODAY(),"SI","NO"),"LIMBO")</f>
        <v>SI</v>
      </c>
      <c r="P950" s="63" t="str">
        <f>IF($P$1=H950,"DIASOL", "DIANOSOL")</f>
        <v>DIANOSOL</v>
      </c>
      <c r="Q950" s="63" t="s">
        <v>897</v>
      </c>
      <c r="R950" s="63" t="str">
        <f>VLOOKUP($Q950,Resultados!$A$1:$B$49,2,FALSE)</f>
        <v>Libertad</v>
      </c>
      <c r="S950" s="63" t="s">
        <v>1061</v>
      </c>
      <c r="T950" s="81" t="str">
        <f>IF(G950=$J$1,"SI","NO")</f>
        <v>NO</v>
      </c>
      <c r="U950" s="81"/>
      <c r="V950" s="7" t="str">
        <f ca="1">IF(color_Celda(E950)=12106214,"ROSA",IF(color_Celda(E950)=65535,"AMARILLO",IF(color_Celda(E950)=5296274,"VERDE",IF(color_Celda(E950)=16777215,"BLANCO","NO SE"))))</f>
        <v>ROSA</v>
      </c>
      <c r="W950" s="63" t="s">
        <v>1491</v>
      </c>
      <c r="X950" s="63" t="s">
        <v>4248</v>
      </c>
      <c r="Y950" s="336"/>
      <c r="Z950" s="63" t="s">
        <v>1039</v>
      </c>
      <c r="AA950" s="118" t="s">
        <v>1165</v>
      </c>
      <c r="AB950" s="63" t="s">
        <v>1171</v>
      </c>
      <c r="AC950" s="336"/>
    </row>
    <row r="951" spans="1:29" ht="60" customHeight="1">
      <c r="A951" s="336">
        <v>949</v>
      </c>
      <c r="B951" s="349">
        <v>45237</v>
      </c>
      <c r="C951" s="568">
        <v>0.34236111111111112</v>
      </c>
      <c r="D951" s="63" t="s">
        <v>3864</v>
      </c>
      <c r="E951" s="64" t="s">
        <v>3942</v>
      </c>
      <c r="F951" s="336">
        <v>3</v>
      </c>
      <c r="G951" s="63" t="s">
        <v>3324</v>
      </c>
      <c r="H951" s="383">
        <v>45257</v>
      </c>
      <c r="I951" s="65" t="s">
        <v>73</v>
      </c>
      <c r="J951" s="65" t="s">
        <v>31</v>
      </c>
      <c r="K951" s="336">
        <f>IFERROR(VLOOKUP(J951,Jueces!$A$1:$B$11,2,FALSE),"")</f>
        <v>2</v>
      </c>
      <c r="L951" s="63" t="s">
        <v>805</v>
      </c>
      <c r="M951" s="63" t="s">
        <v>694</v>
      </c>
      <c r="N951" s="63" t="s">
        <v>4255</v>
      </c>
      <c r="O951" s="78" t="str">
        <f ca="1">IF(H951&lt;&gt;"",IF(H951&lt;=TODAY(),"SI","NO"),"LIMBO")</f>
        <v>SI</v>
      </c>
      <c r="P951" s="63" t="str">
        <f>IF($P$1=H951,"DIASOL", "DIANOSOL")</f>
        <v>DIANOSOL</v>
      </c>
      <c r="Q951" s="63" t="s">
        <v>902</v>
      </c>
      <c r="R951" s="63" t="str">
        <f>VLOOKUP($Q951,Resultados!$A$1:$B$49,2,FALSE)</f>
        <v>Juicio Abreviado</v>
      </c>
      <c r="S951" s="63" t="s">
        <v>1015</v>
      </c>
      <c r="T951" s="81" t="str">
        <f>IF(G951=$J$1,"SI","NO")</f>
        <v>NO</v>
      </c>
      <c r="U951" s="81"/>
      <c r="V951" s="7" t="str">
        <f ca="1">IF(color_Celda(E951)=12106214,"ROSA",IF(color_Celda(E951)=65535,"AMARILLO",IF(color_Celda(E951)=5296274,"VERDE",IF(color_Celda(E951)=16777215,"BLANCO","NO SE"))))</f>
        <v>ROSA</v>
      </c>
      <c r="W951" s="63" t="s">
        <v>1016</v>
      </c>
      <c r="X951" s="63" t="s">
        <v>2552</v>
      </c>
      <c r="Y951" s="336"/>
      <c r="Z951" s="63" t="s">
        <v>3368</v>
      </c>
      <c r="AA951" s="118" t="s">
        <v>1167</v>
      </c>
      <c r="AB951" s="63" t="s">
        <v>3322</v>
      </c>
      <c r="AC951" s="336"/>
    </row>
    <row r="952" spans="1:29" ht="60" customHeight="1">
      <c r="A952" s="63">
        <v>936</v>
      </c>
      <c r="B952" s="65">
        <v>45236</v>
      </c>
      <c r="C952" s="70">
        <v>0.42569444444444443</v>
      </c>
      <c r="D952" s="63" t="s">
        <v>3824</v>
      </c>
      <c r="E952" s="64" t="s">
        <v>3825</v>
      </c>
      <c r="F952" s="63">
        <v>3</v>
      </c>
      <c r="G952" s="63" t="s">
        <v>43</v>
      </c>
      <c r="H952" s="208">
        <v>45257</v>
      </c>
      <c r="I952" s="65" t="s">
        <v>1083</v>
      </c>
      <c r="J952" s="65" t="s">
        <v>78</v>
      </c>
      <c r="K952" s="63">
        <f>IFERROR(VLOOKUP(J952,Jueces!$A$1:$B$11,2,FALSE),"")</f>
        <v>8</v>
      </c>
      <c r="L952" s="63" t="s">
        <v>797</v>
      </c>
      <c r="M952" s="63" t="s">
        <v>695</v>
      </c>
      <c r="N952" s="63" t="s">
        <v>2550</v>
      </c>
      <c r="O952" s="78" t="str">
        <f ca="1">IF(H952&lt;&gt;"",IF(H952&lt;=TODAY(),"SI","NO"),"LIMBO")</f>
        <v>SI</v>
      </c>
      <c r="P952" s="63" t="str">
        <f>IF($P$1=H952,"DIASOL", "DIANOSOL")</f>
        <v>DIANOSOL</v>
      </c>
      <c r="Q952" s="63" t="s">
        <v>897</v>
      </c>
      <c r="R952" s="63" t="str">
        <f>VLOOKUP($Q952,Resultados!$A$1:$B$49,2,FALSE)</f>
        <v>Libertad</v>
      </c>
      <c r="S952" s="63" t="s">
        <v>1601</v>
      </c>
      <c r="T952" s="81" t="str">
        <f>IF(G952=$J$1,"SI","NO")</f>
        <v>NO</v>
      </c>
      <c r="U952" s="81"/>
      <c r="V952" s="7" t="str">
        <f ca="1">IF(color_Celda(E952)=12106214,"ROSA",IF(color_Celda(E952)=65535,"AMARILLO",IF(color_Celda(E952)=5296274,"VERDE",IF(color_Celda(E952)=16777215,"BLANCO","NO SE"))))</f>
        <v>ROSA</v>
      </c>
      <c r="W952" s="63" t="s">
        <v>1185</v>
      </c>
      <c r="X952" s="63" t="s">
        <v>4251</v>
      </c>
      <c r="Y952" s="63"/>
      <c r="Z952" s="63" t="s">
        <v>3368</v>
      </c>
      <c r="AA952" s="118" t="s">
        <v>2869</v>
      </c>
      <c r="AB952" s="63" t="s">
        <v>1170</v>
      </c>
      <c r="AC952" s="336"/>
    </row>
    <row r="953" spans="1:29" ht="60" customHeight="1">
      <c r="A953" s="336">
        <v>950</v>
      </c>
      <c r="B953" s="349">
        <v>45237</v>
      </c>
      <c r="C953" s="568">
        <v>0.44236111111111115</v>
      </c>
      <c r="D953" s="63" t="s">
        <v>1758</v>
      </c>
      <c r="E953" s="64" t="s">
        <v>3866</v>
      </c>
      <c r="F953" s="336">
        <v>1</v>
      </c>
      <c r="G953" s="336" t="s">
        <v>283</v>
      </c>
      <c r="H953" s="383">
        <v>45257</v>
      </c>
      <c r="I953" s="65" t="s">
        <v>1083</v>
      </c>
      <c r="J953" s="349" t="s">
        <v>35</v>
      </c>
      <c r="K953" s="336">
        <v>3</v>
      </c>
      <c r="L953" s="63" t="s">
        <v>2077</v>
      </c>
      <c r="M953" s="339" t="s">
        <v>3960</v>
      </c>
      <c r="N953" s="63" t="s">
        <v>4254</v>
      </c>
      <c r="O953" s="78" t="str">
        <f ca="1">IF(H953&lt;&gt;"",IF(H953&lt;=TODAY(),"SI","NO"),"LIMBO")</f>
        <v>SI</v>
      </c>
      <c r="P953" s="63" t="str">
        <f>IF($P$1=H953,"DIASOL", "DIANOSOL")</f>
        <v>DIANOSOL</v>
      </c>
      <c r="Q953" s="63" t="s">
        <v>911</v>
      </c>
      <c r="R953" s="63" t="str">
        <f>VLOOKUP($Q953,Resultados!$A$1:$B$49,2,FALSE)</f>
        <v>Prision domiciliaria</v>
      </c>
      <c r="S953" s="63" t="s">
        <v>2929</v>
      </c>
      <c r="T953" s="81" t="str">
        <f>IF(G953=$J$1,"SI","NO")</f>
        <v>NO</v>
      </c>
      <c r="U953" s="81"/>
      <c r="V953" s="7" t="str">
        <f ca="1">IF(color_Celda(E953)=12106214,"ROSA",IF(color_Celda(E953)=65535,"AMARILLO",IF(color_Celda(E953)=5296274,"VERDE",IF(color_Celda(E953)=16777215,"BLANCO","NO SE"))))</f>
        <v>ROSA</v>
      </c>
      <c r="W953" s="63" t="s">
        <v>2622</v>
      </c>
      <c r="X953" s="365" t="s">
        <v>3155</v>
      </c>
      <c r="Y953" s="336"/>
      <c r="Z953" s="63" t="s">
        <v>770</v>
      </c>
      <c r="AA953" s="63" t="s">
        <v>1167</v>
      </c>
      <c r="AB953" s="63" t="s">
        <v>1169</v>
      </c>
      <c r="AC953" s="336"/>
    </row>
    <row r="954" spans="1:29" ht="60" customHeight="1">
      <c r="A954" s="336">
        <v>957</v>
      </c>
      <c r="B954" s="349">
        <v>45238</v>
      </c>
      <c r="C954" s="568">
        <v>0.43472222222222223</v>
      </c>
      <c r="D954" s="63" t="s">
        <v>3887</v>
      </c>
      <c r="E954" s="64" t="s">
        <v>3895</v>
      </c>
      <c r="F954" s="336">
        <v>4</v>
      </c>
      <c r="G954" s="336" t="s">
        <v>2752</v>
      </c>
      <c r="H954" s="383">
        <v>45257</v>
      </c>
      <c r="I954" s="65" t="s">
        <v>1083</v>
      </c>
      <c r="J954" s="349" t="s">
        <v>33</v>
      </c>
      <c r="K954" s="336">
        <f>IFERROR(VLOOKUP(J954,Jueces!$A$1:$B$11,2,FALSE),"")</f>
        <v>4</v>
      </c>
      <c r="L954" s="63" t="s">
        <v>3913</v>
      </c>
      <c r="M954" s="63" t="s">
        <v>1866</v>
      </c>
      <c r="N954" s="63" t="s">
        <v>2550</v>
      </c>
      <c r="O954" s="78" t="str">
        <f ca="1">IF(H954&lt;&gt;"",IF(H954&lt;=TODAY(),"SI","NO"),"LIMBO")</f>
        <v>SI</v>
      </c>
      <c r="P954" s="63" t="str">
        <f>IF($P$1=H954,"DIASOL", "DIANOSOL")</f>
        <v>DIANOSOL</v>
      </c>
      <c r="Q954" s="63" t="s">
        <v>897</v>
      </c>
      <c r="R954" s="63" t="str">
        <f>VLOOKUP($Q954,Resultados!$A$1:$B$49,2,FALSE)</f>
        <v>Libertad</v>
      </c>
      <c r="S954" s="63" t="s">
        <v>1489</v>
      </c>
      <c r="T954" s="81" t="str">
        <f>IF(G954=$J$1,"SI","NO")</f>
        <v>NO</v>
      </c>
      <c r="U954" s="81"/>
      <c r="V954" s="7" t="str">
        <f ca="1">IF(color_Celda(E954)=12106214,"ROSA",IF(color_Celda(E954)=65535,"AMARILLO",IF(color_Celda(E954)=5296274,"VERDE",IF(color_Celda(E954)=16777215,"BLANCO","NO SE"))))</f>
        <v>ROSA</v>
      </c>
      <c r="W954" s="63" t="s">
        <v>1121</v>
      </c>
      <c r="X954" s="374"/>
      <c r="Y954" s="336"/>
      <c r="Z954" s="63" t="s">
        <v>1038</v>
      </c>
      <c r="AA954" s="118" t="s">
        <v>3378</v>
      </c>
      <c r="AB954" s="63" t="s">
        <v>3258</v>
      </c>
      <c r="AC954" s="336"/>
    </row>
    <row r="955" spans="1:29" ht="60" customHeight="1">
      <c r="A955" s="63">
        <v>927</v>
      </c>
      <c r="B955" s="65">
        <v>45254</v>
      </c>
      <c r="C955" s="70">
        <v>0.33333333333333331</v>
      </c>
      <c r="D955" s="63" t="s">
        <v>3808</v>
      </c>
      <c r="E955" s="64" t="s">
        <v>3921</v>
      </c>
      <c r="F955" s="63">
        <v>4</v>
      </c>
      <c r="G955" s="63" t="s">
        <v>2815</v>
      </c>
      <c r="H955" s="208">
        <v>45257</v>
      </c>
      <c r="I955" s="65" t="s">
        <v>1083</v>
      </c>
      <c r="J955" s="65" t="s">
        <v>1216</v>
      </c>
      <c r="K955" s="63" t="s">
        <v>3941</v>
      </c>
      <c r="L955" s="63" t="s">
        <v>809</v>
      </c>
      <c r="M955" s="7" t="s">
        <v>3755</v>
      </c>
      <c r="N955" s="63" t="s">
        <v>4250</v>
      </c>
      <c r="O955" s="78" t="str">
        <f ca="1">IF(H955&lt;&gt;"",IF(H955&lt;=TODAY(),"SI","NO"),"LIMBO")</f>
        <v>SI</v>
      </c>
      <c r="P955" s="63" t="str">
        <f>IF($P$1=H955,"DIASOL", "DIANOSOL")</f>
        <v>DIANOSOL</v>
      </c>
      <c r="Q955" s="63" t="s">
        <v>909</v>
      </c>
      <c r="R955" s="63" t="str">
        <f>VLOOKUP($Q955,Resultados!$A$1:$B$49,2,FALSE)</f>
        <v>Suspendida</v>
      </c>
      <c r="S955" s="63"/>
      <c r="T955" s="81" t="str">
        <f>IF(G955=$J$1,"SI","NO")</f>
        <v>NO</v>
      </c>
      <c r="U955" s="81"/>
      <c r="V955" s="7" t="str">
        <f ca="1">IF(color_Celda(E955)=12106214,"ROSA",IF(color_Celda(E955)=65535,"AMARILLO",IF(color_Celda(E955)=5296274,"VERDE",IF(color_Celda(E955)=16777215,"BLANCO","NO SE"))))</f>
        <v>ROSA</v>
      </c>
      <c r="W955" s="63"/>
      <c r="X955" s="150"/>
      <c r="Y955" s="63"/>
      <c r="Z955" s="63" t="s">
        <v>748</v>
      </c>
      <c r="AA955" s="118" t="s">
        <v>2828</v>
      </c>
      <c r="AB955" s="63" t="s">
        <v>1173</v>
      </c>
      <c r="AC955" s="336"/>
    </row>
    <row r="956" spans="1:29" ht="60" customHeight="1">
      <c r="A956" s="63">
        <v>928</v>
      </c>
      <c r="B956" s="65">
        <v>45236</v>
      </c>
      <c r="C956" s="70">
        <v>0.33333333333333331</v>
      </c>
      <c r="D956" s="63" t="s">
        <v>3809</v>
      </c>
      <c r="E956" s="64" t="s">
        <v>3920</v>
      </c>
      <c r="F956" s="63">
        <v>4</v>
      </c>
      <c r="G956" s="63" t="s">
        <v>1433</v>
      </c>
      <c r="H956" s="208">
        <v>45258</v>
      </c>
      <c r="I956" s="65" t="s">
        <v>73</v>
      </c>
      <c r="J956" s="65" t="s">
        <v>35</v>
      </c>
      <c r="K956" s="63">
        <f>IFERROR(VLOOKUP(J956,Jueces!$A$1:$B$11,2,FALSE),"")</f>
        <v>3</v>
      </c>
      <c r="L956" s="63" t="s">
        <v>805</v>
      </c>
      <c r="M956" s="7" t="s">
        <v>3755</v>
      </c>
      <c r="N956" s="63" t="s">
        <v>2544</v>
      </c>
      <c r="O956" s="78" t="str">
        <f ca="1">IF(H956&lt;&gt;"",IF(H956&lt;=TODAY(),"SI","NO"),"LIMBO")</f>
        <v>SI</v>
      </c>
      <c r="P956" s="63" t="str">
        <f>IF($P$1=H956,"DIASOL", "DIANOSOL")</f>
        <v>DIANOSOL</v>
      </c>
      <c r="Q956" s="63" t="s">
        <v>902</v>
      </c>
      <c r="R956" s="63" t="str">
        <f>VLOOKUP($Q956,Resultados!$A$1:$B$49,2,FALSE)</f>
        <v>Juicio Abreviado</v>
      </c>
      <c r="S956" s="63" t="s">
        <v>1242</v>
      </c>
      <c r="T956" s="81" t="str">
        <f>IF(G956=$J$1,"SI","NO")</f>
        <v>NO</v>
      </c>
      <c r="U956" s="81"/>
      <c r="V956" s="7" t="str">
        <f ca="1">IF(color_Celda(E956)=12106214,"ROSA",IF(color_Celda(E956)=65535,"AMARILLO",IF(color_Celda(E956)=5296274,"VERDE",IF(color_Celda(E956)=16777215,"BLANCO","NO SE"))))</f>
        <v>ROSA</v>
      </c>
      <c r="W956" s="63" t="s">
        <v>1328</v>
      </c>
      <c r="X956" s="63" t="s">
        <v>4281</v>
      </c>
      <c r="Y956" s="63"/>
      <c r="Z956" s="63" t="s">
        <v>3368</v>
      </c>
      <c r="AA956" s="118" t="s">
        <v>1165</v>
      </c>
      <c r="AB956" s="63" t="s">
        <v>3322</v>
      </c>
      <c r="AC956" s="336"/>
    </row>
    <row r="957" spans="1:29" ht="60" customHeight="1">
      <c r="A957" s="63">
        <v>947</v>
      </c>
      <c r="B957" s="65">
        <v>45237</v>
      </c>
      <c r="C957" s="70">
        <v>0.36805555555555558</v>
      </c>
      <c r="D957" s="63" t="s">
        <v>3860</v>
      </c>
      <c r="E957" s="64" t="s">
        <v>3861</v>
      </c>
      <c r="F957" s="63">
        <v>4</v>
      </c>
      <c r="G957" s="63" t="s">
        <v>2766</v>
      </c>
      <c r="H957" s="208">
        <v>45258</v>
      </c>
      <c r="I957" s="65" t="s">
        <v>73</v>
      </c>
      <c r="J957" s="65" t="s">
        <v>2925</v>
      </c>
      <c r="K957" s="63" t="s">
        <v>3776</v>
      </c>
      <c r="L957" s="63" t="s">
        <v>1825</v>
      </c>
      <c r="M957" s="7" t="s">
        <v>1984</v>
      </c>
      <c r="N957" s="63" t="s">
        <v>1744</v>
      </c>
      <c r="O957" s="78" t="str">
        <f ca="1">IF(H957&lt;&gt;"",IF(H957&lt;=TODAY(),"SI","NO"),"LIMBO")</f>
        <v>SI</v>
      </c>
      <c r="P957" s="63" t="str">
        <f>IF($P$1=H957,"DIASOL", "DIANOSOL")</f>
        <v>DIANOSOL</v>
      </c>
      <c r="Q957" s="63" t="s">
        <v>151</v>
      </c>
      <c r="R957" s="63" t="str">
        <f>VLOOKUP($Q957,Resultados!$A$1:$B$49,2,FALSE)</f>
        <v>Prisión Preventiva</v>
      </c>
      <c r="S957" s="63" t="s">
        <v>1604</v>
      </c>
      <c r="T957" s="81" t="str">
        <f>IF(G957=$J$1,"SI","NO")</f>
        <v>NO</v>
      </c>
      <c r="U957" s="81"/>
      <c r="V957" s="7" t="str">
        <f ca="1">IF(color_Celda(E957)=12106214,"ROSA",IF(color_Celda(E957)=65535,"AMARILLO",IF(color_Celda(E957)=5296274,"VERDE",IF(color_Celda(E957)=16777215,"BLANCO","NO SE"))))</f>
        <v>ROSA</v>
      </c>
      <c r="W957" s="63" t="s">
        <v>1047</v>
      </c>
      <c r="X957" s="223" t="s">
        <v>4279</v>
      </c>
      <c r="Y957" s="63"/>
      <c r="Z957" s="63" t="s">
        <v>1038</v>
      </c>
      <c r="AA957" s="118" t="s">
        <v>2828</v>
      </c>
      <c r="AB957" s="63" t="s">
        <v>1173</v>
      </c>
      <c r="AC957" s="336"/>
    </row>
    <row r="958" spans="1:29" ht="60" customHeight="1">
      <c r="A958" s="336">
        <v>958</v>
      </c>
      <c r="B958" s="349">
        <v>45238</v>
      </c>
      <c r="C958" s="568">
        <v>0.43124999999999997</v>
      </c>
      <c r="D958" s="63" t="s">
        <v>3896</v>
      </c>
      <c r="E958" s="64" t="s">
        <v>3897</v>
      </c>
      <c r="F958" s="336">
        <v>7</v>
      </c>
      <c r="G958" s="336" t="s">
        <v>1435</v>
      </c>
      <c r="H958" s="383">
        <v>45258</v>
      </c>
      <c r="I958" s="65" t="s">
        <v>749</v>
      </c>
      <c r="J958" s="349" t="s">
        <v>1221</v>
      </c>
      <c r="K958" s="336">
        <f>IFERROR(VLOOKUP(J958,Jueces!$A$1:$B$11,2,FALSE),"")</f>
        <v>6</v>
      </c>
      <c r="L958" s="63" t="s">
        <v>811</v>
      </c>
      <c r="M958" s="339" t="s">
        <v>3457</v>
      </c>
      <c r="N958" s="63" t="s">
        <v>1744</v>
      </c>
      <c r="O958" s="78" t="str">
        <f ca="1">IF(H958&lt;&gt;"",IF(H958&lt;=TODAY(),"SI","NO"),"LIMBO")</f>
        <v>SI</v>
      </c>
      <c r="P958" s="63" t="str">
        <f>IF($P$1=H958,"DIASOL", "DIANOSOL")</f>
        <v>DIANOSOL</v>
      </c>
      <c r="Q958" s="63" t="s">
        <v>151</v>
      </c>
      <c r="R958" s="63" t="str">
        <f>VLOOKUP($Q958,Resultados!$A$1:$B$49,2,FALSE)</f>
        <v>Prisión Preventiva</v>
      </c>
      <c r="S958" s="63" t="s">
        <v>1012</v>
      </c>
      <c r="T958" s="81" t="str">
        <f>IF(G958=$J$1,"SI","NO")</f>
        <v>SI</v>
      </c>
      <c r="U958" s="81"/>
      <c r="V958" s="7" t="str">
        <f ca="1">IF(color_Celda(E958)=12106214,"ROSA",IF(color_Celda(E958)=65535,"AMARILLO",IF(color_Celda(E958)=5296274,"VERDE",IF(color_Celda(E958)=16777215,"BLANCO","NO SE"))))</f>
        <v>ROSA</v>
      </c>
      <c r="W958" s="63" t="s">
        <v>1002</v>
      </c>
      <c r="X958" s="366" t="s">
        <v>4280</v>
      </c>
      <c r="Y958" s="336"/>
      <c r="Z958" s="63" t="s">
        <v>4241</v>
      </c>
      <c r="AA958" s="118" t="s">
        <v>3378</v>
      </c>
      <c r="AB958" s="63" t="s">
        <v>1170</v>
      </c>
      <c r="AC958" s="336"/>
    </row>
    <row r="959" spans="1:29" ht="60" customHeight="1">
      <c r="A959" s="63">
        <v>942</v>
      </c>
      <c r="B959" s="65">
        <v>45237</v>
      </c>
      <c r="C959" s="70">
        <v>0.33333333333333331</v>
      </c>
      <c r="D959" s="63" t="s">
        <v>3851</v>
      </c>
      <c r="E959" s="64" t="s">
        <v>3917</v>
      </c>
      <c r="F959" s="63">
        <v>4</v>
      </c>
      <c r="G959" s="63" t="s">
        <v>3324</v>
      </c>
      <c r="H959" s="208">
        <v>45258</v>
      </c>
      <c r="I959" s="65" t="s">
        <v>1083</v>
      </c>
      <c r="J959" s="65" t="s">
        <v>1217</v>
      </c>
      <c r="K959" s="63" t="s">
        <v>3779</v>
      </c>
      <c r="L959" s="63" t="s">
        <v>810</v>
      </c>
      <c r="M959" s="63" t="s">
        <v>1984</v>
      </c>
      <c r="N959" s="63" t="s">
        <v>4275</v>
      </c>
      <c r="O959" s="78" t="str">
        <f ca="1">IF(H959&lt;&gt;"",IF(H959&lt;=TODAY(),"SI","NO"),"LIMBO")</f>
        <v>SI</v>
      </c>
      <c r="P959" s="63" t="str">
        <f>IF($P$1=H959,"DIASOL", "DIANOSOL")</f>
        <v>DIANOSOL</v>
      </c>
      <c r="Q959" s="63" t="s">
        <v>902</v>
      </c>
      <c r="R959" s="63" t="str">
        <f>VLOOKUP($Q959,Resultados!$A$1:$B$49,2,FALSE)</f>
        <v>Juicio Abreviado</v>
      </c>
      <c r="S959" s="63" t="s">
        <v>1128</v>
      </c>
      <c r="T959" s="81" t="str">
        <f>IF(G959=$J$1,"SI","NO")</f>
        <v>NO</v>
      </c>
      <c r="U959" s="81"/>
      <c r="V959" s="7" t="str">
        <f ca="1">IF(color_Celda(E959)=12106214,"ROSA",IF(color_Celda(E959)=65535,"AMARILLO",IF(color_Celda(E959)=5296274,"VERDE",IF(color_Celda(E959)=16777215,"BLANCO","NO SE"))))</f>
        <v>ROSA</v>
      </c>
      <c r="W959" s="63" t="s">
        <v>1798</v>
      </c>
      <c r="X959" s="366" t="s">
        <v>4276</v>
      </c>
      <c r="Y959" s="63"/>
      <c r="Z959" s="63" t="s">
        <v>770</v>
      </c>
      <c r="AA959" s="118" t="s">
        <v>1167</v>
      </c>
      <c r="AB959" s="63" t="s">
        <v>1169</v>
      </c>
      <c r="AC959" s="336"/>
    </row>
    <row r="960" spans="1:29" ht="60" customHeight="1">
      <c r="A960" s="336">
        <v>951</v>
      </c>
      <c r="B960" s="349">
        <v>45237</v>
      </c>
      <c r="C960" s="568">
        <v>0.44097222222222227</v>
      </c>
      <c r="D960" s="63" t="s">
        <v>3867</v>
      </c>
      <c r="E960" s="64" t="s">
        <v>3868</v>
      </c>
      <c r="F960" s="336">
        <v>3</v>
      </c>
      <c r="G960" s="336" t="s">
        <v>1434</v>
      </c>
      <c r="H960" s="383">
        <v>45258</v>
      </c>
      <c r="I960" s="65" t="s">
        <v>1083</v>
      </c>
      <c r="J960" s="349" t="s">
        <v>31</v>
      </c>
      <c r="K960" s="336">
        <f>IFERROR(VLOOKUP(J960,Jueces!$A$1:$B$11,2,FALSE),"")</f>
        <v>2</v>
      </c>
      <c r="L960" s="63" t="s">
        <v>1693</v>
      </c>
      <c r="M960" s="339" t="s">
        <v>1408</v>
      </c>
      <c r="N960" s="63" t="s">
        <v>4282</v>
      </c>
      <c r="O960" s="78" t="str">
        <f ca="1">IF(H960&lt;&gt;"",IF(H960&lt;=TODAY(),"SI","NO"),"LIMBO")</f>
        <v>SI</v>
      </c>
      <c r="P960" s="63" t="str">
        <f>IF($P$1=H960,"DIASOL", "DIANOSOL")</f>
        <v>DIANOSOL</v>
      </c>
      <c r="Q960" s="63" t="s">
        <v>911</v>
      </c>
      <c r="R960" s="63" t="str">
        <f>VLOOKUP($Q960,Resultados!$A$1:$B$49,2,FALSE)</f>
        <v>Prision domiciliaria</v>
      </c>
      <c r="S960" s="63" t="s">
        <v>1002</v>
      </c>
      <c r="T960" s="81" t="str">
        <f>IF(G960=$J$1,"SI","NO")</f>
        <v>NO</v>
      </c>
      <c r="U960" s="81"/>
      <c r="V960" s="7" t="str">
        <f ca="1">IF(color_Celda(E960)=12106214,"ROSA",IF(color_Celda(E960)=65535,"AMARILLO",IF(color_Celda(E960)=5296274,"VERDE",IF(color_Celda(E960)=16777215,"BLANCO","NO SE"))))</f>
        <v>ROSA</v>
      </c>
      <c r="W960" s="63" t="s">
        <v>1033</v>
      </c>
      <c r="X960" s="336"/>
      <c r="Y960" s="336"/>
      <c r="Z960" s="63" t="s">
        <v>743</v>
      </c>
      <c r="AA960" s="118" t="s">
        <v>2869</v>
      </c>
      <c r="AB960" s="63" t="s">
        <v>3258</v>
      </c>
      <c r="AC960" s="336"/>
    </row>
    <row r="961" spans="1:29" ht="60" customHeight="1">
      <c r="A961" s="336">
        <v>983</v>
      </c>
      <c r="B961" s="349">
        <v>45243</v>
      </c>
      <c r="C961" s="568">
        <v>0.38472222222222219</v>
      </c>
      <c r="D961" s="325" t="s">
        <v>3982</v>
      </c>
      <c r="E961" s="64" t="s">
        <v>4033</v>
      </c>
      <c r="F961" s="336">
        <v>3</v>
      </c>
      <c r="G961" s="336" t="s">
        <v>2815</v>
      </c>
      <c r="H961" s="383">
        <v>45258</v>
      </c>
      <c r="I961" s="65" t="s">
        <v>1083</v>
      </c>
      <c r="J961" s="349" t="s">
        <v>2922</v>
      </c>
      <c r="K961" s="63" t="s">
        <v>3890</v>
      </c>
      <c r="L961" s="63" t="s">
        <v>2715</v>
      </c>
      <c r="M961" s="339" t="s">
        <v>4034</v>
      </c>
      <c r="N961" s="63" t="s">
        <v>5712</v>
      </c>
      <c r="O961" s="78" t="str">
        <f ca="1">IF(H961&lt;&gt;"",IF(H961&lt;=TODAY(),"SI","NO"),"LIMBO")</f>
        <v>SI</v>
      </c>
      <c r="P961" s="63" t="str">
        <f>IF($P$1=H961,"DIASOL", "DIANOSOL")</f>
        <v>DIANOSOL</v>
      </c>
      <c r="Q961" s="63" t="s">
        <v>151</v>
      </c>
      <c r="R961" s="63" t="str">
        <f>VLOOKUP($Q961,Resultados!$A$1:$B$49,2,FALSE)</f>
        <v>Prisión Preventiva</v>
      </c>
      <c r="S961" s="63" t="s">
        <v>1227</v>
      </c>
      <c r="T961" s="81" t="str">
        <f>IF(G961=$J$1,"SI","NO")</f>
        <v>NO</v>
      </c>
      <c r="U961" s="81"/>
      <c r="V961" s="7" t="str">
        <f ca="1">IF(color_Celda(E961)=12106214,"ROSA",IF(color_Celda(E961)=65535,"AMARILLO",IF(color_Celda(E961)=5296274,"VERDE",IF(color_Celda(E961)=16777215,"BLANCO","NO SE"))))</f>
        <v>ROSA</v>
      </c>
      <c r="W961" s="63" t="s">
        <v>1226</v>
      </c>
      <c r="X961" s="336"/>
      <c r="Y961" s="336"/>
      <c r="Z961" s="63" t="s">
        <v>3368</v>
      </c>
      <c r="AA961" s="118" t="s">
        <v>3379</v>
      </c>
      <c r="AB961" s="63" t="s">
        <v>1171</v>
      </c>
      <c r="AC961" s="336" t="s">
        <v>1792</v>
      </c>
    </row>
    <row r="962" spans="1:29" ht="60" customHeight="1">
      <c r="A962" s="336">
        <v>1029</v>
      </c>
      <c r="B962" s="349">
        <v>45252</v>
      </c>
      <c r="C962" s="568">
        <v>0.38958333333333334</v>
      </c>
      <c r="D962" s="63" t="s">
        <v>4192</v>
      </c>
      <c r="E962" s="64" t="s">
        <v>4193</v>
      </c>
      <c r="F962" s="336">
        <v>4</v>
      </c>
      <c r="G962" s="63" t="s">
        <v>3791</v>
      </c>
      <c r="H962" s="383">
        <v>45258</v>
      </c>
      <c r="I962" s="65" t="s">
        <v>1083</v>
      </c>
      <c r="J962" s="349" t="s">
        <v>33</v>
      </c>
      <c r="K962" s="336">
        <f>IFERROR(VLOOKUP(J962,Jueces!$A$1:$B$11,2,FALSE),"")</f>
        <v>4</v>
      </c>
      <c r="L962" s="63" t="s">
        <v>3638</v>
      </c>
      <c r="M962" s="335" t="s">
        <v>4207</v>
      </c>
      <c r="N962" s="205" t="s">
        <v>4277</v>
      </c>
      <c r="O962" s="78" t="str">
        <f ca="1">IF(H962&lt;&gt;"",IF(H962&lt;=TODAY(),"SI","NO"),"LIMBO")</f>
        <v>SI</v>
      </c>
      <c r="P962" s="63" t="str">
        <f>IF($P$1=H962,"DIASOL", "DIANOSOL")</f>
        <v>DIANOSOL</v>
      </c>
      <c r="Q962" s="63" t="s">
        <v>903</v>
      </c>
      <c r="R962" s="63" t="str">
        <f>VLOOKUP($Q962,Resultados!$A$1:$B$49,2,FALSE)</f>
        <v>Juicio Abreviado</v>
      </c>
      <c r="S962" s="63" t="s">
        <v>1004</v>
      </c>
      <c r="T962" s="81" t="str">
        <f>IF(G962=$J$1,"SI","NO")</f>
        <v>NO</v>
      </c>
      <c r="U962" s="81"/>
      <c r="V962" s="7" t="str">
        <f ca="1">IF(color_Celda(E962)=12106214,"ROSA",IF(color_Celda(E962)=65535,"AMARILLO",IF(color_Celda(E962)=5296274,"VERDE",IF(color_Celda(E962)=16777215,"BLANCO","NO SE"))))</f>
        <v>ROSA</v>
      </c>
      <c r="W962" s="63" t="s">
        <v>1442</v>
      </c>
      <c r="X962" s="223" t="s">
        <v>4278</v>
      </c>
      <c r="Y962" s="336"/>
      <c r="Z962" s="63" t="s">
        <v>770</v>
      </c>
      <c r="AA962" s="63" t="s">
        <v>2828</v>
      </c>
      <c r="AB962" s="63" t="s">
        <v>3322</v>
      </c>
      <c r="AC962" s="336"/>
    </row>
    <row r="963" spans="1:29" ht="60" customHeight="1">
      <c r="A963" s="336">
        <v>1024</v>
      </c>
      <c r="B963" s="349">
        <v>45254</v>
      </c>
      <c r="C963" s="70">
        <v>0.33333333333333331</v>
      </c>
      <c r="D963" s="63" t="s">
        <v>4183</v>
      </c>
      <c r="E963" s="64" t="s">
        <v>4184</v>
      </c>
      <c r="F963" s="336">
        <v>4</v>
      </c>
      <c r="G963" s="336" t="s">
        <v>43</v>
      </c>
      <c r="H963" s="383">
        <v>45258</v>
      </c>
      <c r="I963" s="65" t="s">
        <v>1206</v>
      </c>
      <c r="J963" s="349" t="s">
        <v>1216</v>
      </c>
      <c r="K963" s="63" t="s">
        <v>4190</v>
      </c>
      <c r="L963" s="63" t="s">
        <v>797</v>
      </c>
      <c r="M963" s="373" t="s">
        <v>4185</v>
      </c>
      <c r="N963" s="205" t="s">
        <v>4273</v>
      </c>
      <c r="O963" s="78" t="str">
        <f ca="1">IF(H963&lt;&gt;"",IF(H963&lt;=TODAY(),"SI","NO"),"LIMBO")</f>
        <v>SI</v>
      </c>
      <c r="P963" s="63" t="str">
        <f>IF($P$1=H963,"DIASOL", "DIANOSOL")</f>
        <v>DIANOSOL</v>
      </c>
      <c r="Q963" s="63" t="s">
        <v>903</v>
      </c>
      <c r="R963" s="63" t="str">
        <f>VLOOKUP($Q963,Resultados!$A$1:$B$49,2,FALSE)</f>
        <v>Juicio Abreviado</v>
      </c>
      <c r="S963" s="63" t="s">
        <v>1122</v>
      </c>
      <c r="T963" s="81" t="str">
        <f>IF(G963=$J$1,"SI","NO")</f>
        <v>NO</v>
      </c>
      <c r="U963" s="81"/>
      <c r="V963" s="7" t="str">
        <f ca="1">IF(color_Celda(E963)=12106214,"ROSA",IF(color_Celda(E963)=65535,"AMARILLO",IF(color_Celda(E963)=5296274,"VERDE",IF(color_Celda(E963)=16777215,"BLANCO","NO SE"))))</f>
        <v>ROSA</v>
      </c>
      <c r="W963" s="63" t="s">
        <v>3629</v>
      </c>
      <c r="X963" s="223" t="s">
        <v>4274</v>
      </c>
      <c r="Y963" s="336"/>
      <c r="Z963" s="63" t="s">
        <v>748</v>
      </c>
      <c r="AA963" s="118" t="s">
        <v>1167</v>
      </c>
      <c r="AB963" s="63" t="s">
        <v>1173</v>
      </c>
      <c r="AC963" s="336"/>
    </row>
    <row r="964" spans="1:29" ht="60" customHeight="1">
      <c r="A964" s="63">
        <v>946</v>
      </c>
      <c r="B964" s="65">
        <v>45237</v>
      </c>
      <c r="C964" s="70">
        <v>0.37083333333333335</v>
      </c>
      <c r="D964" s="63" t="s">
        <v>3859</v>
      </c>
      <c r="E964" s="64" t="s">
        <v>3918</v>
      </c>
      <c r="F964" s="63">
        <v>4</v>
      </c>
      <c r="G964" s="63" t="s">
        <v>1433</v>
      </c>
      <c r="H964" s="208">
        <v>45259</v>
      </c>
      <c r="I964" s="65" t="s">
        <v>73</v>
      </c>
      <c r="J964" s="65" t="s">
        <v>2925</v>
      </c>
      <c r="K964" s="63" t="s">
        <v>1982</v>
      </c>
      <c r="L964" s="63" t="s">
        <v>811</v>
      </c>
      <c r="M964" s="63" t="s">
        <v>3755</v>
      </c>
      <c r="N964" s="63" t="s">
        <v>4344</v>
      </c>
      <c r="O964" s="78" t="str">
        <f ca="1">IF(H964&lt;&gt;"",IF(H964&lt;=TODAY(),"SI","NO"),"LIMBO")</f>
        <v>SI</v>
      </c>
      <c r="P964" s="63" t="str">
        <f>IF($P$1=H964,"DIASOL", "DIANOSOL")</f>
        <v>DIANOSOL</v>
      </c>
      <c r="Q964" s="63" t="s">
        <v>902</v>
      </c>
      <c r="R964" s="63" t="str">
        <f>VLOOKUP($Q964,Resultados!$A$1:$B$49,2,FALSE)</f>
        <v>Juicio Abreviado</v>
      </c>
      <c r="S964" s="63" t="s">
        <v>1006</v>
      </c>
      <c r="T964" s="81" t="str">
        <f>IF(G964=$J$1,"SI","NO")</f>
        <v>NO</v>
      </c>
      <c r="U964" s="81"/>
      <c r="V964" s="7" t="str">
        <f ca="1">IF(color_Celda(E964)=12106214,"ROSA",IF(color_Celda(E964)=65535,"AMARILLO",IF(color_Celda(E964)=5296274,"VERDE",IF(color_Celda(E964)=16777215,"BLANCO","NO SE"))))</f>
        <v>ROSA</v>
      </c>
      <c r="W964" s="63" t="s">
        <v>1121</v>
      </c>
      <c r="X964" s="63" t="s">
        <v>4345</v>
      </c>
      <c r="Y964" s="63"/>
      <c r="Z964" s="63" t="s">
        <v>743</v>
      </c>
      <c r="AA964" s="118" t="s">
        <v>1167</v>
      </c>
      <c r="AB964" s="63" t="s">
        <v>1170</v>
      </c>
      <c r="AC964" s="336"/>
    </row>
    <row r="965" spans="1:29" ht="60" customHeight="1">
      <c r="A965" s="336">
        <v>955</v>
      </c>
      <c r="B965" s="349">
        <v>45238</v>
      </c>
      <c r="C965" s="568">
        <v>0.52986111111111112</v>
      </c>
      <c r="D965" s="63" t="s">
        <v>3892</v>
      </c>
      <c r="E965" s="64" t="s">
        <v>3893</v>
      </c>
      <c r="F965" s="336">
        <v>3</v>
      </c>
      <c r="G965" s="63" t="s">
        <v>568</v>
      </c>
      <c r="H965" s="383">
        <v>45259</v>
      </c>
      <c r="I965" s="65" t="s">
        <v>73</v>
      </c>
      <c r="J965" s="65" t="s">
        <v>33</v>
      </c>
      <c r="K965" s="336">
        <f>IFERROR(VLOOKUP(J965,Jueces!$A$1:$B$11,2,FALSE),"")</f>
        <v>4</v>
      </c>
      <c r="L965" s="63" t="s">
        <v>807</v>
      </c>
      <c r="M965" s="330" t="s">
        <v>2247</v>
      </c>
      <c r="N965" s="63" t="s">
        <v>3184</v>
      </c>
      <c r="O965" s="78" t="str">
        <f ca="1">IF(H965&lt;&gt;"",IF(H965&lt;=TODAY(),"SI","NO"),"LIMBO")</f>
        <v>SI</v>
      </c>
      <c r="P965" s="63" t="str">
        <f>IF($P$1=H965,"DIASOL", "DIANOSOL")</f>
        <v>DIANOSOL</v>
      </c>
      <c r="Q965" s="63" t="s">
        <v>903</v>
      </c>
      <c r="R965" s="63" t="str">
        <f>VLOOKUP($Q965,Resultados!$A$1:$B$49,2,FALSE)</f>
        <v>Juicio Abreviado</v>
      </c>
      <c r="S965" s="63" t="s">
        <v>1524</v>
      </c>
      <c r="T965" s="81" t="str">
        <f>IF(G965=$J$1,"SI","NO")</f>
        <v>NO</v>
      </c>
      <c r="U965" s="81"/>
      <c r="V965" s="7" t="str">
        <f ca="1">IF(color_Celda(E965)=12106214,"ROSA",IF(color_Celda(E965)=65535,"AMARILLO",IF(color_Celda(E965)=5296274,"VERDE",IF(color_Celda(E965)=16777215,"BLANCO","NO SE"))))</f>
        <v>ROSA</v>
      </c>
      <c r="W965" s="63" t="s">
        <v>1292</v>
      </c>
      <c r="X965" s="63" t="s">
        <v>4343</v>
      </c>
      <c r="Y965" s="336"/>
      <c r="Z965" s="63" t="s">
        <v>748</v>
      </c>
      <c r="AA965" s="118" t="s">
        <v>1165</v>
      </c>
      <c r="AB965" s="63" t="s">
        <v>3258</v>
      </c>
      <c r="AC965" s="336"/>
    </row>
    <row r="966" spans="1:29" ht="60" customHeight="1">
      <c r="A966" s="336">
        <v>974</v>
      </c>
      <c r="B966" s="349">
        <v>45239</v>
      </c>
      <c r="C966" s="568">
        <v>0.37986111111111115</v>
      </c>
      <c r="D966" s="325" t="s">
        <v>3957</v>
      </c>
      <c r="E966" s="64" t="s">
        <v>3958</v>
      </c>
      <c r="F966" s="336">
        <v>3</v>
      </c>
      <c r="G966" s="336" t="s">
        <v>3324</v>
      </c>
      <c r="H966" s="383">
        <v>45259</v>
      </c>
      <c r="I966" s="65" t="s">
        <v>73</v>
      </c>
      <c r="J966" s="349" t="s">
        <v>2922</v>
      </c>
      <c r="K966" s="63" t="s">
        <v>3776</v>
      </c>
      <c r="L966" s="63" t="s">
        <v>806</v>
      </c>
      <c r="M966" s="7" t="s">
        <v>695</v>
      </c>
      <c r="N966" s="63" t="s">
        <v>621</v>
      </c>
      <c r="O966" s="78" t="str">
        <f ca="1">IF(H966&lt;&gt;"",IF(H966&lt;=TODAY(),"SI","NO"),"LIMBO")</f>
        <v>SI</v>
      </c>
      <c r="P966" s="63" t="str">
        <f>IF($P$1=H966,"DIASOL", "DIANOSOL")</f>
        <v>DIANOSOL</v>
      </c>
      <c r="Q966" s="63" t="s">
        <v>151</v>
      </c>
      <c r="R966" s="63" t="str">
        <f>VLOOKUP($Q966,Resultados!$A$1:$B$49,2,FALSE)</f>
        <v>Prisión Preventiva</v>
      </c>
      <c r="S966" s="63" t="s">
        <v>2238</v>
      </c>
      <c r="T966" s="81" t="str">
        <f>IF(G966=$J$1,"SI","NO")</f>
        <v>NO</v>
      </c>
      <c r="U966" s="81"/>
      <c r="V966" s="7" t="str">
        <f ca="1">IF(color_Celda(E966)=12106214,"ROSA",IF(color_Celda(E966)=65535,"AMARILLO",IF(color_Celda(E966)=5296274,"VERDE",IF(color_Celda(E966)=16777215,"BLANCO","NO SE"))))</f>
        <v>ROSA</v>
      </c>
      <c r="W966" s="63" t="s">
        <v>1489</v>
      </c>
      <c r="X966" s="63" t="s">
        <v>3438</v>
      </c>
      <c r="Y966" s="336"/>
      <c r="Z966" s="63" t="s">
        <v>3368</v>
      </c>
      <c r="AA966" s="118" t="s">
        <v>3378</v>
      </c>
      <c r="AB966" s="63" t="s">
        <v>1171</v>
      </c>
      <c r="AC966" s="336" t="s">
        <v>1792</v>
      </c>
    </row>
    <row r="967" spans="1:29" ht="60" customHeight="1">
      <c r="A967" s="336">
        <v>995</v>
      </c>
      <c r="B967" s="349">
        <v>45244</v>
      </c>
      <c r="C967" s="568">
        <v>0.53125</v>
      </c>
      <c r="D967" s="63" t="s">
        <v>4030</v>
      </c>
      <c r="E967" s="64" t="s">
        <v>4031</v>
      </c>
      <c r="F967" s="336">
        <v>3</v>
      </c>
      <c r="G967" s="336" t="s">
        <v>283</v>
      </c>
      <c r="H967" s="383">
        <v>45259</v>
      </c>
      <c r="I967" s="65" t="s">
        <v>73</v>
      </c>
      <c r="J967" s="349" t="s">
        <v>78</v>
      </c>
      <c r="K967" s="336">
        <f>IFERROR(VLOOKUP(J967,Jueces!$A$1:$B$11,2,FALSE),"")</f>
        <v>8</v>
      </c>
      <c r="L967" s="63" t="s">
        <v>582</v>
      </c>
      <c r="M967" s="339" t="s">
        <v>3394</v>
      </c>
      <c r="N967" s="63" t="s">
        <v>4394</v>
      </c>
      <c r="O967" s="63" t="str">
        <f ca="1">IF(H967&lt;&gt;"",IF(H967&lt;=TODAY(),"SI","NO"),"LIMBO")</f>
        <v>SI</v>
      </c>
      <c r="P967" s="63" t="str">
        <f>IF($P$1=H967,"DIASOL", "DIANOSOL")</f>
        <v>DIANOSOL</v>
      </c>
      <c r="Q967" s="63" t="s">
        <v>903</v>
      </c>
      <c r="R967" s="63" t="str">
        <f>VLOOKUP($Q967,Resultados!$A$1:$B$49,2,FALSE)</f>
        <v>Juicio Abreviado</v>
      </c>
      <c r="S967" s="63" t="s">
        <v>73</v>
      </c>
      <c r="T967" s="72" t="str">
        <f>IF(G967=$J$1,"SI","NO")</f>
        <v>NO</v>
      </c>
      <c r="U967" s="72"/>
      <c r="V967" s="7" t="str">
        <f ca="1">IF(color_Celda(E967)=12106214,"ROSA",IF(color_Celda(E967)=65535,"AMARILLO",IF(color_Celda(E967)=5296274,"VERDE",IF(color_Celda(E967)=16777215,"BLANCO","NO SE"))))</f>
        <v>ROSA</v>
      </c>
      <c r="W967" s="63" t="s">
        <v>1336</v>
      </c>
      <c r="X967" s="336"/>
      <c r="Y967" s="336"/>
      <c r="Z967" s="63" t="s">
        <v>4350</v>
      </c>
      <c r="AA967" s="336"/>
      <c r="AB967" s="63" t="s">
        <v>3322</v>
      </c>
      <c r="AC967" s="336"/>
    </row>
    <row r="968" spans="1:29" ht="60" customHeight="1">
      <c r="A968" s="336">
        <v>1022</v>
      </c>
      <c r="B968" s="349">
        <v>45252</v>
      </c>
      <c r="C968" s="336"/>
      <c r="D968" s="63" t="s">
        <v>4180</v>
      </c>
      <c r="E968" s="64" t="s">
        <v>4181</v>
      </c>
      <c r="F968" s="336">
        <v>4</v>
      </c>
      <c r="G968" s="336" t="s">
        <v>3639</v>
      </c>
      <c r="H968" s="383">
        <v>45259</v>
      </c>
      <c r="I968" s="65" t="s">
        <v>73</v>
      </c>
      <c r="J968" s="349" t="s">
        <v>1217</v>
      </c>
      <c r="K968" s="336">
        <f>IFERROR(VLOOKUP(J968,Jueces!$A$1:$B$11,2,FALSE),"")</f>
        <v>7</v>
      </c>
      <c r="L968" s="63" t="s">
        <v>688</v>
      </c>
      <c r="M968" s="335" t="s">
        <v>4182</v>
      </c>
      <c r="N968" s="63" t="s">
        <v>621</v>
      </c>
      <c r="O968" s="78" t="str">
        <f ca="1">IF(H968&lt;&gt;"",IF(H968&lt;=TODAY(),"SI","NO"),"LIMBO")</f>
        <v>SI</v>
      </c>
      <c r="P968" s="63" t="str">
        <f>IF($P$1=H968,"DIASOL", "DIANOSOL")</f>
        <v>DIANOSOL</v>
      </c>
      <c r="Q968" s="63" t="s">
        <v>151</v>
      </c>
      <c r="R968" s="63" t="str">
        <f>VLOOKUP($Q968,Resultados!$A$1:$B$49,2,FALSE)</f>
        <v>Prisión Preventiva</v>
      </c>
      <c r="S968" s="63" t="s">
        <v>2238</v>
      </c>
      <c r="T968" s="81" t="str">
        <f>IF(G968=$J$1,"SI","NO")</f>
        <v>NO</v>
      </c>
      <c r="U968" s="81"/>
      <c r="V968" s="7" t="str">
        <f ca="1">IF(color_Celda(E968)=12106214,"ROSA",IF(color_Celda(E968)=65535,"AMARILLO",IF(color_Celda(E968)=5296274,"VERDE",IF(color_Celda(E968)=16777215,"BLANCO","NO SE"))))</f>
        <v>ROSA</v>
      </c>
      <c r="W968" s="63" t="s">
        <v>1185</v>
      </c>
      <c r="X968" s="63" t="s">
        <v>4346</v>
      </c>
      <c r="Y968" s="336"/>
      <c r="Z968" s="63" t="s">
        <v>1038</v>
      </c>
      <c r="AA968" s="118" t="s">
        <v>3378</v>
      </c>
      <c r="AB968" s="63" t="s">
        <v>1173</v>
      </c>
      <c r="AC968" s="336"/>
    </row>
    <row r="969" spans="1:29" ht="60" customHeight="1">
      <c r="A969" s="336">
        <v>967</v>
      </c>
      <c r="B969" s="349">
        <v>45254</v>
      </c>
      <c r="C969" s="568">
        <v>0.53194444444444444</v>
      </c>
      <c r="D969" s="63" t="s">
        <v>3945</v>
      </c>
      <c r="E969" s="64" t="s">
        <v>3946</v>
      </c>
      <c r="F969" s="336">
        <v>3</v>
      </c>
      <c r="G969" s="336" t="s">
        <v>1434</v>
      </c>
      <c r="H969" s="383">
        <v>45259</v>
      </c>
      <c r="I969" s="65" t="s">
        <v>749</v>
      </c>
      <c r="J969" s="349" t="s">
        <v>1221</v>
      </c>
      <c r="K969" s="336">
        <f>IFERROR(VLOOKUP(J969,Jueces!$A$1:$B$11,2,FALSE),"")</f>
        <v>6</v>
      </c>
      <c r="L969" s="63" t="s">
        <v>808</v>
      </c>
      <c r="M969" s="339" t="s">
        <v>3977</v>
      </c>
      <c r="N969" s="205" t="s">
        <v>4351</v>
      </c>
      <c r="O969" s="79" t="str">
        <f ca="1">IF(H969&lt;&gt;"",IF(H969&lt;=TODAY(),"SI","NO"),"LIMBO")</f>
        <v>SI</v>
      </c>
      <c r="P969" s="63" t="str">
        <f>IF($P$1=H969,"DIASOL", "DIANOSOL")</f>
        <v>DIANOSOL</v>
      </c>
      <c r="Q969" s="63" t="s">
        <v>1010</v>
      </c>
      <c r="R969" s="63" t="str">
        <f>VLOOKUP($Q969,Resultados!$A$1:$B$49,2,FALSE)</f>
        <v>Suspendida</v>
      </c>
      <c r="S969" s="63" t="s">
        <v>749</v>
      </c>
      <c r="T969" s="348" t="str">
        <f>IF(G969=$J$1,"SI","NO")</f>
        <v>NO</v>
      </c>
      <c r="U969" s="348"/>
      <c r="V969" s="7" t="str">
        <f ca="1">IF(color_Celda(E969)=12106214,"ROSA",IF(color_Celda(E969)=65535,"AMARILLO",IF(color_Celda(E969)=5296274,"VERDE",IF(color_Celda(E969)=16777215,"BLANCO","NO SE"))))</f>
        <v>ROSA</v>
      </c>
      <c r="W969" s="63" t="s">
        <v>1242</v>
      </c>
      <c r="X969" s="355"/>
      <c r="Y969" s="355"/>
      <c r="Z969" s="63" t="s">
        <v>770</v>
      </c>
      <c r="AA969" s="118" t="s">
        <v>2828</v>
      </c>
      <c r="AB969" s="63" t="s">
        <v>3258</v>
      </c>
      <c r="AC969" s="355"/>
    </row>
    <row r="970" spans="1:29" ht="60" customHeight="1">
      <c r="A970" s="336">
        <v>988</v>
      </c>
      <c r="B970" s="349">
        <v>45240</v>
      </c>
      <c r="C970" s="568">
        <v>0.46180555555555558</v>
      </c>
      <c r="D970" s="63" t="s">
        <v>4011</v>
      </c>
      <c r="E970" s="64" t="s">
        <v>4012</v>
      </c>
      <c r="F970" s="336">
        <v>3</v>
      </c>
      <c r="G970" s="336" t="s">
        <v>2815</v>
      </c>
      <c r="H970" s="383">
        <v>45259</v>
      </c>
      <c r="I970" s="65" t="s">
        <v>1083</v>
      </c>
      <c r="J970" s="349" t="s">
        <v>35</v>
      </c>
      <c r="K970" s="336">
        <f>IFERROR(VLOOKUP(J970,Jueces!$A$1:$B$11,2,FALSE),"")</f>
        <v>3</v>
      </c>
      <c r="L970" s="63" t="s">
        <v>569</v>
      </c>
      <c r="M970" s="7" t="s">
        <v>3381</v>
      </c>
      <c r="N970" s="63" t="s">
        <v>897</v>
      </c>
      <c r="O970" s="78" t="str">
        <f ca="1">IF(H970&lt;&gt;"",IF(H970&lt;=TODAY(),"SI","NO"),"LIMBO")</f>
        <v>SI</v>
      </c>
      <c r="P970" s="63" t="str">
        <f>IF($P$1=H970,"DIASOL", "DIANOSOL")</f>
        <v>DIANOSOL</v>
      </c>
      <c r="Q970" s="63" t="s">
        <v>897</v>
      </c>
      <c r="R970" s="63" t="str">
        <f>VLOOKUP($Q970,Resultados!$A$1:$B$49,2,FALSE)</f>
        <v>Libertad</v>
      </c>
      <c r="S970" s="63" t="s">
        <v>1601</v>
      </c>
      <c r="T970" s="81" t="str">
        <f>IF(G970=$J$1,"SI","NO")</f>
        <v>NO</v>
      </c>
      <c r="U970" s="81"/>
      <c r="V970" s="7" t="str">
        <f ca="1">IF(color_Celda(E970)=12106214,"ROSA",IF(color_Celda(E970)=65535,"AMARILLO",IF(color_Celda(E970)=5296274,"VERDE",IF(color_Celda(E970)=16777215,"BLANCO","NO SE"))))</f>
        <v>ROSA</v>
      </c>
      <c r="W970" s="63" t="s">
        <v>1458</v>
      </c>
      <c r="X970" s="63" t="s">
        <v>4347</v>
      </c>
      <c r="Y970" s="336"/>
      <c r="Z970" s="63" t="s">
        <v>3368</v>
      </c>
      <c r="AA970" s="336"/>
      <c r="AB970" s="63" t="s">
        <v>3322</v>
      </c>
      <c r="AC970" s="336"/>
    </row>
    <row r="971" spans="1:29" ht="60" customHeight="1">
      <c r="A971" s="336">
        <v>954</v>
      </c>
      <c r="B971" s="349">
        <v>45257</v>
      </c>
      <c r="C971" s="568">
        <v>0.38194444444444442</v>
      </c>
      <c r="D971" s="63" t="s">
        <v>3891</v>
      </c>
      <c r="E971" s="64" t="s">
        <v>4046</v>
      </c>
      <c r="F971" s="336">
        <v>3</v>
      </c>
      <c r="G971" s="336" t="s">
        <v>1435</v>
      </c>
      <c r="H971" s="383">
        <v>45259</v>
      </c>
      <c r="I971" s="65" t="s">
        <v>1083</v>
      </c>
      <c r="J971" s="349" t="s">
        <v>33</v>
      </c>
      <c r="K971" s="336">
        <f>IFERROR(VLOOKUP(J971,Jueces!$A$1:$B$11,2,FALSE),"")</f>
        <v>4</v>
      </c>
      <c r="L971" s="63" t="s">
        <v>791</v>
      </c>
      <c r="M971" s="63" t="s">
        <v>3755</v>
      </c>
      <c r="N971" s="63" t="s">
        <v>4352</v>
      </c>
      <c r="O971" s="78" t="str">
        <f ca="1">IF(H971&lt;&gt;"",IF(H971&lt;=TODAY(),"SI","NO"),"LIMBO")</f>
        <v>SI</v>
      </c>
      <c r="P971" s="63" t="str">
        <f>IF($P$1=H971,"DIASOL", "DIANOSOL")</f>
        <v>DIANOSOL</v>
      </c>
      <c r="Q971" s="63" t="s">
        <v>1010</v>
      </c>
      <c r="R971" s="63" t="str">
        <f>VLOOKUP($Q971,Resultados!$A$1:$B$49,2,FALSE)</f>
        <v>Suspendida</v>
      </c>
      <c r="S971" s="63"/>
      <c r="T971" s="81" t="str">
        <f>IF(G971=$J$1,"SI","NO")</f>
        <v>SI</v>
      </c>
      <c r="U971" s="81"/>
      <c r="V971" s="7" t="str">
        <f ca="1">IF(color_Celda(E971)=12106214,"ROSA",IF(color_Celda(E971)=65535,"AMARILLO",IF(color_Celda(E971)=5296274,"VERDE",IF(color_Celda(E971)=16777215,"BLANCO","NO SE"))))</f>
        <v>ROSA</v>
      </c>
      <c r="W971" s="336"/>
      <c r="X971" s="336"/>
      <c r="Y971" s="336"/>
      <c r="Z971" s="63" t="s">
        <v>748</v>
      </c>
      <c r="AA971" s="118" t="s">
        <v>2828</v>
      </c>
      <c r="AB971" s="63" t="s">
        <v>1171</v>
      </c>
      <c r="AC971" s="336"/>
    </row>
    <row r="972" spans="1:29" ht="60" customHeight="1">
      <c r="A972" s="63">
        <v>940</v>
      </c>
      <c r="B972" s="65">
        <v>45236</v>
      </c>
      <c r="C972" s="70">
        <v>0.52638888888888891</v>
      </c>
      <c r="D972" s="63" t="s">
        <v>3847</v>
      </c>
      <c r="E972" s="64" t="s">
        <v>3848</v>
      </c>
      <c r="F972" s="63">
        <v>4</v>
      </c>
      <c r="G972" s="63" t="s">
        <v>3323</v>
      </c>
      <c r="H972" s="208">
        <v>45259</v>
      </c>
      <c r="I972" s="65" t="s">
        <v>1206</v>
      </c>
      <c r="J972" s="65" t="s">
        <v>78</v>
      </c>
      <c r="K972" s="63">
        <f>IFERROR(VLOOKUP(J972,Jueces!$A$1:$B$11,2,FALSE),"")</f>
        <v>8</v>
      </c>
      <c r="L972" s="63" t="s">
        <v>798</v>
      </c>
      <c r="M972" s="7" t="s">
        <v>1960</v>
      </c>
      <c r="N972" s="63" t="s">
        <v>4353</v>
      </c>
      <c r="O972" s="78" t="str">
        <f ca="1">IF(H972&lt;&gt;"",IF(H972&lt;=TODAY(),"SI","NO"),"LIMBO")</f>
        <v>SI</v>
      </c>
      <c r="P972" s="63" t="str">
        <f>IF($P$1=H972,"DIASOL", "DIANOSOL")</f>
        <v>DIANOSOL</v>
      </c>
      <c r="Q972" s="63" t="s">
        <v>902</v>
      </c>
      <c r="R972" s="63" t="str">
        <f>VLOOKUP($Q972,Resultados!$A$1:$B$49,2,FALSE)</f>
        <v>Juicio Abreviado</v>
      </c>
      <c r="S972" s="63" t="s">
        <v>3360</v>
      </c>
      <c r="T972" s="81" t="str">
        <f>IF(G972=$J$1,"SI","NO")</f>
        <v>NO</v>
      </c>
      <c r="U972" s="81"/>
      <c r="V972" s="7" t="str">
        <f ca="1">IF(color_Celda(E972)=12106214,"ROSA",IF(color_Celda(E972)=65535,"AMARILLO",IF(color_Celda(E972)=5296274,"VERDE",IF(color_Celda(E972)=16777215,"BLANCO","NO SE"))))</f>
        <v>ROSA</v>
      </c>
      <c r="W972" s="63" t="s">
        <v>1272</v>
      </c>
      <c r="X972" s="63" t="s">
        <v>2552</v>
      </c>
      <c r="Y972" s="63"/>
      <c r="Z972" s="63" t="s">
        <v>770</v>
      </c>
      <c r="AA972" s="118" t="s">
        <v>2869</v>
      </c>
      <c r="AB972" s="63" t="s">
        <v>1173</v>
      </c>
      <c r="AC972" s="336"/>
    </row>
    <row r="973" spans="1:29" ht="60" customHeight="1">
      <c r="A973" s="63">
        <v>943</v>
      </c>
      <c r="B973" s="65">
        <v>45237</v>
      </c>
      <c r="C973" s="70">
        <v>0.33333333333333331</v>
      </c>
      <c r="D973" s="63" t="s">
        <v>3852</v>
      </c>
      <c r="E973" s="64" t="s">
        <v>3853</v>
      </c>
      <c r="F973" s="63">
        <v>4</v>
      </c>
      <c r="G973" s="63" t="s">
        <v>2752</v>
      </c>
      <c r="H973" s="208">
        <v>45259</v>
      </c>
      <c r="I973" s="65" t="s">
        <v>3171</v>
      </c>
      <c r="J973" s="65" t="s">
        <v>1216</v>
      </c>
      <c r="K973" s="63" t="s">
        <v>3890</v>
      </c>
      <c r="L973" s="63" t="s">
        <v>805</v>
      </c>
      <c r="M973" s="365" t="s">
        <v>1866</v>
      </c>
      <c r="N973" s="63" t="s">
        <v>4348</v>
      </c>
      <c r="O973" s="78" t="str">
        <f ca="1">IF(H973&lt;&gt;"",IF(H973&lt;=TODAY(),"SI","NO"),"LIMBO")</f>
        <v>SI</v>
      </c>
      <c r="P973" s="63" t="str">
        <f>IF($P$1=H973,"DIASOL", "DIANOSOL")</f>
        <v>DIANOSOL</v>
      </c>
      <c r="Q973" s="63" t="s">
        <v>902</v>
      </c>
      <c r="R973" s="63" t="str">
        <f>VLOOKUP($Q973,Resultados!$A$1:$B$49,2,FALSE)</f>
        <v>Juicio Abreviado</v>
      </c>
      <c r="S973" s="63" t="s">
        <v>4349</v>
      </c>
      <c r="T973" s="81" t="str">
        <f>IF(G973=$J$1,"SI","NO")</f>
        <v>NO</v>
      </c>
      <c r="U973" s="81"/>
      <c r="V973" s="7" t="str">
        <f ca="1">IF(color_Celda(E973)=12106214,"ROSA",IF(color_Celda(E973)=65535,"AMARILLO",IF(color_Celda(E973)=5296274,"VERDE",IF(color_Celda(E973)=16777215,"BLANCO","NO SE"))))</f>
        <v>ROSA</v>
      </c>
      <c r="W973" s="63" t="s">
        <v>1554</v>
      </c>
      <c r="X973" s="63" t="s">
        <v>3155</v>
      </c>
      <c r="Y973" s="63"/>
      <c r="Z973" s="63" t="s">
        <v>3368</v>
      </c>
      <c r="AA973" s="118" t="s">
        <v>2869</v>
      </c>
      <c r="AB973" s="63" t="s">
        <v>1170</v>
      </c>
      <c r="AC973" s="336"/>
    </row>
    <row r="974" spans="1:29" ht="60" customHeight="1">
      <c r="A974" s="336">
        <v>1054</v>
      </c>
      <c r="B974" s="349">
        <v>45236</v>
      </c>
      <c r="C974" s="568">
        <v>0.51111111111111118</v>
      </c>
      <c r="D974" s="336" t="s">
        <v>3844</v>
      </c>
      <c r="E974" s="355" t="s">
        <v>3845</v>
      </c>
      <c r="F974" s="336">
        <v>3</v>
      </c>
      <c r="G974" s="336" t="s">
        <v>29</v>
      </c>
      <c r="H974" s="383">
        <v>45259</v>
      </c>
      <c r="I974" s="65" t="s">
        <v>547</v>
      </c>
      <c r="J974" s="349" t="s">
        <v>1217</v>
      </c>
      <c r="K974" s="63" t="s">
        <v>3989</v>
      </c>
      <c r="L974" s="63" t="s">
        <v>795</v>
      </c>
      <c r="M974" s="356" t="s">
        <v>4217</v>
      </c>
      <c r="N974" s="63" t="s">
        <v>4354</v>
      </c>
      <c r="O974" s="78" t="str">
        <f ca="1">IF(H974&lt;&gt;"",IF(H974&lt;=TODAY(),"SI","NO"),"LIMBO")</f>
        <v>SI</v>
      </c>
      <c r="P974" s="63" t="str">
        <f>IF($P$1=H974,"DIASOL", "DIANOSOL")</f>
        <v>DIANOSOL</v>
      </c>
      <c r="Q974" s="63" t="s">
        <v>910</v>
      </c>
      <c r="R974" s="63" t="str">
        <f>VLOOKUP($Q974,Resultados!$A$1:$B$49,2,FALSE)</f>
        <v>Suspendida</v>
      </c>
      <c r="S974" s="63" t="s">
        <v>3203</v>
      </c>
      <c r="T974" s="81" t="str">
        <f>IF(G974=$J$1,"SI","NO")</f>
        <v>NO</v>
      </c>
      <c r="U974" s="81"/>
      <c r="V974" s="7" t="str">
        <f ca="1">IF(color_Celda(E974)=12106214,"ROSA",IF(color_Celda(E974)=65535,"AMARILLO",IF(color_Celda(E974)=5296274,"VERDE",IF(color_Celda(E974)=16777215,"BLANCO","NO SE"))))</f>
        <v>ROSA</v>
      </c>
      <c r="W974" s="63" t="s">
        <v>1237</v>
      </c>
      <c r="X974" s="63" t="s">
        <v>4355</v>
      </c>
      <c r="Y974" s="336"/>
      <c r="Z974" s="63" t="s">
        <v>770</v>
      </c>
      <c r="AA974" s="336"/>
      <c r="AB974" s="63" t="s">
        <v>3258</v>
      </c>
      <c r="AC974" s="336"/>
    </row>
    <row r="975" spans="1:29" ht="60" customHeight="1">
      <c r="A975" s="336">
        <v>969</v>
      </c>
      <c r="B975" s="349">
        <v>45240</v>
      </c>
      <c r="C975" s="568">
        <v>0.3576388888888889</v>
      </c>
      <c r="D975" s="63" t="s">
        <v>3949</v>
      </c>
      <c r="E975" s="64" t="s">
        <v>3986</v>
      </c>
      <c r="F975" s="336">
        <v>4</v>
      </c>
      <c r="G975" s="336" t="s">
        <v>2766</v>
      </c>
      <c r="H975" s="383">
        <v>45260</v>
      </c>
      <c r="I975" s="65" t="s">
        <v>73</v>
      </c>
      <c r="J975" s="349" t="s">
        <v>78</v>
      </c>
      <c r="K975" s="336">
        <f>IFERROR(VLOOKUP(J975,Jueces!$A$1:$B$11,2,FALSE),"")</f>
        <v>8</v>
      </c>
      <c r="L975" s="63" t="s">
        <v>807</v>
      </c>
      <c r="M975" s="63" t="s">
        <v>1866</v>
      </c>
      <c r="N975" s="63" t="s">
        <v>4356</v>
      </c>
      <c r="O975" s="78" t="str">
        <f ca="1">IF(H975&lt;&gt;"",IF(H975&lt;=TODAY(),"SI","NO"),"LIMBO")</f>
        <v>SI</v>
      </c>
      <c r="P975" s="63" t="str">
        <f>IF($P$1=H975,"DIASOL", "DIANOSOL")</f>
        <v>DIANOSOL</v>
      </c>
      <c r="Q975" s="63" t="s">
        <v>151</v>
      </c>
      <c r="R975" s="63" t="str">
        <f>VLOOKUP($Q975,Resultados!$A$1:$B$49,2,FALSE)</f>
        <v>Prisión Preventiva</v>
      </c>
      <c r="S975" s="63" t="s">
        <v>2659</v>
      </c>
      <c r="T975" s="81" t="str">
        <f>IF(G975=$J$1,"SI","NO")</f>
        <v>NO</v>
      </c>
      <c r="U975" s="81"/>
      <c r="V975" s="7" t="str">
        <f ca="1">IF(color_Celda(E975)=12106214,"ROSA",IF(color_Celda(E975)=65535,"AMARILLO",IF(color_Celda(E975)=5296274,"VERDE",IF(color_Celda(E975)=16777215,"BLANCO","NO SE"))))</f>
        <v>ROSA</v>
      </c>
      <c r="W975" s="63" t="s">
        <v>1579</v>
      </c>
      <c r="X975" s="63" t="s">
        <v>4357</v>
      </c>
      <c r="Y975" s="336"/>
      <c r="Z975" s="63" t="s">
        <v>748</v>
      </c>
      <c r="AA975" s="118" t="s">
        <v>1167</v>
      </c>
      <c r="AB975" s="63" t="s">
        <v>3322</v>
      </c>
      <c r="AC975" s="336"/>
    </row>
    <row r="976" spans="1:29" ht="60" customHeight="1">
      <c r="A976" s="336">
        <v>970</v>
      </c>
      <c r="B976" s="349">
        <v>45240</v>
      </c>
      <c r="C976" s="568">
        <v>0.35486111111111113</v>
      </c>
      <c r="D976" s="63" t="s">
        <v>3950</v>
      </c>
      <c r="E976" s="64" t="s">
        <v>3951</v>
      </c>
      <c r="F976" s="336">
        <v>3</v>
      </c>
      <c r="G976" s="336" t="s">
        <v>1434</v>
      </c>
      <c r="H976" s="383">
        <v>45260</v>
      </c>
      <c r="I976" s="65" t="s">
        <v>73</v>
      </c>
      <c r="J976" s="349" t="s">
        <v>31</v>
      </c>
      <c r="K976" s="336">
        <f>IFERROR(VLOOKUP(J976,Jueces!$A$1:$B$11,2,FALSE),"")</f>
        <v>2</v>
      </c>
      <c r="L976" s="63" t="s">
        <v>810</v>
      </c>
      <c r="M976" s="388" t="s">
        <v>3978</v>
      </c>
      <c r="N976" s="63" t="s">
        <v>4366</v>
      </c>
      <c r="O976" s="78" t="str">
        <f ca="1">IF(H976&lt;&gt;"",IF(H976&lt;=TODAY(),"SI","NO"),"LIMBO")</f>
        <v>SI</v>
      </c>
      <c r="P976" s="63" t="str">
        <f>IF($P$1=H976,"DIASOL", "DIANOSOL")</f>
        <v>DIANOSOL</v>
      </c>
      <c r="Q976" s="63" t="s">
        <v>911</v>
      </c>
      <c r="R976" s="63" t="str">
        <f>VLOOKUP($Q976,Resultados!$A$1:$B$49,2,FALSE)</f>
        <v>Prision domiciliaria</v>
      </c>
      <c r="S976" s="63" t="s">
        <v>1270</v>
      </c>
      <c r="T976" s="81" t="str">
        <f>IF(G976=$J$1,"SI","NO")</f>
        <v>NO</v>
      </c>
      <c r="U976" s="81"/>
      <c r="V976" s="7" t="str">
        <f ca="1">IF(color_Celda(E976)=12106214,"ROSA",IF(color_Celda(E976)=65535,"AMARILLO",IF(color_Celda(E976)=5296274,"VERDE",IF(color_Celda(E976)=16777215,"BLANCO","NO SE"))))</f>
        <v>ROSA</v>
      </c>
      <c r="W976" s="63" t="s">
        <v>4052</v>
      </c>
      <c r="X976" s="63" t="s">
        <v>4367</v>
      </c>
      <c r="Y976" s="336"/>
      <c r="Z976" s="63" t="s">
        <v>1038</v>
      </c>
      <c r="AA976" s="118" t="s">
        <v>1165</v>
      </c>
      <c r="AB976" s="63" t="s">
        <v>1173</v>
      </c>
      <c r="AC976" s="336"/>
    </row>
    <row r="977" spans="1:29" ht="60" customHeight="1">
      <c r="A977" s="336">
        <v>971</v>
      </c>
      <c r="B977" s="349">
        <v>45240</v>
      </c>
      <c r="C977" s="568">
        <v>0.36874999999999997</v>
      </c>
      <c r="D977" s="63" t="s">
        <v>3952</v>
      </c>
      <c r="E977" s="64" t="s">
        <v>3953</v>
      </c>
      <c r="F977" s="336">
        <v>3</v>
      </c>
      <c r="G977" s="336" t="s">
        <v>2815</v>
      </c>
      <c r="H977" s="383">
        <v>45260</v>
      </c>
      <c r="I977" s="65" t="s">
        <v>73</v>
      </c>
      <c r="J977" s="349" t="s">
        <v>1217</v>
      </c>
      <c r="K977" s="336">
        <f>IFERROR(VLOOKUP(J977,Jueces!$A$1:$B$11,2,FALSE),"")</f>
        <v>7</v>
      </c>
      <c r="L977" s="63" t="s">
        <v>799</v>
      </c>
      <c r="M977" s="63" t="s">
        <v>695</v>
      </c>
      <c r="N977" s="205" t="s">
        <v>4360</v>
      </c>
      <c r="O977" s="78" t="str">
        <f ca="1">IF(H977&lt;&gt;"",IF(H977&lt;=TODAY(),"SI","NO"),"LIMBO")</f>
        <v>SI</v>
      </c>
      <c r="P977" s="63" t="str">
        <f>IF($P$1=H977,"DIASOL", "DIANOSOL")</f>
        <v>DIANOSOL</v>
      </c>
      <c r="Q977" s="63" t="s">
        <v>151</v>
      </c>
      <c r="R977" s="63" t="str">
        <f>VLOOKUP($Q977,Resultados!$A$1:$B$49,2,FALSE)</f>
        <v>Prisión Preventiva</v>
      </c>
      <c r="S977" s="63" t="s">
        <v>2238</v>
      </c>
      <c r="T977" s="81" t="str">
        <f>IF(G977=$J$1,"SI","NO")</f>
        <v>NO</v>
      </c>
      <c r="U977" s="81"/>
      <c r="V977" s="7" t="str">
        <f ca="1">IF(color_Celda(E977)=12106214,"ROSA",IF(color_Celda(E977)=65535,"AMARILLO",IF(color_Celda(E977)=5296274,"VERDE",IF(color_Celda(E977)=16777215,"BLANCO","NO SE"))))</f>
        <v>ROSA</v>
      </c>
      <c r="W977" s="63" t="s">
        <v>1001</v>
      </c>
      <c r="X977" s="63" t="s">
        <v>4361</v>
      </c>
      <c r="Y977" s="63"/>
      <c r="Z977" s="63" t="s">
        <v>3368</v>
      </c>
      <c r="AA977" s="118" t="s">
        <v>2869</v>
      </c>
      <c r="AB977" s="63" t="s">
        <v>1170</v>
      </c>
      <c r="AC977" s="336"/>
    </row>
    <row r="978" spans="1:29" ht="60" customHeight="1">
      <c r="A978" s="336">
        <v>962</v>
      </c>
      <c r="B978" s="349">
        <v>45257</v>
      </c>
      <c r="C978" s="568">
        <v>0.40763888888888888</v>
      </c>
      <c r="D978" s="63" t="s">
        <v>3924</v>
      </c>
      <c r="E978" s="64" t="s">
        <v>3925</v>
      </c>
      <c r="F978" s="336">
        <v>1</v>
      </c>
      <c r="G978" s="336" t="s">
        <v>283</v>
      </c>
      <c r="H978" s="383">
        <v>45260</v>
      </c>
      <c r="I978" s="65" t="s">
        <v>73</v>
      </c>
      <c r="J978" s="349" t="s">
        <v>33</v>
      </c>
      <c r="K978" s="336">
        <f>IFERROR(VLOOKUP(J978,Jueces!$A$1:$B$11,2,FALSE),"")</f>
        <v>4</v>
      </c>
      <c r="L978" s="63" t="s">
        <v>1067</v>
      </c>
      <c r="M978" s="339" t="s">
        <v>3381</v>
      </c>
      <c r="N978" s="63" t="s">
        <v>621</v>
      </c>
      <c r="O978" s="78" t="str">
        <f ca="1">IF(H978&lt;&gt;"",IF(H978&lt;=TODAY(),"SI","NO"),"LIMBO")</f>
        <v>SI</v>
      </c>
      <c r="P978" s="63" t="str">
        <f>IF($P$1=H978,"DIASOL", "DIANOSOL")</f>
        <v>DIANOSOL</v>
      </c>
      <c r="Q978" s="63" t="s">
        <v>151</v>
      </c>
      <c r="R978" s="63" t="str">
        <f>VLOOKUP($Q978,Resultados!$A$1:$B$49,2,FALSE)</f>
        <v>Prisión Preventiva</v>
      </c>
      <c r="S978" s="63" t="s">
        <v>1576</v>
      </c>
      <c r="T978" s="81" t="str">
        <f>IF(G978=$J$1,"SI","NO")</f>
        <v>NO</v>
      </c>
      <c r="U978" s="81"/>
      <c r="V978" s="7" t="str">
        <f ca="1">IF(color_Celda(E978)=12106214,"ROSA",IF(color_Celda(E978)=65535,"AMARILLO",IF(color_Celda(E978)=5296274,"VERDE",IF(color_Celda(E978)=16777215,"BLANCO","NO SE"))))</f>
        <v>ROSA</v>
      </c>
      <c r="W978" s="63" t="s">
        <v>2935</v>
      </c>
      <c r="X978" s="63" t="s">
        <v>4365</v>
      </c>
      <c r="Y978" s="336"/>
      <c r="Z978" s="63" t="s">
        <v>770</v>
      </c>
      <c r="AA978" s="118" t="s">
        <v>3378</v>
      </c>
      <c r="AB978" s="63" t="s">
        <v>1171</v>
      </c>
      <c r="AC978" s="336"/>
    </row>
    <row r="979" spans="1:29" ht="60" customHeight="1">
      <c r="A979" s="336">
        <v>989</v>
      </c>
      <c r="B979" s="349">
        <v>45258</v>
      </c>
      <c r="C979" s="70">
        <v>0.33333333333333331</v>
      </c>
      <c r="D979" s="325" t="s">
        <v>2697</v>
      </c>
      <c r="E979" s="64" t="s">
        <v>4015</v>
      </c>
      <c r="F979" s="336">
        <v>7</v>
      </c>
      <c r="G979" s="63" t="s">
        <v>43</v>
      </c>
      <c r="H979" s="383">
        <v>45260</v>
      </c>
      <c r="I979" s="65" t="s">
        <v>73</v>
      </c>
      <c r="J979" s="349" t="s">
        <v>1216</v>
      </c>
      <c r="K979" s="336">
        <f>IFERROR(VLOOKUP(J979,Jueces!$A$1:$B$11,2,FALSE),"")</f>
        <v>1</v>
      </c>
      <c r="L979" s="63" t="s">
        <v>582</v>
      </c>
      <c r="M979" s="339" t="s">
        <v>2268</v>
      </c>
      <c r="N979" s="63" t="s">
        <v>621</v>
      </c>
      <c r="O979" s="78" t="str">
        <f ca="1">IF(H979&lt;&gt;"",IF(H979&lt;=TODAY(),"SI","NO"),"LIMBO")</f>
        <v>SI</v>
      </c>
      <c r="P979" s="63" t="str">
        <f>IF($P$1=H979,"DIASOL", "DIANOSOL")</f>
        <v>DIANOSOL</v>
      </c>
      <c r="Q979" s="63" t="s">
        <v>151</v>
      </c>
      <c r="R979" s="63" t="str">
        <f>VLOOKUP($Q979,Resultados!$A$1:$B$49,2,FALSE)</f>
        <v>Prisión Preventiva</v>
      </c>
      <c r="S979" s="63" t="s">
        <v>4363</v>
      </c>
      <c r="T979" s="81" t="str">
        <f>IF(G979=$J$1,"SI","NO")</f>
        <v>NO</v>
      </c>
      <c r="U979" s="81"/>
      <c r="V979" s="7" t="str">
        <f ca="1">IF(color_Celda(E979)=12106214,"ROSA",IF(color_Celda(E979)=65535,"AMARILLO",IF(color_Celda(E979)=5296274,"VERDE",IF(color_Celda(E979)=16777215,"BLANCO","NO SE"))))</f>
        <v>ROSA</v>
      </c>
      <c r="W979" s="63" t="s">
        <v>2499</v>
      </c>
      <c r="X979" s="63" t="s">
        <v>4364</v>
      </c>
      <c r="Y979" s="336"/>
      <c r="Z979" s="63" t="s">
        <v>1039</v>
      </c>
      <c r="AA979" s="118"/>
      <c r="AB979" s="63" t="s">
        <v>3258</v>
      </c>
      <c r="AC979" s="336" t="s">
        <v>1792</v>
      </c>
    </row>
    <row r="980" spans="1:29" ht="60" customHeight="1">
      <c r="A980" s="328">
        <v>964</v>
      </c>
      <c r="B980" s="376">
        <v>45239</v>
      </c>
      <c r="C980" s="377">
        <v>0.46875</v>
      </c>
      <c r="D980" s="7" t="s">
        <v>3931</v>
      </c>
      <c r="E980" s="40" t="s">
        <v>3932</v>
      </c>
      <c r="F980" s="328">
        <v>4</v>
      </c>
      <c r="G980" s="328" t="s">
        <v>1435</v>
      </c>
      <c r="H980" s="493">
        <v>45260</v>
      </c>
      <c r="I980" s="19" t="s">
        <v>1083</v>
      </c>
      <c r="J980" s="376" t="s">
        <v>1221</v>
      </c>
      <c r="K980" s="328">
        <f>IFERROR(VLOOKUP(J980,Jueces!$A$1:$B$11,2,FALSE),"")</f>
        <v>6</v>
      </c>
      <c r="L980" s="7" t="s">
        <v>810</v>
      </c>
      <c r="M980" s="394" t="s">
        <v>1866</v>
      </c>
      <c r="N980" s="7" t="s">
        <v>4359</v>
      </c>
      <c r="O980" s="76" t="str">
        <f ca="1">IF(H980&lt;&gt;"",IF(H980&lt;=TODAY(),"SI","NO"),"LIMBO")</f>
        <v>SI</v>
      </c>
      <c r="P980" s="63" t="str">
        <f>IF($P$1=H980,"DIASOL", "DIANOSOL")</f>
        <v>DIANOSOL</v>
      </c>
      <c r="Q980" s="7" t="s">
        <v>902</v>
      </c>
      <c r="R980" s="7" t="str">
        <f>VLOOKUP($Q980,Resultados!$A$1:$B$49,2,FALSE)</f>
        <v>Juicio Abreviado</v>
      </c>
      <c r="S980" s="7" t="s">
        <v>1134</v>
      </c>
      <c r="T980" s="342" t="str">
        <f>IF(G980=$J$1,"SI","NO")</f>
        <v>SI</v>
      </c>
      <c r="U980" s="342"/>
      <c r="V980" s="7" t="str">
        <f ca="1">IF(color_Celda(E980)=12106214,"ROSA",IF(color_Celda(E980)=65535,"AMARILLO",IF(color_Celda(E980)=5296274,"VERDE",IF(color_Celda(E980)=16777215,"BLANCO","NO SE"))))</f>
        <v>ROSA</v>
      </c>
      <c r="W980" s="7" t="s">
        <v>1294</v>
      </c>
      <c r="X980" s="328"/>
      <c r="Y980" s="328"/>
      <c r="Z980" s="7" t="s">
        <v>743</v>
      </c>
      <c r="AA980" s="268" t="s">
        <v>2828</v>
      </c>
      <c r="AB980" s="7" t="s">
        <v>1171</v>
      </c>
      <c r="AC980" s="328"/>
    </row>
    <row r="981" spans="1:29" ht="60" customHeight="1">
      <c r="A981" s="336">
        <v>978</v>
      </c>
      <c r="B981" s="349">
        <v>45240</v>
      </c>
      <c r="C981" s="568">
        <v>0.4458333333333333</v>
      </c>
      <c r="D981" s="63" t="s">
        <v>3964</v>
      </c>
      <c r="E981" s="64" t="s">
        <v>3965</v>
      </c>
      <c r="F981" s="336">
        <v>3</v>
      </c>
      <c r="G981" s="336" t="s">
        <v>1433</v>
      </c>
      <c r="H981" s="383">
        <v>45260</v>
      </c>
      <c r="I981" s="65" t="s">
        <v>1083</v>
      </c>
      <c r="J981" s="349" t="s">
        <v>1217</v>
      </c>
      <c r="K981" s="336">
        <f>IFERROR(VLOOKUP(J981,Jueces!$A$1:$B$11,2,FALSE),"")</f>
        <v>7</v>
      </c>
      <c r="L981" s="63" t="s">
        <v>805</v>
      </c>
      <c r="M981" s="365" t="s">
        <v>694</v>
      </c>
      <c r="N981" s="63" t="s">
        <v>4362</v>
      </c>
      <c r="O981" s="78" t="str">
        <f ca="1">IF(H981&lt;&gt;"",IF(H981&lt;=TODAY(),"SI","NO"),"LIMBO")</f>
        <v>SI</v>
      </c>
      <c r="P981" s="63" t="str">
        <f>IF($P$1=H981,"DIASOL", "DIANOSOL")</f>
        <v>DIANOSOL</v>
      </c>
      <c r="Q981" s="63" t="s">
        <v>903</v>
      </c>
      <c r="R981" s="63" t="str">
        <f>VLOOKUP($Q981,Resultados!$A$1:$B$49,2,FALSE)</f>
        <v>Juicio Abreviado</v>
      </c>
      <c r="S981" s="63" t="s">
        <v>1367</v>
      </c>
      <c r="T981" s="81" t="str">
        <f>IF(G981=$J$1,"SI","NO")</f>
        <v>NO</v>
      </c>
      <c r="U981" s="81"/>
      <c r="V981" s="7" t="str">
        <f ca="1">IF(color_Celda(E981)=12106214,"ROSA",IF(color_Celda(E981)=65535,"AMARILLO",IF(color_Celda(E981)=5296274,"VERDE",IF(color_Celda(E981)=16777215,"BLANCO","NO SE"))))</f>
        <v>ROSA</v>
      </c>
      <c r="W981" s="63" t="s">
        <v>3253</v>
      </c>
      <c r="X981" s="63" t="s">
        <v>3155</v>
      </c>
      <c r="Y981" s="336"/>
      <c r="Z981" s="63" t="s">
        <v>3368</v>
      </c>
      <c r="AA981" s="118" t="s">
        <v>2869</v>
      </c>
      <c r="AB981" s="63" t="s">
        <v>3322</v>
      </c>
      <c r="AC981" s="336"/>
    </row>
    <row r="982" spans="1:29" ht="60" customHeight="1">
      <c r="A982" s="336">
        <v>986</v>
      </c>
      <c r="B982" s="349">
        <v>45243</v>
      </c>
      <c r="C982" s="568">
        <v>0.41388888888888892</v>
      </c>
      <c r="D982" s="325" t="s">
        <v>2760</v>
      </c>
      <c r="E982" s="64" t="s">
        <v>3987</v>
      </c>
      <c r="F982" s="336">
        <v>7</v>
      </c>
      <c r="G982" s="336" t="s">
        <v>568</v>
      </c>
      <c r="H982" s="383">
        <v>45260</v>
      </c>
      <c r="I982" s="65" t="s">
        <v>1083</v>
      </c>
      <c r="J982" s="349" t="s">
        <v>35</v>
      </c>
      <c r="K982" s="336">
        <f>IFERROR(VLOOKUP(J982,Jueces!$A$1:$B$11,2,FALSE),"")</f>
        <v>3</v>
      </c>
      <c r="L982" s="63" t="s">
        <v>582</v>
      </c>
      <c r="M982" s="395" t="s">
        <v>3394</v>
      </c>
      <c r="N982" s="7" t="s">
        <v>4358</v>
      </c>
      <c r="O982" s="78" t="str">
        <f ca="1">IF(H982&lt;&gt;"",IF(H982&lt;=TODAY(),"SI","NO"),"LIMBO")</f>
        <v>SI</v>
      </c>
      <c r="P982" s="63" t="str">
        <f>IF($P$1=H982,"DIASOL", "DIANOSOL")</f>
        <v>DIANOSOL</v>
      </c>
      <c r="Q982" s="63" t="s">
        <v>902</v>
      </c>
      <c r="R982" s="63" t="str">
        <f>VLOOKUP($Q982,Resultados!$A$1:$B$49,2,FALSE)</f>
        <v>Juicio Abreviado</v>
      </c>
      <c r="S982" s="63" t="s">
        <v>1164</v>
      </c>
      <c r="T982" s="81" t="str">
        <f>IF(G982=$J$1,"SI","NO")</f>
        <v>NO</v>
      </c>
      <c r="U982" s="81"/>
      <c r="V982" s="7" t="str">
        <f ca="1">IF(color_Celda(E982)=12106214,"ROSA",IF(color_Celda(E982)=65535,"AMARILLO",IF(color_Celda(E982)=5296274,"VERDE",IF(color_Celda(E982)=16777215,"BLANCO","NO SE"))))</f>
        <v>ROSA</v>
      </c>
      <c r="W982" s="63" t="s">
        <v>1388</v>
      </c>
      <c r="X982" s="63" t="s">
        <v>2552</v>
      </c>
      <c r="Y982" s="336"/>
      <c r="Z982" s="63" t="s">
        <v>770</v>
      </c>
      <c r="AA982" s="336"/>
      <c r="AB982" s="63" t="s">
        <v>1173</v>
      </c>
      <c r="AC982" s="336" t="s">
        <v>1792</v>
      </c>
    </row>
    <row r="983" spans="1:29" ht="60" customHeight="1">
      <c r="A983" s="336">
        <v>1044</v>
      </c>
      <c r="B983" s="349">
        <v>45232</v>
      </c>
      <c r="C983" s="568">
        <v>0.53541666666666665</v>
      </c>
      <c r="D983" s="63" t="s">
        <v>3785</v>
      </c>
      <c r="E983" s="64" t="s">
        <v>4204</v>
      </c>
      <c r="F983" s="336">
        <v>4</v>
      </c>
      <c r="G983" s="63" t="s">
        <v>1433</v>
      </c>
      <c r="H983" s="383">
        <v>45261</v>
      </c>
      <c r="I983" s="65" t="s">
        <v>73</v>
      </c>
      <c r="J983" s="349" t="s">
        <v>31</v>
      </c>
      <c r="K983" s="336">
        <f>IFERROR(VLOOKUP(J983,Jueces!$A$1:$B$11,2,FALSE),"")</f>
        <v>2</v>
      </c>
      <c r="L983" s="63" t="s">
        <v>791</v>
      </c>
      <c r="M983" s="388" t="s">
        <v>1378</v>
      </c>
      <c r="N983" s="63" t="s">
        <v>4379</v>
      </c>
      <c r="O983" s="78" t="str">
        <f ca="1">IF(H983&lt;&gt;"",IF(H983&lt;=TODAY(),"SI","NO"),"LIMBO")</f>
        <v>SI</v>
      </c>
      <c r="P983" s="63" t="str">
        <f>IF($P$1=H983,"DIASOL", "DIANOSOL")</f>
        <v>DIANOSOL</v>
      </c>
      <c r="Q983" s="63" t="s">
        <v>897</v>
      </c>
      <c r="R983" s="63" t="str">
        <f>VLOOKUP($Q983,Resultados!$A$1:$B$49,2,FALSE)</f>
        <v>Libertad</v>
      </c>
      <c r="S983" s="63" t="s">
        <v>2238</v>
      </c>
      <c r="T983" s="81" t="str">
        <f>IF(G983=$J$1,"SI","NO")</f>
        <v>NO</v>
      </c>
      <c r="U983" s="81"/>
      <c r="V983" s="7" t="str">
        <f ca="1">IF(color_Celda(E983)=12106214,"ROSA",IF(color_Celda(E983)=65535,"AMARILLO",IF(color_Celda(E983)=5296274,"VERDE",IF(color_Celda(E983)=16777215,"BLANCO","NO SE"))))</f>
        <v>ROSA</v>
      </c>
      <c r="W983" s="63" t="s">
        <v>1083</v>
      </c>
      <c r="X983" s="63" t="s">
        <v>4380</v>
      </c>
      <c r="Y983" s="336"/>
      <c r="Z983" s="63" t="s">
        <v>1038</v>
      </c>
      <c r="AA983" s="118" t="s">
        <v>1165</v>
      </c>
      <c r="AB983" s="63" t="s">
        <v>1170</v>
      </c>
      <c r="AC983" s="336"/>
    </row>
    <row r="984" spans="1:29" ht="60" customHeight="1">
      <c r="A984" s="336">
        <v>960</v>
      </c>
      <c r="B984" s="349">
        <v>45239</v>
      </c>
      <c r="C984" s="568">
        <v>0.36874999999999997</v>
      </c>
      <c r="D984" s="63" t="s">
        <v>3923</v>
      </c>
      <c r="E984" s="64" t="s">
        <v>3981</v>
      </c>
      <c r="F984" s="336">
        <v>4</v>
      </c>
      <c r="G984" s="336" t="s">
        <v>3324</v>
      </c>
      <c r="H984" s="383">
        <v>45261</v>
      </c>
      <c r="I984" s="65" t="s">
        <v>73</v>
      </c>
      <c r="J984" s="349" t="s">
        <v>2925</v>
      </c>
      <c r="K984" s="63" t="s">
        <v>4057</v>
      </c>
      <c r="L984" s="63" t="s">
        <v>807</v>
      </c>
      <c r="M984" s="63" t="s">
        <v>1866</v>
      </c>
      <c r="N984" s="336" t="s">
        <v>4359</v>
      </c>
      <c r="O984" s="78" t="str">
        <f ca="1">IF(H984&lt;&gt;"",IF(H984&lt;=TODAY(),"SI","NO"),"LIMBO")</f>
        <v>SI</v>
      </c>
      <c r="P984" s="63" t="str">
        <f>IF($P$1=H984,"DIASOL", "DIANOSOL")</f>
        <v>DIANOSOL</v>
      </c>
      <c r="Q984" s="63" t="s">
        <v>902</v>
      </c>
      <c r="R984" s="63" t="s">
        <v>100</v>
      </c>
      <c r="S984" s="63" t="s">
        <v>1242</v>
      </c>
      <c r="T984" s="81" t="str">
        <f>IF(G984=$J$1,"SI","NO")</f>
        <v>NO</v>
      </c>
      <c r="U984" s="81"/>
      <c r="V984" s="7" t="str">
        <f ca="1">IF(color_Celda(E984)=12106214,"ROSA",IF(color_Celda(E984)=65535,"AMARILLO",IF(color_Celda(E984)=5296274,"VERDE",IF(color_Celda(E984)=16777215,"BLANCO","NO SE"))))</f>
        <v>ROSA</v>
      </c>
      <c r="W984" s="336" t="s">
        <v>1287</v>
      </c>
      <c r="X984" s="336" t="s">
        <v>4391</v>
      </c>
      <c r="Y984" s="336"/>
      <c r="Z984" s="63" t="s">
        <v>770</v>
      </c>
      <c r="AA984" s="118" t="s">
        <v>1167</v>
      </c>
      <c r="AB984" s="63" t="s">
        <v>1170</v>
      </c>
      <c r="AC984" s="336"/>
    </row>
    <row r="985" spans="1:29" ht="60" customHeight="1">
      <c r="A985" s="336">
        <v>963</v>
      </c>
      <c r="B985" s="349">
        <v>45239</v>
      </c>
      <c r="C985" s="568">
        <v>0.47291666666666665</v>
      </c>
      <c r="D985" s="63" t="s">
        <v>3929</v>
      </c>
      <c r="E985" s="64" t="s">
        <v>3930</v>
      </c>
      <c r="F985" s="336">
        <v>3</v>
      </c>
      <c r="G985" s="336" t="s">
        <v>283</v>
      </c>
      <c r="H985" s="383">
        <v>45261</v>
      </c>
      <c r="I985" s="65" t="s">
        <v>73</v>
      </c>
      <c r="J985" s="349" t="s">
        <v>2922</v>
      </c>
      <c r="K985" s="63" t="s">
        <v>3776</v>
      </c>
      <c r="L985" s="63" t="s">
        <v>808</v>
      </c>
      <c r="M985" s="63" t="s">
        <v>695</v>
      </c>
      <c r="N985" s="63" t="s">
        <v>621</v>
      </c>
      <c r="O985" s="78" t="str">
        <f ca="1">IF(H985&lt;&gt;"",IF(H985&lt;=TODAY(),"SI","NO"),"LIMBO")</f>
        <v>SI</v>
      </c>
      <c r="P985" s="63" t="str">
        <f>IF($P$1=H985,"DIASOL", "DIANOSOL")</f>
        <v>DIANOSOL</v>
      </c>
      <c r="Q985" s="63" t="s">
        <v>151</v>
      </c>
      <c r="R985" s="63" t="str">
        <f>VLOOKUP($Q985,Resultados!$A$1:$B$49,2,FALSE)</f>
        <v>Prisión Preventiva</v>
      </c>
      <c r="S985" s="63" t="s">
        <v>1671</v>
      </c>
      <c r="T985" s="81" t="str">
        <f>IF(G985=$J$1,"SI","NO")</f>
        <v>NO</v>
      </c>
      <c r="U985" s="81"/>
      <c r="V985" s="7" t="str">
        <f ca="1">IF(color_Celda(E985)=12106214,"ROSA",IF(color_Celda(E985)=65535,"AMARILLO",IF(color_Celda(E985)=5296274,"VERDE",IF(color_Celda(E985)=16777215,"BLANCO","NO SE"))))</f>
        <v>ROSA</v>
      </c>
      <c r="W985" s="63" t="s">
        <v>1558</v>
      </c>
      <c r="X985" s="336"/>
      <c r="Y985" s="336"/>
      <c r="Z985" s="63" t="s">
        <v>743</v>
      </c>
      <c r="AA985" s="118" t="s">
        <v>2828</v>
      </c>
      <c r="AB985" s="63" t="s">
        <v>3258</v>
      </c>
      <c r="AC985" s="336"/>
    </row>
    <row r="986" spans="1:29" ht="60" customHeight="1">
      <c r="A986" s="336">
        <v>973</v>
      </c>
      <c r="B986" s="349">
        <v>45240</v>
      </c>
      <c r="C986" s="63" t="s">
        <v>3955</v>
      </c>
      <c r="D986" s="63" t="s">
        <v>2824</v>
      </c>
      <c r="E986" s="64" t="s">
        <v>3956</v>
      </c>
      <c r="F986" s="336">
        <v>8</v>
      </c>
      <c r="G986" s="336" t="s">
        <v>568</v>
      </c>
      <c r="H986" s="383">
        <v>45261</v>
      </c>
      <c r="I986" s="65" t="s">
        <v>73</v>
      </c>
      <c r="J986" s="349" t="s">
        <v>33</v>
      </c>
      <c r="K986" s="336">
        <f>IFERROR(VLOOKUP(J986,Jueces!$A$1:$B$11,2,FALSE),"")</f>
        <v>4</v>
      </c>
      <c r="L986" s="63" t="s">
        <v>799</v>
      </c>
      <c r="M986" s="356" t="s">
        <v>1084</v>
      </c>
      <c r="N986" s="336" t="s">
        <v>4383</v>
      </c>
      <c r="O986" s="78" t="str">
        <f ca="1">IF(H986&lt;&gt;"",IF(H986&lt;=TODAY(),"SI","NO"),"LIMBO")</f>
        <v>SI</v>
      </c>
      <c r="P986" s="63" t="str">
        <f>IF($P$1=H986,"DIASOL", "DIANOSOL")</f>
        <v>DIANOSOL</v>
      </c>
      <c r="Q986" s="63" t="s">
        <v>897</v>
      </c>
      <c r="R986" s="63" t="s">
        <v>900</v>
      </c>
      <c r="S986" s="63" t="s">
        <v>3094</v>
      </c>
      <c r="T986" s="81" t="str">
        <f>IF(G986=$J$1,"SI","NO")</f>
        <v>NO</v>
      </c>
      <c r="U986" s="81"/>
      <c r="V986" s="7" t="str">
        <f ca="1">IF(color_Celda(E986)=12106214,"ROSA",IF(color_Celda(E986)=65535,"AMARILLO",IF(color_Celda(E986)=5296274,"VERDE",IF(color_Celda(E986)=16777215,"BLANCO","NO SE"))))</f>
        <v>ROSA</v>
      </c>
      <c r="W986" s="336" t="s">
        <v>1738</v>
      </c>
      <c r="X986" s="336" t="s">
        <v>3438</v>
      </c>
      <c r="Y986" s="336"/>
      <c r="Z986" s="63" t="s">
        <v>3368</v>
      </c>
      <c r="AA986" s="118" t="s">
        <v>1165</v>
      </c>
      <c r="AB986" s="63" t="s">
        <v>1171</v>
      </c>
      <c r="AC986" s="336"/>
    </row>
    <row r="987" spans="1:29" ht="60" customHeight="1">
      <c r="A987" s="336">
        <v>982</v>
      </c>
      <c r="B987" s="349">
        <v>45240</v>
      </c>
      <c r="C987" s="568">
        <v>0.39513888888888887</v>
      </c>
      <c r="D987" s="63" t="s">
        <v>3979</v>
      </c>
      <c r="E987" s="64" t="s">
        <v>3980</v>
      </c>
      <c r="F987" s="336">
        <v>5</v>
      </c>
      <c r="G987" s="336" t="s">
        <v>1434</v>
      </c>
      <c r="H987" s="383">
        <v>45261</v>
      </c>
      <c r="I987" s="65" t="s">
        <v>73</v>
      </c>
      <c r="J987" s="349" t="s">
        <v>35</v>
      </c>
      <c r="K987" s="336">
        <f>IFERROR(VLOOKUP(J987,Jueces!$A$1:$B$11,2,FALSE),"")</f>
        <v>3</v>
      </c>
      <c r="L987" s="63" t="s">
        <v>582</v>
      </c>
      <c r="M987" s="337" t="s">
        <v>2124</v>
      </c>
      <c r="N987" s="63" t="s">
        <v>4392</v>
      </c>
      <c r="O987" s="78" t="str">
        <f ca="1">IF(H987&lt;&gt;"",IF(H987&lt;=TODAY(),"SI","NO"),"LIMBO")</f>
        <v>SI</v>
      </c>
      <c r="P987" s="63" t="str">
        <f>IF($P$1=H987,"DIASOL", "DIANOSOL")</f>
        <v>DIANOSOL</v>
      </c>
      <c r="Q987" s="63" t="s">
        <v>902</v>
      </c>
      <c r="R987" s="63" t="str">
        <f>VLOOKUP($Q987,Resultados!$A$1:$B$49,2,FALSE)</f>
        <v>Juicio Abreviado</v>
      </c>
      <c r="S987" s="63" t="s">
        <v>73</v>
      </c>
      <c r="T987" s="81" t="str">
        <f>IF(G987=$J$1,"SI","NO")</f>
        <v>NO</v>
      </c>
      <c r="U987" s="81"/>
      <c r="V987" s="7" t="str">
        <f ca="1">IF(color_Celda(E987)=12106214,"ROSA",IF(color_Celda(E987)=65535,"AMARILLO",IF(color_Celda(E987)=5296274,"VERDE",IF(color_Celda(E987)=16777215,"BLANCO","NO SE"))))</f>
        <v>ROSA</v>
      </c>
      <c r="W987" s="336" t="s">
        <v>1062</v>
      </c>
      <c r="X987" s="336"/>
      <c r="Y987" s="336"/>
      <c r="Z987" s="63" t="s">
        <v>4342</v>
      </c>
      <c r="AA987" s="63"/>
      <c r="AB987" s="63" t="s">
        <v>3322</v>
      </c>
      <c r="AC987" s="336"/>
    </row>
    <row r="988" spans="1:29" ht="60" customHeight="1">
      <c r="A988" s="336">
        <v>997</v>
      </c>
      <c r="B988" s="349">
        <v>45245</v>
      </c>
      <c r="C988" s="568">
        <v>0.44930555555555557</v>
      </c>
      <c r="D988" s="63" t="s">
        <v>4041</v>
      </c>
      <c r="E988" s="64" t="s">
        <v>4042</v>
      </c>
      <c r="F988" s="336">
        <v>3</v>
      </c>
      <c r="G988" s="336" t="s">
        <v>2752</v>
      </c>
      <c r="H988" s="383">
        <v>45261</v>
      </c>
      <c r="I988" s="65" t="s">
        <v>73</v>
      </c>
      <c r="J988" s="349" t="s">
        <v>78</v>
      </c>
      <c r="K988" s="336">
        <f>IFERROR(VLOOKUP(J988,Jueces!$A$1:$B$11,2,FALSE),"")</f>
        <v>8</v>
      </c>
      <c r="L988" s="63" t="s">
        <v>4043</v>
      </c>
      <c r="M988" s="63" t="s">
        <v>3755</v>
      </c>
      <c r="N988" s="63" t="s">
        <v>4381</v>
      </c>
      <c r="O988" s="78" t="str">
        <f ca="1">IF(H988&lt;&gt;"",IF(H988&lt;=TODAY(),"SI","NO"),"LIMBO")</f>
        <v>SI</v>
      </c>
      <c r="P988" s="63" t="str">
        <f>IF($P$1=H988,"DIASOL", "DIANOSOL")</f>
        <v>DIANOSOL</v>
      </c>
      <c r="Q988" s="63" t="s">
        <v>907</v>
      </c>
      <c r="R988" s="63" t="str">
        <f>VLOOKUP($Q988,Resultados!$A$1:$B$49,2,FALSE)</f>
        <v>Suspensión de juicio a prueba</v>
      </c>
      <c r="S988" s="63" t="s">
        <v>1234</v>
      </c>
      <c r="T988" s="81" t="str">
        <f>IF(G988=$J$1,"SI","NO")</f>
        <v>NO</v>
      </c>
      <c r="U988" s="81"/>
      <c r="V988" s="7" t="str">
        <f ca="1">IF(color_Celda(E988)=12106214,"ROSA",IF(color_Celda(E988)=65535,"AMARILLO",IF(color_Celda(E988)=5296274,"VERDE",IF(color_Celda(E988)=16777215,"BLANCO","NO SE"))))</f>
        <v>ROSA</v>
      </c>
      <c r="W988" s="336" t="s">
        <v>1081</v>
      </c>
      <c r="X988" s="336" t="s">
        <v>4382</v>
      </c>
      <c r="Y988" s="336"/>
      <c r="Z988" s="63" t="s">
        <v>1039</v>
      </c>
      <c r="AA988" s="118" t="s">
        <v>3379</v>
      </c>
      <c r="AB988" s="63" t="s">
        <v>1173</v>
      </c>
      <c r="AC988" s="336"/>
    </row>
    <row r="989" spans="1:29" ht="60" customHeight="1">
      <c r="A989" s="336">
        <v>981</v>
      </c>
      <c r="B989" s="349">
        <v>45240</v>
      </c>
      <c r="C989" s="336"/>
      <c r="D989" s="63" t="s">
        <v>3974</v>
      </c>
      <c r="E989" s="64" t="s">
        <v>3975</v>
      </c>
      <c r="F989" s="336">
        <v>4</v>
      </c>
      <c r="G989" s="336" t="s">
        <v>2815</v>
      </c>
      <c r="H989" s="383">
        <v>45261</v>
      </c>
      <c r="I989" s="65" t="s">
        <v>1083</v>
      </c>
      <c r="J989" s="349" t="s">
        <v>1217</v>
      </c>
      <c r="K989" s="336">
        <f>IFERROR(VLOOKUP(J989,Jueces!$A$1:$B$11,2,FALSE),"")</f>
        <v>7</v>
      </c>
      <c r="L989" s="63" t="s">
        <v>801</v>
      </c>
      <c r="M989" s="339" t="s">
        <v>1866</v>
      </c>
      <c r="N989" s="336" t="s">
        <v>621</v>
      </c>
      <c r="O989" s="78" t="str">
        <f ca="1">IF(H989&lt;&gt;"",IF(H989&lt;=TODAY(),"SI","NO"),"LIMBO")</f>
        <v>SI</v>
      </c>
      <c r="P989" s="63" t="str">
        <f>IF($P$1=H989,"DIASOL", "DIANOSOL")</f>
        <v>DIANOSOL</v>
      </c>
      <c r="Q989" s="63" t="s">
        <v>151</v>
      </c>
      <c r="R989" s="63" t="s">
        <v>151</v>
      </c>
      <c r="S989" s="63" t="s">
        <v>1013</v>
      </c>
      <c r="T989" s="81" t="str">
        <f>IF(G989=$J$1,"SI","NO")</f>
        <v>NO</v>
      </c>
      <c r="U989" s="81"/>
      <c r="V989" s="7" t="str">
        <f ca="1">IF(color_Celda(E989)=12106214,"ROSA",IF(color_Celda(E989)=65535,"AMARILLO",IF(color_Celda(E989)=5296274,"VERDE",IF(color_Celda(E989)=16777215,"BLANCO","NO SE"))))</f>
        <v>ROSA</v>
      </c>
      <c r="W989" s="336" t="s">
        <v>1206</v>
      </c>
      <c r="X989" s="336"/>
      <c r="Y989" s="336"/>
      <c r="Z989" s="63" t="s">
        <v>770</v>
      </c>
      <c r="AA989" s="118" t="s">
        <v>2828</v>
      </c>
      <c r="AB989" s="63" t="s">
        <v>1171</v>
      </c>
      <c r="AC989" s="336"/>
    </row>
    <row r="990" spans="1:29" ht="60" customHeight="1">
      <c r="A990" s="336">
        <v>1045</v>
      </c>
      <c r="B990" s="349">
        <v>45253</v>
      </c>
      <c r="C990" s="568">
        <v>0.42708333333333331</v>
      </c>
      <c r="D990" s="63" t="s">
        <v>4205</v>
      </c>
      <c r="E990" s="64" t="s">
        <v>4206</v>
      </c>
      <c r="F990" s="336">
        <v>4</v>
      </c>
      <c r="G990" s="336" t="s">
        <v>29</v>
      </c>
      <c r="H990" s="383">
        <v>45261</v>
      </c>
      <c r="I990" s="65" t="s">
        <v>1083</v>
      </c>
      <c r="J990" s="349" t="s">
        <v>78</v>
      </c>
      <c r="K990" s="336">
        <f>IFERROR(VLOOKUP(J990,Jueces!$A$1:$B$11,2,FALSE),"")</f>
        <v>8</v>
      </c>
      <c r="L990" s="63" t="s">
        <v>812</v>
      </c>
      <c r="M990" s="335" t="s">
        <v>1639</v>
      </c>
      <c r="N990" s="205" t="s">
        <v>4385</v>
      </c>
      <c r="O990" s="78" t="str">
        <f ca="1">IF(H990&lt;&gt;"",IF(H990&lt;=TODAY(),"SI","NO"),"LIMBO")</f>
        <v>SI</v>
      </c>
      <c r="P990" s="63" t="str">
        <f>IF($P$1=H990,"DIASOL", "DIANOSOL")</f>
        <v>DIANOSOL</v>
      </c>
      <c r="Q990" s="63" t="s">
        <v>903</v>
      </c>
      <c r="R990" s="63" t="str">
        <f>VLOOKUP($Q990,Resultados!$A$1:$B$49,2,FALSE)</f>
        <v>Juicio Abreviado</v>
      </c>
      <c r="S990" s="70">
        <v>0.4152777777777778</v>
      </c>
      <c r="T990" s="81" t="str">
        <f>IF(G990=$J$1,"SI","NO")</f>
        <v>NO</v>
      </c>
      <c r="U990" s="81"/>
      <c r="V990" s="7" t="str">
        <f ca="1">IF(color_Celda(E990)=12106214,"ROSA",IF(color_Celda(E990)=65535,"AMARILLO",IF(color_Celda(E990)=5296274,"VERDE",IF(color_Celda(E990)=16777215,"BLANCO","NO SE"))))</f>
        <v>ROSA</v>
      </c>
      <c r="W990" s="336" t="s">
        <v>3108</v>
      </c>
      <c r="X990" s="336" t="s">
        <v>3155</v>
      </c>
      <c r="Y990" s="336"/>
      <c r="Z990" s="63" t="s">
        <v>1039</v>
      </c>
      <c r="AA990" s="118" t="s">
        <v>2869</v>
      </c>
      <c r="AB990" s="63" t="s">
        <v>1173</v>
      </c>
      <c r="AC990" s="336"/>
    </row>
    <row r="991" spans="1:29" ht="60" customHeight="1">
      <c r="A991" s="336">
        <v>972</v>
      </c>
      <c r="B991" s="349">
        <v>45258</v>
      </c>
      <c r="C991" s="568">
        <v>0.37152777777777773</v>
      </c>
      <c r="D991" s="63" t="s">
        <v>3954</v>
      </c>
      <c r="E991" s="64" t="s">
        <v>3973</v>
      </c>
      <c r="F991" s="336">
        <v>3</v>
      </c>
      <c r="G991" s="336" t="s">
        <v>2766</v>
      </c>
      <c r="H991" s="383">
        <v>45261</v>
      </c>
      <c r="I991" s="65" t="s">
        <v>1083</v>
      </c>
      <c r="J991" s="349" t="s">
        <v>1216</v>
      </c>
      <c r="K991" s="336">
        <f>IFERROR(VLOOKUP(J991,Jueces!$A$1:$B$11,2,FALSE),"")</f>
        <v>1</v>
      </c>
      <c r="L991" s="63" t="s">
        <v>811</v>
      </c>
      <c r="M991" s="63" t="s">
        <v>695</v>
      </c>
      <c r="N991" s="339" t="s">
        <v>4393</v>
      </c>
      <c r="O991" s="78" t="str">
        <f ca="1">IF(H991&lt;&gt;"",IF(H991&lt;=TODAY(),"SI","NO"),"LIMBO")</f>
        <v>SI</v>
      </c>
      <c r="P991" s="63" t="str">
        <f>IF($P$1=H991,"DIASOL", "DIANOSOL")</f>
        <v>DIANOSOL</v>
      </c>
      <c r="Q991" s="63" t="s">
        <v>151</v>
      </c>
      <c r="R991" s="63" t="str">
        <f>VLOOKUP($Q991,Resultados!$A$1:$B$49,2,FALSE)</f>
        <v>Prisión Preventiva</v>
      </c>
      <c r="S991" s="63" t="s">
        <v>1007</v>
      </c>
      <c r="T991" s="81" t="str">
        <f>IF(G991=$J$1,"SI","NO")</f>
        <v>NO</v>
      </c>
      <c r="U991" s="81"/>
      <c r="V991" s="7" t="str">
        <f ca="1">IF(color_Celda(E991)=12106214,"ROSA",IF(color_Celda(E991)=65535,"AMARILLO",IF(color_Celda(E991)=5296274,"VERDE",IF(color_Celda(E991)=16777215,"BLANCO","NO SE"))))</f>
        <v>ROSA</v>
      </c>
      <c r="W991" s="336" t="s">
        <v>75</v>
      </c>
      <c r="X991" s="336" t="s">
        <v>3155</v>
      </c>
      <c r="Y991" s="336"/>
      <c r="Z991" s="63" t="s">
        <v>743</v>
      </c>
      <c r="AA991" s="118" t="s">
        <v>2869</v>
      </c>
      <c r="AB991" s="63" t="s">
        <v>3258</v>
      </c>
      <c r="AC991" s="336"/>
    </row>
    <row r="992" spans="1:29" ht="60" customHeight="1">
      <c r="A992" s="336">
        <v>1041</v>
      </c>
      <c r="B992" s="349">
        <v>45259</v>
      </c>
      <c r="C992" s="70">
        <v>0.33333333333333331</v>
      </c>
      <c r="D992" s="63" t="s">
        <v>3927</v>
      </c>
      <c r="E992" s="64" t="s">
        <v>3928</v>
      </c>
      <c r="F992" s="336">
        <v>3</v>
      </c>
      <c r="G992" s="336" t="s">
        <v>1433</v>
      </c>
      <c r="H992" s="383">
        <v>45261</v>
      </c>
      <c r="I992" s="65" t="s">
        <v>1083</v>
      </c>
      <c r="J992" s="349" t="s">
        <v>31</v>
      </c>
      <c r="K992" s="336">
        <v>2</v>
      </c>
      <c r="L992" s="63" t="s">
        <v>807</v>
      </c>
      <c r="M992" s="117" t="s">
        <v>3381</v>
      </c>
      <c r="N992" s="63" t="s">
        <v>4384</v>
      </c>
      <c r="O992" s="78" t="str">
        <f ca="1">IF(H992&lt;&gt;"",IF(H992&lt;=TODAY(),"SI","NO"),"LIMBO")</f>
        <v>SI</v>
      </c>
      <c r="P992" s="63" t="str">
        <f>IF($P$1=H992,"DIASOL", "DIANOSOL")</f>
        <v>DIANOSOL</v>
      </c>
      <c r="Q992" s="63" t="s">
        <v>902</v>
      </c>
      <c r="R992" s="63" t="str">
        <f>VLOOKUP($Q992,Resultados!$A$1:$B$49,2,FALSE)</f>
        <v>Juicio Abreviado</v>
      </c>
      <c r="S992" s="63" t="s">
        <v>3358</v>
      </c>
      <c r="T992" s="81" t="e">
        <f>IF(#REF!=$J$1,"SI","NO")</f>
        <v>#REF!</v>
      </c>
      <c r="U992" s="81"/>
      <c r="V992" s="7" t="str">
        <f ca="1">IF(color_Celda(E992)=12106214,"ROSA",IF(color_Celda(E992)=65535,"AMARILLO",IF(color_Celda(E992)=5296274,"VERDE",IF(color_Celda(E992)=16777215,"BLANCO","NO SE"))))</f>
        <v>ROSA</v>
      </c>
      <c r="W992" s="336" t="s">
        <v>2663</v>
      </c>
      <c r="X992" s="336" t="s">
        <v>2552</v>
      </c>
      <c r="Y992" s="336"/>
      <c r="Z992" s="63" t="s">
        <v>1038</v>
      </c>
      <c r="AA992" s="118" t="s">
        <v>3378</v>
      </c>
      <c r="AB992" s="63" t="s">
        <v>3322</v>
      </c>
      <c r="AC992" s="336"/>
    </row>
    <row r="993" spans="1:29" ht="60" customHeight="1">
      <c r="A993" s="336">
        <v>1050</v>
      </c>
      <c r="B993" s="349">
        <v>45259</v>
      </c>
      <c r="C993" s="70">
        <v>0.33333333333333331</v>
      </c>
      <c r="D993" s="63" t="s">
        <v>4107</v>
      </c>
      <c r="E993" s="64" t="s">
        <v>4240</v>
      </c>
      <c r="F993" s="336">
        <v>4</v>
      </c>
      <c r="G993" s="336" t="s">
        <v>2753</v>
      </c>
      <c r="H993" s="383">
        <v>45261</v>
      </c>
      <c r="I993" s="65" t="s">
        <v>1601</v>
      </c>
      <c r="J993" s="349" t="s">
        <v>31</v>
      </c>
      <c r="K993" s="336">
        <f>IFERROR(VLOOKUP(J993,Jueces!$A$1:$B$11,2,FALSE),"")</f>
        <v>2</v>
      </c>
      <c r="L993" s="63" t="s">
        <v>807</v>
      </c>
      <c r="M993" s="356" t="s">
        <v>1378</v>
      </c>
      <c r="N993" s="63" t="s">
        <v>4386</v>
      </c>
      <c r="O993" s="78" t="str">
        <f ca="1">IF(H993&lt;&gt;"",IF(H993&lt;=TODAY(),"SI","NO"),"LIMBO")</f>
        <v>SI</v>
      </c>
      <c r="P993" s="63" t="str">
        <f>IF($P$1=H993,"DIASOL", "DIANOSOL")</f>
        <v>DIANOSOL</v>
      </c>
      <c r="Q993" s="63" t="s">
        <v>902</v>
      </c>
      <c r="R993" s="63" t="s">
        <v>100</v>
      </c>
      <c r="S993" s="63" t="s">
        <v>2259</v>
      </c>
      <c r="T993" s="81" t="str">
        <f>IF(G993=$J$1,"SI","NO")</f>
        <v>NO</v>
      </c>
      <c r="U993" s="81"/>
      <c r="V993" s="7" t="str">
        <f ca="1">IF(color_Celda(E993)=12106214,"ROSA",IF(color_Celda(E993)=65535,"AMARILLO",IF(color_Celda(E993)=5296274,"VERDE",IF(color_Celda(E993)=16777215,"BLANCO","NO SE"))))</f>
        <v>ROSA</v>
      </c>
      <c r="W993" s="336" t="s">
        <v>77</v>
      </c>
      <c r="X993" s="336" t="s">
        <v>3155</v>
      </c>
      <c r="Y993" s="336"/>
      <c r="Z993" s="63" t="s">
        <v>1038</v>
      </c>
      <c r="AA993" s="118" t="s">
        <v>3379</v>
      </c>
      <c r="AB993" s="63" t="s">
        <v>1170</v>
      </c>
      <c r="AC993" s="336"/>
    </row>
    <row r="994" spans="1:29" ht="60" customHeight="1">
      <c r="A994" s="336">
        <v>1036</v>
      </c>
      <c r="B994" s="349">
        <v>45252</v>
      </c>
      <c r="C994" s="568">
        <v>0.33333333333333331</v>
      </c>
      <c r="D994" s="63" t="s">
        <v>4139</v>
      </c>
      <c r="E994" s="64" t="s">
        <v>4140</v>
      </c>
      <c r="F994" s="336">
        <v>5</v>
      </c>
      <c r="G994" s="336" t="s">
        <v>2815</v>
      </c>
      <c r="H994" s="383">
        <v>45261</v>
      </c>
      <c r="I994" s="65" t="s">
        <v>77</v>
      </c>
      <c r="J994" s="349" t="s">
        <v>1216</v>
      </c>
      <c r="K994" s="336">
        <f>IFERROR(VLOOKUP(J994,Jueces!$A$1:$B$11,2,FALSE),"")</f>
        <v>1</v>
      </c>
      <c r="L994" s="63" t="s">
        <v>810</v>
      </c>
      <c r="M994" s="63" t="s">
        <v>1956</v>
      </c>
      <c r="N994" s="63" t="s">
        <v>4435</v>
      </c>
      <c r="O994" s="206" t="str">
        <f ca="1">IF(H994&lt;&gt;"",IF(H994&lt;=TODAY(),"SI","NO"),"LIMBO")</f>
        <v>SI</v>
      </c>
      <c r="P994" s="206" t="str">
        <f>IF($P$1=H994,"DIASOL", "DIANOSOL")</f>
        <v>DIANOSOL</v>
      </c>
      <c r="Q994" s="63" t="s">
        <v>902</v>
      </c>
      <c r="R994" s="63" t="str">
        <f>VLOOKUP($Q994,Resultados!$A$1:$B$49,2,FALSE)</f>
        <v>Juicio Abreviado</v>
      </c>
      <c r="S994" s="63" t="s">
        <v>4387</v>
      </c>
      <c r="T994" s="267" t="str">
        <f>IF(G994=$J$1,"SI","NO")</f>
        <v>NO</v>
      </c>
      <c r="U994" s="267"/>
      <c r="V994" s="7" t="str">
        <f ca="1">IF(color_Celda(E994)=12106214,"ROSA",IF(color_Celda(E994)=65535,"AMARILLO",IF(color_Celda(E994)=5296274,"VERDE",IF(color_Celda(E994)=16777215,"BLANCO","NO SE"))))</f>
        <v>ROSA</v>
      </c>
      <c r="W994" s="336" t="s">
        <v>4388</v>
      </c>
      <c r="X994" s="336" t="s">
        <v>2552</v>
      </c>
      <c r="Y994" s="336"/>
      <c r="Z994" s="63" t="s">
        <v>3368</v>
      </c>
      <c r="AA994" s="118" t="s">
        <v>1167</v>
      </c>
      <c r="AB994" s="336"/>
      <c r="AC994" s="336"/>
    </row>
    <row r="995" spans="1:29" ht="60" customHeight="1">
      <c r="A995" s="336">
        <v>1007</v>
      </c>
      <c r="B995" s="349">
        <v>45246</v>
      </c>
      <c r="C995" s="568">
        <v>0.33333333333333331</v>
      </c>
      <c r="D995" s="63" t="s">
        <v>4091</v>
      </c>
      <c r="E995" s="64" t="s">
        <v>4092</v>
      </c>
      <c r="F995" s="336">
        <v>3</v>
      </c>
      <c r="G995" s="336" t="s">
        <v>2752</v>
      </c>
      <c r="H995" s="383">
        <v>45261</v>
      </c>
      <c r="I995" s="65" t="s">
        <v>228</v>
      </c>
      <c r="J995" s="349" t="s">
        <v>35</v>
      </c>
      <c r="K995" s="336">
        <f>IFERROR(VLOOKUP(J995,Jueces!$A$1:$B$11,2,FALSE),"")</f>
        <v>3</v>
      </c>
      <c r="L995" s="63" t="s">
        <v>789</v>
      </c>
      <c r="M995" s="339" t="s">
        <v>4124</v>
      </c>
      <c r="N995" s="63" t="s">
        <v>4389</v>
      </c>
      <c r="O995" s="78" t="str">
        <f ca="1">IF(H995&lt;&gt;"",IF(H995&lt;=TODAY(),"SI","NO"),"LIMBO")</f>
        <v>SI</v>
      </c>
      <c r="P995" s="63" t="str">
        <f>IF($P$1=H995,"DIASOL", "DIANOSOL")</f>
        <v>DIANOSOL</v>
      </c>
      <c r="Q995" s="63" t="s">
        <v>903</v>
      </c>
      <c r="R995" s="63" t="str">
        <f>VLOOKUP($Q995,Resultados!$A$1:$B$49,2,FALSE)</f>
        <v>Juicio Abreviado</v>
      </c>
      <c r="S995" s="63" t="s">
        <v>1630</v>
      </c>
      <c r="T995" s="81" t="str">
        <f>IF(G995=$J$1,"SI","NO")</f>
        <v>NO</v>
      </c>
      <c r="U995" s="81"/>
      <c r="V995" s="7" t="str">
        <f ca="1">IF(color_Celda(E995)=12106214,"ROSA",IF(color_Celda(E995)=65535,"AMARILLO",IF(color_Celda(E995)=5296274,"VERDE",IF(color_Celda(E995)=16777215,"BLANCO","NO SE"))))</f>
        <v>ROSA</v>
      </c>
      <c r="W995" s="336" t="s">
        <v>4390</v>
      </c>
      <c r="X995" s="336" t="s">
        <v>4235</v>
      </c>
      <c r="Y995" s="336"/>
      <c r="Z995" s="63" t="s">
        <v>770</v>
      </c>
      <c r="AA995" s="118" t="s">
        <v>3378</v>
      </c>
      <c r="AB995" s="336"/>
      <c r="AC995" s="336"/>
    </row>
    <row r="996" spans="1:29" ht="60" customHeight="1">
      <c r="A996" s="336">
        <v>980</v>
      </c>
      <c r="B996" s="349">
        <v>45240</v>
      </c>
      <c r="C996" s="568">
        <v>0.54722222222222217</v>
      </c>
      <c r="D996" s="63" t="s">
        <v>3968</v>
      </c>
      <c r="E996" s="64" t="s">
        <v>3969</v>
      </c>
      <c r="F996" s="336">
        <v>4</v>
      </c>
      <c r="G996" s="336" t="s">
        <v>1434</v>
      </c>
      <c r="H996" s="383">
        <v>45264</v>
      </c>
      <c r="I996" s="65" t="s">
        <v>73</v>
      </c>
      <c r="J996" s="349" t="s">
        <v>2925</v>
      </c>
      <c r="K996" s="63" t="s">
        <v>3776</v>
      </c>
      <c r="L996" s="63" t="s">
        <v>811</v>
      </c>
      <c r="M996" s="63" t="s">
        <v>1866</v>
      </c>
      <c r="N996" s="63" t="s">
        <v>4415</v>
      </c>
      <c r="O996" s="78" t="str">
        <f ca="1">IF(H996&lt;&gt;"",IF(H996&lt;=TODAY(),"SI","NO"),"LIMBO")</f>
        <v>SI</v>
      </c>
      <c r="P996" s="63" t="str">
        <f>IF($P$1=H996,"DIASOL", "DIANOSOL")</f>
        <v>DIANOSOL</v>
      </c>
      <c r="Q996" s="63" t="s">
        <v>1010</v>
      </c>
      <c r="R996" s="63" t="str">
        <f>VLOOKUP($Q996,Resultados!$A$1:$B$49,2,FALSE)</f>
        <v>Suspendida</v>
      </c>
      <c r="S996" s="63"/>
      <c r="T996" s="81" t="str">
        <f>IF(G996=$J$1,"SI","NO")</f>
        <v>NO</v>
      </c>
      <c r="U996" s="81"/>
      <c r="V996" s="7" t="str">
        <f ca="1">IF(color_Celda(E996)=12106214,"ROSA",IF(color_Celda(E996)=65535,"AMARILLO",IF(color_Celda(E996)=5296274,"VERDE",IF(color_Celda(E996)=16777215,"BLANCO","NO SE"))))</f>
        <v>ROSA</v>
      </c>
      <c r="W996" s="336"/>
      <c r="X996" s="336"/>
      <c r="Y996" s="336"/>
      <c r="Z996" s="118" t="s">
        <v>748</v>
      </c>
      <c r="AA996" s="118" t="s">
        <v>1167</v>
      </c>
      <c r="AB996" s="63" t="s">
        <v>1170</v>
      </c>
      <c r="AC996" s="336"/>
    </row>
    <row r="997" spans="1:29" ht="60" customHeight="1">
      <c r="A997" s="336">
        <v>993</v>
      </c>
      <c r="B997" s="349">
        <v>45244</v>
      </c>
      <c r="C997" s="568">
        <v>0.38125000000000003</v>
      </c>
      <c r="D997" s="63" t="s">
        <v>4019</v>
      </c>
      <c r="E997" s="64" t="s">
        <v>4020</v>
      </c>
      <c r="F997" s="336">
        <v>4</v>
      </c>
      <c r="G997" s="336" t="s">
        <v>3639</v>
      </c>
      <c r="H997" s="383">
        <v>45264</v>
      </c>
      <c r="I997" s="65" t="s">
        <v>73</v>
      </c>
      <c r="J997" s="349" t="s">
        <v>31</v>
      </c>
      <c r="K997" s="336">
        <f>IFERROR(VLOOKUP(J997,Jueces!$A$1:$B$11,2,FALSE),"")</f>
        <v>2</v>
      </c>
      <c r="L997" s="63" t="s">
        <v>810</v>
      </c>
      <c r="M997" s="356" t="s">
        <v>4202</v>
      </c>
      <c r="N997" s="63" t="s">
        <v>1395</v>
      </c>
      <c r="O997" s="78" t="str">
        <f ca="1">IF(H997&lt;&gt;"",IF(H997&lt;=TODAY(),"SI","NO"),"LIMBO")</f>
        <v>SI</v>
      </c>
      <c r="P997" s="63" t="str">
        <f>IF($P$1=H997,"DIASOL", "DIANOSOL")</f>
        <v>DIANOSOL</v>
      </c>
      <c r="Q997" s="63" t="s">
        <v>911</v>
      </c>
      <c r="R997" s="63" t="str">
        <f>VLOOKUP($Q997,Resultados!$A$1:$B$49,2,FALSE)</f>
        <v>Prision domiciliaria</v>
      </c>
      <c r="S997" s="63" t="s">
        <v>1015</v>
      </c>
      <c r="T997" s="81" t="str">
        <f>IF(G997=$J$1,"SI","NO")</f>
        <v>NO</v>
      </c>
      <c r="U997" s="81"/>
      <c r="V997" s="7" t="str">
        <f ca="1">IF(color_Celda(E997)=12106214,"ROSA",IF(color_Celda(E997)=65535,"AMARILLO",IF(color_Celda(E997)=5296274,"VERDE",IF(color_Celda(E997)=16777215,"BLANCO","NO SE"))))</f>
        <v>ROSA</v>
      </c>
      <c r="W997" s="63" t="s">
        <v>1016</v>
      </c>
      <c r="X997" s="63" t="s">
        <v>2552</v>
      </c>
      <c r="Y997" s="336"/>
      <c r="Z997" s="118" t="s">
        <v>3368</v>
      </c>
      <c r="AA997" s="118" t="s">
        <v>2869</v>
      </c>
      <c r="AB997" s="336" t="s">
        <v>1169</v>
      </c>
      <c r="AC997" s="336"/>
    </row>
    <row r="998" spans="1:29" ht="60" customHeight="1">
      <c r="A998" s="336">
        <v>1001</v>
      </c>
      <c r="B998" s="349">
        <v>45245</v>
      </c>
      <c r="C998" s="568">
        <v>0.41736111111111113</v>
      </c>
      <c r="D998" s="63" t="s">
        <v>4038</v>
      </c>
      <c r="E998" s="64" t="s">
        <v>4040</v>
      </c>
      <c r="F998" s="336">
        <v>8</v>
      </c>
      <c r="G998" s="336" t="s">
        <v>3791</v>
      </c>
      <c r="H998" s="383">
        <v>45264</v>
      </c>
      <c r="I998" s="65" t="s">
        <v>73</v>
      </c>
      <c r="J998" s="349" t="s">
        <v>1217</v>
      </c>
      <c r="K998" s="336">
        <f>IFERROR(VLOOKUP(J998,Jueces!$A$1:$B$11,2,FALSE),"")</f>
        <v>7</v>
      </c>
      <c r="L998" s="63" t="s">
        <v>2077</v>
      </c>
      <c r="M998" s="337" t="s">
        <v>4039</v>
      </c>
      <c r="N998" s="63" t="s">
        <v>4411</v>
      </c>
      <c r="O998" s="78" t="str">
        <f ca="1">IF(H998&lt;&gt;"",IF(H998&lt;=TODAY(),"SI","NO"),"LIMBO")</f>
        <v>SI</v>
      </c>
      <c r="P998" s="63" t="str">
        <f>IF($P$1=H998,"DIASOL", "DIANOSOL")</f>
        <v>DIANOSOL</v>
      </c>
      <c r="Q998" s="63" t="s">
        <v>151</v>
      </c>
      <c r="R998" s="63" t="str">
        <f>VLOOKUP($Q998,Resultados!$A$1:$B$49,2,FALSE)</f>
        <v>Prisión Preventiva</v>
      </c>
      <c r="S998" s="63" t="s">
        <v>1062</v>
      </c>
      <c r="T998" s="81" t="str">
        <f>IF(G998=$J$1,"SI","NO")</f>
        <v>NO</v>
      </c>
      <c r="U998" s="81"/>
      <c r="V998" s="7" t="str">
        <f ca="1">IF(color_Celda(E998)=12106214,"ROSA",IF(color_Celda(E998)=65535,"AMARILLO",IF(color_Celda(E998)=5296274,"VERDE",IF(color_Celda(E998)=16777215,"BLANCO","NO SE"))))</f>
        <v>ROSA</v>
      </c>
      <c r="W998" s="63" t="s">
        <v>1530</v>
      </c>
      <c r="X998" s="63" t="s">
        <v>4129</v>
      </c>
      <c r="Y998" s="336"/>
      <c r="Z998" s="118" t="s">
        <v>770</v>
      </c>
      <c r="AA998" s="118" t="s">
        <v>3378</v>
      </c>
      <c r="AB998" s="336" t="s">
        <v>3258</v>
      </c>
      <c r="AC998" s="336"/>
    </row>
    <row r="999" spans="1:29" ht="60" customHeight="1">
      <c r="A999" s="336">
        <v>1019</v>
      </c>
      <c r="B999" s="349">
        <v>45261</v>
      </c>
      <c r="C999" s="70">
        <v>0.33333333333333331</v>
      </c>
      <c r="D999" s="63" t="s">
        <v>3632</v>
      </c>
      <c r="E999" s="355" t="s">
        <v>3633</v>
      </c>
      <c r="F999" s="336">
        <v>8</v>
      </c>
      <c r="G999" s="336" t="s">
        <v>2752</v>
      </c>
      <c r="H999" s="383">
        <v>45264</v>
      </c>
      <c r="I999" s="65" t="s">
        <v>73</v>
      </c>
      <c r="J999" s="349" t="s">
        <v>35</v>
      </c>
      <c r="K999" s="336">
        <f>IFERROR(VLOOKUP(J999,Jueces!$A$1:$B$11,2,FALSE),"")</f>
        <v>3</v>
      </c>
      <c r="L999" s="63" t="s">
        <v>797</v>
      </c>
      <c r="M999" s="7" t="s">
        <v>2987</v>
      </c>
      <c r="N999" s="63" t="s">
        <v>4409</v>
      </c>
      <c r="O999" s="78" t="str">
        <f ca="1">IF(H999&lt;&gt;"",IF(H999&lt;=TODAY(),"SI","NO"),"LIMBO")</f>
        <v>SI</v>
      </c>
      <c r="P999" s="63" t="str">
        <f>IF($P$1=H999,"DIASOL", "DIANOSOL")</f>
        <v>DIANOSOL</v>
      </c>
      <c r="Q999" s="63" t="s">
        <v>900</v>
      </c>
      <c r="R999" s="63" t="str">
        <f>VLOOKUP($Q999,Resultados!$A$1:$B$49,2,FALSE)</f>
        <v>Libertad</v>
      </c>
      <c r="S999" s="63" t="s">
        <v>1604</v>
      </c>
      <c r="T999" s="81" t="str">
        <f>IF(G999=$J$1,"SI","NO")</f>
        <v>NO</v>
      </c>
      <c r="U999" s="81"/>
      <c r="V999" s="7" t="str">
        <f ca="1">IF(color_Celda(E999)=12106214,"ROSA",IF(color_Celda(E999)=65535,"AMARILLO",IF(color_Celda(E999)=5296274,"VERDE",IF(color_Celda(E999)=16777215,"BLANCO","NO SE"))))</f>
        <v>ROSA</v>
      </c>
      <c r="W999" s="63" t="s">
        <v>1006</v>
      </c>
      <c r="X999" s="63" t="s">
        <v>4408</v>
      </c>
      <c r="Y999" s="336"/>
      <c r="Z999" s="118" t="s">
        <v>1039</v>
      </c>
      <c r="AA999" s="118" t="s">
        <v>2869</v>
      </c>
      <c r="AB999" s="63" t="s">
        <v>1171</v>
      </c>
      <c r="AC999" s="336"/>
    </row>
    <row r="1000" spans="1:29" ht="60" customHeight="1">
      <c r="A1000" s="336">
        <v>961</v>
      </c>
      <c r="B1000" s="349">
        <v>45239</v>
      </c>
      <c r="C1000" s="568">
        <v>0.39583333333333331</v>
      </c>
      <c r="D1000" s="63" t="s">
        <v>3790</v>
      </c>
      <c r="E1000" s="64" t="s">
        <v>4378</v>
      </c>
      <c r="F1000" s="336">
        <v>4</v>
      </c>
      <c r="G1000" s="336" t="s">
        <v>568</v>
      </c>
      <c r="H1000" s="383">
        <v>45264</v>
      </c>
      <c r="I1000" s="65" t="s">
        <v>1083</v>
      </c>
      <c r="J1000" s="349" t="s">
        <v>1216</v>
      </c>
      <c r="K1000" s="336">
        <f>IFERROR(VLOOKUP(J1000,Jueces!$A$1:$B$11,2,FALSE),"")</f>
        <v>1</v>
      </c>
      <c r="L1000" s="63" t="s">
        <v>799</v>
      </c>
      <c r="M1000" s="63" t="s">
        <v>695</v>
      </c>
      <c r="N1000" s="63" t="s">
        <v>4413</v>
      </c>
      <c r="O1000" s="78" t="str">
        <f ca="1">IF(H1000&lt;&gt;"",IF(H1000&lt;=TODAY(),"SI","NO"),"LIMBO")</f>
        <v>SI</v>
      </c>
      <c r="P1000" s="63" t="str">
        <f>IF($P$1=H1000,"DIASOL", "DIANOSOL")</f>
        <v>DIANOSOL</v>
      </c>
      <c r="Q1000" s="63" t="s">
        <v>903</v>
      </c>
      <c r="R1000" s="63" t="s">
        <v>100</v>
      </c>
      <c r="S1000" s="63" t="s">
        <v>75</v>
      </c>
      <c r="T1000" s="81" t="str">
        <f>IF(G1000=$J$1,"SI","NO")</f>
        <v>NO</v>
      </c>
      <c r="U1000" s="81"/>
      <c r="V1000" s="7" t="str">
        <f ca="1">IF(color_Celda(E1000)=12106214,"ROSA",IF(color_Celda(E1000)=65535,"AMARILLO",IF(color_Celda(E1000)=5296274,"VERDE",IF(color_Celda(E1000)=16777215,"BLANCO","NO SE"))))</f>
        <v>ROSA</v>
      </c>
      <c r="W1000" s="63" t="s">
        <v>4252</v>
      </c>
      <c r="X1000" s="63" t="s">
        <v>4414</v>
      </c>
      <c r="Y1000" s="336"/>
      <c r="Z1000" s="118" t="s">
        <v>748</v>
      </c>
      <c r="AA1000" s="118" t="s">
        <v>3379</v>
      </c>
      <c r="AB1000" s="63" t="s">
        <v>3322</v>
      </c>
      <c r="AC1000" s="336"/>
    </row>
    <row r="1001" spans="1:29" ht="60" customHeight="1">
      <c r="A1001" s="336">
        <v>984</v>
      </c>
      <c r="B1001" s="65">
        <v>45261</v>
      </c>
      <c r="C1001" s="568">
        <v>0.3833333333333333</v>
      </c>
      <c r="D1001" s="63" t="s">
        <v>3983</v>
      </c>
      <c r="E1001" s="64" t="s">
        <v>3984</v>
      </c>
      <c r="F1001" s="336">
        <v>3</v>
      </c>
      <c r="G1001" s="336" t="s">
        <v>2766</v>
      </c>
      <c r="H1001" s="383">
        <v>45264</v>
      </c>
      <c r="I1001" s="65" t="s">
        <v>1083</v>
      </c>
      <c r="J1001" s="349" t="s">
        <v>31</v>
      </c>
      <c r="K1001" s="336">
        <f>IFERROR(VLOOKUP(J1001,Jueces!$A$1:$B$11,2,FALSE),"")</f>
        <v>2</v>
      </c>
      <c r="L1001" s="63" t="s">
        <v>807</v>
      </c>
      <c r="M1001" s="63" t="s">
        <v>3755</v>
      </c>
      <c r="N1001" s="63" t="s">
        <v>4410</v>
      </c>
      <c r="O1001" s="78" t="str">
        <f ca="1">IF(H1001&lt;&gt;"",IF(H1001&lt;=TODAY(),"SI","NO"),"LIMBO")</f>
        <v>SI</v>
      </c>
      <c r="P1001" s="63" t="str">
        <f>IF($P$1=H1001,"DIASOL", "DIANOSOL")</f>
        <v>DIANOSOL</v>
      </c>
      <c r="Q1001" s="63" t="s">
        <v>897</v>
      </c>
      <c r="R1001" s="63" t="str">
        <f>VLOOKUP($Q1001,Resultados!$A$1:$B$49,2,FALSE)</f>
        <v>Libertad</v>
      </c>
      <c r="S1001" s="63" t="s">
        <v>1164</v>
      </c>
      <c r="T1001" s="81" t="str">
        <f>IF(G1001=$J$1,"SI","NO")</f>
        <v>NO</v>
      </c>
      <c r="U1001" s="81"/>
      <c r="V1001" s="7" t="str">
        <f ca="1">IF(color_Celda(E1001)=12106214,"ROSA",IF(color_Celda(E1001)=65535,"AMARILLO",IF(color_Celda(E1001)=5296274,"VERDE",IF(color_Celda(E1001)=16777215,"BLANCO","NO SE"))))</f>
        <v>ROSA</v>
      </c>
      <c r="W1001" s="63" t="s">
        <v>1737</v>
      </c>
      <c r="X1001" s="63" t="s">
        <v>3216</v>
      </c>
      <c r="Y1001" s="336"/>
      <c r="Z1001" s="118" t="s">
        <v>3368</v>
      </c>
      <c r="AA1001" s="118" t="s">
        <v>3379</v>
      </c>
      <c r="AB1001" s="63" t="s">
        <v>1170</v>
      </c>
      <c r="AC1001" s="336"/>
    </row>
    <row r="1002" spans="1:29" ht="60" customHeight="1">
      <c r="A1002" s="336">
        <v>1035</v>
      </c>
      <c r="B1002" s="349">
        <v>45261</v>
      </c>
      <c r="C1002" s="70">
        <v>0.33333333333333331</v>
      </c>
      <c r="D1002" s="63" t="s">
        <v>3849</v>
      </c>
      <c r="E1002" s="355" t="s">
        <v>3850</v>
      </c>
      <c r="F1002" s="336">
        <v>4</v>
      </c>
      <c r="G1002" s="336" t="s">
        <v>3324</v>
      </c>
      <c r="H1002" s="383">
        <v>45264</v>
      </c>
      <c r="I1002" s="65" t="s">
        <v>1083</v>
      </c>
      <c r="J1002" s="349" t="s">
        <v>1217</v>
      </c>
      <c r="K1002" s="336">
        <f>IFERROR(VLOOKUP(J1002,Jueces!$A$1:$B$11,2,FALSE),"")</f>
        <v>7</v>
      </c>
      <c r="L1002" s="63" t="s">
        <v>811</v>
      </c>
      <c r="M1002" s="63" t="s">
        <v>1866</v>
      </c>
      <c r="N1002" s="63" t="s">
        <v>4412</v>
      </c>
      <c r="O1002" s="206" t="str">
        <f ca="1">IF(H1002&lt;&gt;"",IF(H1002&lt;=TODAY(),"SI","NO"),"LIMBO")</f>
        <v>SI</v>
      </c>
      <c r="P1002" s="206" t="str">
        <f>IF($P$1=H1002,"DIASOL", "DIANOSOL")</f>
        <v>DIANOSOL</v>
      </c>
      <c r="Q1002" s="63" t="s">
        <v>151</v>
      </c>
      <c r="R1002" s="63" t="str">
        <f>VLOOKUP($Q1002,Resultados!$A$1:$B$49,2,FALSE)</f>
        <v>Prisión Preventiva</v>
      </c>
      <c r="S1002" s="63" t="s">
        <v>1570</v>
      </c>
      <c r="T1002" s="267" t="str">
        <f>IF(G1002=$J$1,"SI","NO")</f>
        <v>NO</v>
      </c>
      <c r="U1002" s="267"/>
      <c r="V1002" s="7" t="str">
        <f ca="1">IF(color_Celda(E1002)=12106214,"ROSA",IF(color_Celda(E1002)=65535,"AMARILLO",IF(color_Celda(E1002)=5296274,"VERDE",IF(color_Celda(E1002)=16777215,"BLANCO","NO SE"))))</f>
        <v>ROSA</v>
      </c>
      <c r="W1002" s="63" t="s">
        <v>2044</v>
      </c>
      <c r="X1002" s="63" t="s">
        <v>3155</v>
      </c>
      <c r="Y1002" s="336"/>
      <c r="Z1002" s="118" t="s">
        <v>770</v>
      </c>
      <c r="AA1002" s="118" t="s">
        <v>2869</v>
      </c>
      <c r="AB1002" s="63" t="s">
        <v>3258</v>
      </c>
      <c r="AC1002" s="336"/>
    </row>
    <row r="1003" spans="1:29" ht="60" customHeight="1">
      <c r="A1003" s="336">
        <v>1049</v>
      </c>
      <c r="B1003" s="349">
        <v>45261</v>
      </c>
      <c r="C1003" s="70">
        <v>0.33333333333333331</v>
      </c>
      <c r="D1003" s="325" t="s">
        <v>2418</v>
      </c>
      <c r="E1003" s="382" t="s">
        <v>4213</v>
      </c>
      <c r="F1003" s="336">
        <v>4</v>
      </c>
      <c r="G1003" s="63" t="s">
        <v>43</v>
      </c>
      <c r="H1003" s="383">
        <v>45264</v>
      </c>
      <c r="I1003" s="65" t="s">
        <v>77</v>
      </c>
      <c r="J1003" s="349" t="s">
        <v>33</v>
      </c>
      <c r="K1003" s="63">
        <v>4</v>
      </c>
      <c r="L1003" s="63" t="s">
        <v>810</v>
      </c>
      <c r="M1003" s="63" t="s">
        <v>1430</v>
      </c>
      <c r="N1003" s="63" t="s">
        <v>4465</v>
      </c>
      <c r="O1003" s="206" t="str">
        <f ca="1">IF(H1003&lt;&gt;"",IF(H1003&lt;=TODAY(),"SI","NO"),"LIMBO")</f>
        <v>SI</v>
      </c>
      <c r="P1003" s="63" t="str">
        <f>IF($P$1=H1003,"DIASOL", "DIANOSOL")</f>
        <v>DIANOSOL</v>
      </c>
      <c r="Q1003" s="63" t="s">
        <v>902</v>
      </c>
      <c r="R1003" s="63" t="s">
        <v>100</v>
      </c>
      <c r="S1003" s="63" t="s">
        <v>2624</v>
      </c>
      <c r="T1003" s="267" t="str">
        <f>IF(G1003=$J$1,"SI","NO")</f>
        <v>NO</v>
      </c>
      <c r="U1003" s="81"/>
      <c r="V1003" s="7" t="str">
        <f ca="1">IF(color_Celda(E1003)=12106214,"ROSA",IF(color_Celda(E1003)=65535,"AMARILLO",IF(color_Celda(E1003)=5296274,"VERDE",IF(color_Celda(E1003)=16777215,"BLANCO","NO SE"))))</f>
        <v>ROSA</v>
      </c>
      <c r="W1003" s="336" t="s">
        <v>3439</v>
      </c>
      <c r="X1003" s="336" t="s">
        <v>4466</v>
      </c>
      <c r="Y1003" s="336"/>
      <c r="Z1003" s="118" t="s">
        <v>748</v>
      </c>
      <c r="AA1003" s="118" t="s">
        <v>1167</v>
      </c>
      <c r="AB1003" s="63" t="s">
        <v>1171</v>
      </c>
      <c r="AC1003" s="336" t="s">
        <v>1792</v>
      </c>
    </row>
    <row r="1004" spans="1:29" ht="60" customHeight="1">
      <c r="A1004" s="336">
        <v>968</v>
      </c>
      <c r="B1004" s="349">
        <v>45239</v>
      </c>
      <c r="C1004" s="568">
        <v>0.53125</v>
      </c>
      <c r="D1004" s="63" t="s">
        <v>3947</v>
      </c>
      <c r="E1004" s="64" t="s">
        <v>3948</v>
      </c>
      <c r="F1004" s="336">
        <v>2</v>
      </c>
      <c r="G1004" s="336" t="s">
        <v>1434</v>
      </c>
      <c r="H1004" s="383">
        <v>45265</v>
      </c>
      <c r="I1004" s="65" t="s">
        <v>73</v>
      </c>
      <c r="J1004" s="349" t="s">
        <v>1217</v>
      </c>
      <c r="K1004" s="336">
        <f>IFERROR(VLOOKUP(J1004,Jueces!$A$1:$B$11,2,FALSE),"")</f>
        <v>7</v>
      </c>
      <c r="L1004" s="63" t="s">
        <v>2077</v>
      </c>
      <c r="M1004" s="373" t="s">
        <v>700</v>
      </c>
      <c r="N1004" s="63" t="s">
        <v>4468</v>
      </c>
      <c r="O1004" s="78" t="str">
        <f ca="1">IF(H1004&lt;&gt;"",IF(H1004&lt;=TODAY(),"SI","NO"),"LIMBO")</f>
        <v>SI</v>
      </c>
      <c r="P1004" s="63" t="str">
        <f>IF($P$1=H1004,"DIASOL", "DIANOSOL")</f>
        <v>DIANOSOL</v>
      </c>
      <c r="Q1004" s="63" t="s">
        <v>897</v>
      </c>
      <c r="R1004" s="63" t="s">
        <v>900</v>
      </c>
      <c r="S1004" s="63" t="s">
        <v>1370</v>
      </c>
      <c r="T1004" s="81" t="str">
        <f>IF(G1004=$J$1,"SI","NO")</f>
        <v>NO</v>
      </c>
      <c r="U1004" s="81"/>
      <c r="V1004" s="7" t="str">
        <f ca="1">IF(color_Celda(E1004)=12106214,"ROSA",IF(color_Celda(E1004)=65535,"AMARILLO",IF(color_Celda(E1004)=5296274,"VERDE",IF(color_Celda(E1004)=16777215,"BLANCO","NO SE"))))</f>
        <v>ROSA</v>
      </c>
      <c r="W1004" s="336" t="s">
        <v>1007</v>
      </c>
      <c r="X1004" s="336" t="s">
        <v>4467</v>
      </c>
      <c r="Y1004" s="336"/>
      <c r="Z1004" s="336" t="s">
        <v>770</v>
      </c>
      <c r="AA1004" s="118" t="s">
        <v>1167</v>
      </c>
      <c r="AB1004" s="63" t="s">
        <v>3322</v>
      </c>
      <c r="AC1004" s="336"/>
    </row>
    <row r="1005" spans="1:29" ht="60" customHeight="1">
      <c r="A1005" s="336">
        <v>975</v>
      </c>
      <c r="B1005" s="349">
        <v>45240</v>
      </c>
      <c r="C1005" s="568">
        <v>0.46388888888888885</v>
      </c>
      <c r="D1005" s="63" t="s">
        <v>3961</v>
      </c>
      <c r="E1005" s="64" t="s">
        <v>3962</v>
      </c>
      <c r="F1005" s="336">
        <v>4</v>
      </c>
      <c r="G1005" s="336" t="s">
        <v>3324</v>
      </c>
      <c r="H1005" s="383">
        <v>45265</v>
      </c>
      <c r="I1005" s="65" t="s">
        <v>73</v>
      </c>
      <c r="J1005" s="349" t="s">
        <v>35</v>
      </c>
      <c r="K1005" s="336">
        <f>IFERROR(VLOOKUP(J1005,Jueces!$A$1:$B$11,2,FALSE),"")</f>
        <v>3</v>
      </c>
      <c r="L1005" s="63" t="s">
        <v>791</v>
      </c>
      <c r="M1005" s="63" t="s">
        <v>3755</v>
      </c>
      <c r="N1005" s="336" t="s">
        <v>2550</v>
      </c>
      <c r="O1005" s="78" t="str">
        <f ca="1">IF(H1005&lt;&gt;"",IF(H1005&lt;=TODAY(),"SI","NO"),"LIMBO")</f>
        <v>SI</v>
      </c>
      <c r="P1005" s="63" t="str">
        <f>IF($P$1=H1005,"DIASOL", "DIANOSOL")</f>
        <v>DIANOSOL</v>
      </c>
      <c r="Q1005" s="63" t="s">
        <v>897</v>
      </c>
      <c r="R1005" s="63" t="str">
        <f>VLOOKUP($Q1005,Resultados!$A$1:$B$49,2,FALSE)</f>
        <v>Libertad</v>
      </c>
      <c r="S1005" s="63" t="s">
        <v>749</v>
      </c>
      <c r="T1005" s="81" t="str">
        <f>IF(G1005=$J$1,"SI","NO")</f>
        <v>NO</v>
      </c>
      <c r="U1005" s="81"/>
      <c r="V1005" s="7" t="str">
        <f ca="1">IF(color_Celda(E1005)=12106214,"ROSA",IF(color_Celda(E1005)=65535,"AMARILLO",IF(color_Celda(E1005)=5296274,"VERDE",IF(color_Celda(E1005)=16777215,"BLANCO","NO SE"))))</f>
        <v>ROSA</v>
      </c>
      <c r="W1005" s="336" t="s">
        <v>1015</v>
      </c>
      <c r="X1005" s="336"/>
      <c r="Y1005" s="336"/>
      <c r="Z1005" s="336" t="s">
        <v>1039</v>
      </c>
      <c r="AA1005" s="118" t="s">
        <v>2869</v>
      </c>
      <c r="AB1005" s="63" t="s">
        <v>1173</v>
      </c>
      <c r="AC1005" s="336"/>
    </row>
    <row r="1006" spans="1:29" ht="60" customHeight="1">
      <c r="A1006" s="336">
        <v>985</v>
      </c>
      <c r="B1006" s="349">
        <v>45243</v>
      </c>
      <c r="C1006" s="568">
        <v>0.40208333333333335</v>
      </c>
      <c r="D1006" s="63" t="s">
        <v>3985</v>
      </c>
      <c r="E1006" s="64" t="s">
        <v>4032</v>
      </c>
      <c r="F1006" s="336">
        <v>3</v>
      </c>
      <c r="G1006" s="336" t="s">
        <v>3323</v>
      </c>
      <c r="H1006" s="383">
        <v>45265</v>
      </c>
      <c r="I1006" s="65" t="s">
        <v>73</v>
      </c>
      <c r="J1006" s="349" t="s">
        <v>33</v>
      </c>
      <c r="K1006" s="336">
        <f>IFERROR(VLOOKUP(J1006,Jueces!$A$1:$B$11,2,FALSE),"")</f>
        <v>4</v>
      </c>
      <c r="L1006" s="63" t="s">
        <v>807</v>
      </c>
      <c r="M1006" s="63" t="s">
        <v>695</v>
      </c>
      <c r="N1006" s="336" t="s">
        <v>2550</v>
      </c>
      <c r="O1006" s="78" t="str">
        <f ca="1">IF(H1006&lt;&gt;"",IF(H1006&lt;=TODAY(),"SI","NO"),"LIMBO")</f>
        <v>SI</v>
      </c>
      <c r="P1006" s="63" t="str">
        <f>IF($P$1=H1006,"DIASOL", "DIANOSOL")</f>
        <v>DIANOSOL</v>
      </c>
      <c r="Q1006" s="63" t="s">
        <v>897</v>
      </c>
      <c r="R1006" s="63" t="str">
        <f>VLOOKUP($Q1006,Resultados!$A$1:$B$49,2,FALSE)</f>
        <v>Libertad</v>
      </c>
      <c r="S1006" s="63" t="s">
        <v>3637</v>
      </c>
      <c r="T1006" s="81" t="str">
        <f>IF(G1006=$J$1,"SI","NO")</f>
        <v>NO</v>
      </c>
      <c r="U1006" s="81"/>
      <c r="V1006" s="7" t="str">
        <f ca="1">IF(color_Celda(E1006)=12106214,"ROSA",IF(color_Celda(E1006)=65535,"AMARILLO",IF(color_Celda(E1006)=5296274,"VERDE",IF(color_Celda(E1006)=16777215,"BLANCO","NO SE"))))</f>
        <v>ROSA</v>
      </c>
      <c r="W1006" s="336" t="s">
        <v>1013</v>
      </c>
      <c r="X1006" s="336"/>
      <c r="Y1006" s="336"/>
      <c r="Z1006" s="336" t="s">
        <v>3368</v>
      </c>
      <c r="AA1006" s="118" t="s">
        <v>3379</v>
      </c>
      <c r="AB1006" s="63" t="s">
        <v>1170</v>
      </c>
      <c r="AC1006" s="336"/>
    </row>
    <row r="1007" spans="1:29" ht="60" customHeight="1">
      <c r="A1007" s="336">
        <v>987</v>
      </c>
      <c r="B1007" s="349">
        <v>45243</v>
      </c>
      <c r="C1007" s="568">
        <v>0.5131944444444444</v>
      </c>
      <c r="D1007" s="63" t="s">
        <v>4009</v>
      </c>
      <c r="E1007" s="64" t="s">
        <v>4010</v>
      </c>
      <c r="F1007" s="336">
        <v>4</v>
      </c>
      <c r="G1007" s="336" t="s">
        <v>1433</v>
      </c>
      <c r="H1007" s="383">
        <v>45265</v>
      </c>
      <c r="I1007" s="65" t="s">
        <v>73</v>
      </c>
      <c r="J1007" s="349" t="s">
        <v>31</v>
      </c>
      <c r="K1007" s="336">
        <f>IFERROR(VLOOKUP(J1007,Jueces!$A$1:$B$11,2,FALSE),"")</f>
        <v>2</v>
      </c>
      <c r="L1007" s="63" t="s">
        <v>809</v>
      </c>
      <c r="M1007" s="7" t="s">
        <v>1956</v>
      </c>
      <c r="N1007" s="336" t="s">
        <v>4469</v>
      </c>
      <c r="O1007" s="78" t="str">
        <f ca="1">IF(H1007&lt;&gt;"",IF(H1007&lt;=TODAY(),"SI","NO"),"LIMBO")</f>
        <v>SI</v>
      </c>
      <c r="P1007" s="63" t="str">
        <f>IF($P$1=H1007,"DIASOL", "DIANOSOL")</f>
        <v>DIANOSOL</v>
      </c>
      <c r="Q1007" s="63" t="s">
        <v>902</v>
      </c>
      <c r="R1007" s="63" t="str">
        <f>VLOOKUP($Q1007,Resultados!$A$1:$B$49,2,FALSE)</f>
        <v>Juicio Abreviado</v>
      </c>
      <c r="S1007" s="63" t="s">
        <v>2238</v>
      </c>
      <c r="T1007" s="81" t="str">
        <f>IF(G1007=$J$1,"SI","NO")</f>
        <v>NO</v>
      </c>
      <c r="U1007" s="81"/>
      <c r="V1007" s="7" t="str">
        <f ca="1">IF(color_Celda(E1007)=12106214,"ROSA",IF(color_Celda(E1007)=65535,"AMARILLO",IF(color_Celda(E1007)=5296274,"VERDE",IF(color_Celda(E1007)=16777215,"BLANCO","NO SE"))))</f>
        <v>ROSA</v>
      </c>
      <c r="W1007" s="336" t="s">
        <v>1421</v>
      </c>
      <c r="X1007" s="336" t="s">
        <v>4470</v>
      </c>
      <c r="Y1007" s="336"/>
      <c r="Z1007" s="336" t="s">
        <v>743</v>
      </c>
      <c r="AA1007" s="118" t="s">
        <v>3378</v>
      </c>
      <c r="AB1007" s="63" t="s">
        <v>1169</v>
      </c>
      <c r="AC1007" s="336"/>
    </row>
    <row r="1008" spans="1:29" ht="60" customHeight="1">
      <c r="A1008" s="336">
        <v>1072</v>
      </c>
      <c r="B1008" s="349">
        <v>45261</v>
      </c>
      <c r="C1008" s="70">
        <v>0.33333333333333331</v>
      </c>
      <c r="D1008" s="63" t="s">
        <v>4302</v>
      </c>
      <c r="E1008" s="64" t="s">
        <v>4303</v>
      </c>
      <c r="F1008" s="336">
        <v>4</v>
      </c>
      <c r="G1008" s="336" t="s">
        <v>3791</v>
      </c>
      <c r="H1008" s="383">
        <v>45265</v>
      </c>
      <c r="I1008" s="65" t="s">
        <v>73</v>
      </c>
      <c r="J1008" s="349" t="s">
        <v>2922</v>
      </c>
      <c r="K1008" s="63" t="s">
        <v>1982</v>
      </c>
      <c r="L1008" s="63" t="s">
        <v>790</v>
      </c>
      <c r="M1008" s="335" t="s">
        <v>4186</v>
      </c>
      <c r="N1008" s="205" t="s">
        <v>4471</v>
      </c>
      <c r="O1008" s="78" t="str">
        <f ca="1">IF(H1008&lt;&gt;"",IF(H1008&lt;=TODAY(),"SI","NO"),"LIMBO")</f>
        <v>SI</v>
      </c>
      <c r="P1008" s="63" t="str">
        <f>IF($P$1=H1008,"DIASOL", "DIANOSOL")</f>
        <v>DIANOSOL</v>
      </c>
      <c r="Q1008" s="63" t="s">
        <v>903</v>
      </c>
      <c r="R1008" s="63" t="str">
        <f>VLOOKUP($Q1008,Resultados!$A$1:$B$49,2,FALSE)</f>
        <v>Juicio Abreviado</v>
      </c>
      <c r="S1008" s="63" t="s">
        <v>749</v>
      </c>
      <c r="T1008" s="81" t="str">
        <f>IF(G1008=$J$1,"SI","NO")</f>
        <v>NO</v>
      </c>
      <c r="U1008" s="81"/>
      <c r="V1008" s="7" t="str">
        <f ca="1">IF(color_Celda(E1008)=12106214,"ROSA",IF(color_Celda(E1008)=65535,"AMARILLO",IF(color_Celda(E1008)=5296274,"VERDE",IF(color_Celda(E1008)=16777215,"BLANCO","NO SE"))))</f>
        <v>ROSA</v>
      </c>
      <c r="W1008" s="336" t="s">
        <v>1230</v>
      </c>
      <c r="X1008" s="336"/>
      <c r="Y1008" s="336"/>
      <c r="Z1008" s="336" t="s">
        <v>1038</v>
      </c>
      <c r="AA1008" s="118" t="s">
        <v>2828</v>
      </c>
      <c r="AB1008" s="63" t="s">
        <v>3258</v>
      </c>
      <c r="AC1008" s="336"/>
    </row>
    <row r="1009" spans="1:29" ht="60" customHeight="1">
      <c r="A1009" s="63">
        <v>977</v>
      </c>
      <c r="B1009" s="349">
        <v>45240</v>
      </c>
      <c r="C1009" s="568">
        <v>0.52986111111111112</v>
      </c>
      <c r="D1009" s="63" t="s">
        <v>3970</v>
      </c>
      <c r="E1009" s="64" t="s">
        <v>4117</v>
      </c>
      <c r="F1009" s="336">
        <v>4</v>
      </c>
      <c r="G1009" s="336" t="s">
        <v>1435</v>
      </c>
      <c r="H1009" s="383">
        <v>45265</v>
      </c>
      <c r="I1009" s="65" t="s">
        <v>1083</v>
      </c>
      <c r="J1009" s="349" t="s">
        <v>1723</v>
      </c>
      <c r="K1009" s="336">
        <v>1</v>
      </c>
      <c r="L1009" s="63" t="s">
        <v>807</v>
      </c>
      <c r="M1009" s="63" t="s">
        <v>1866</v>
      </c>
      <c r="N1009" s="336" t="s">
        <v>4472</v>
      </c>
      <c r="O1009" s="78" t="str">
        <f ca="1">IF(H1009&lt;&gt;"",IF(H1009&lt;=TODAY(),"SI","NO"),"LIMBO")</f>
        <v>SI</v>
      </c>
      <c r="P1009" s="63" t="str">
        <f>IF($P$1=H1009,"DIASOL", "DIANOSOL")</f>
        <v>DIANOSOL</v>
      </c>
      <c r="Q1009" s="63" t="s">
        <v>902</v>
      </c>
      <c r="R1009" s="63" t="str">
        <f>VLOOKUP($Q1009,Resultados!$A$1:$B$49,2,FALSE)</f>
        <v>Juicio Abreviado</v>
      </c>
      <c r="S1009" s="63" t="s">
        <v>1002</v>
      </c>
      <c r="T1009" s="81" t="str">
        <f>IF(G1009=$J$1,"SI","NO")</f>
        <v>SI</v>
      </c>
      <c r="U1009" s="81"/>
      <c r="V1009" s="7" t="str">
        <f ca="1">IF(color_Celda(E1009)=12106214,"ROSA",IF(color_Celda(E1009)=65535,"AMARILLO",IF(color_Celda(E1009)=5296274,"VERDE",IF(color_Celda(E1009)=16777215,"BLANCO","NO SE"))))</f>
        <v>ROSA</v>
      </c>
      <c r="W1009" s="336" t="s">
        <v>1738</v>
      </c>
      <c r="X1009" s="336" t="s">
        <v>3155</v>
      </c>
      <c r="Y1009" s="336"/>
      <c r="Z1009" s="336" t="s">
        <v>748</v>
      </c>
      <c r="AA1009" s="118" t="s">
        <v>3378</v>
      </c>
      <c r="AB1009" s="63" t="s">
        <v>1173</v>
      </c>
      <c r="AC1009" s="336"/>
    </row>
    <row r="1010" spans="1:29" ht="60" customHeight="1">
      <c r="A1010" s="336">
        <v>990</v>
      </c>
      <c r="B1010" s="349">
        <v>45244</v>
      </c>
      <c r="C1010" s="568">
        <v>0.4145833333333333</v>
      </c>
      <c r="D1010" s="63" t="s">
        <v>4084</v>
      </c>
      <c r="E1010" s="64" t="s">
        <v>4203</v>
      </c>
      <c r="F1010" s="336">
        <v>4</v>
      </c>
      <c r="G1010" s="63" t="s">
        <v>568</v>
      </c>
      <c r="H1010" s="383">
        <v>45265</v>
      </c>
      <c r="I1010" s="65" t="s">
        <v>1083</v>
      </c>
      <c r="J1010" s="349" t="s">
        <v>78</v>
      </c>
      <c r="K1010" s="336">
        <f>IFERROR(VLOOKUP(J1010,Jueces!$A$1:$B$11,2,FALSE),"")</f>
        <v>8</v>
      </c>
      <c r="L1010" s="63" t="s">
        <v>791</v>
      </c>
      <c r="M1010" s="339" t="s">
        <v>4085</v>
      </c>
      <c r="N1010" s="63" t="s">
        <v>4482</v>
      </c>
      <c r="O1010" s="78" t="str">
        <f ca="1">IF(H1010&lt;&gt;"",IF(H1010&lt;=TODAY(),"SI","NO"),"LIMBO")</f>
        <v>SI</v>
      </c>
      <c r="P1010" s="63" t="str">
        <f>IF($P$1=H1010,"DIASOL", "DIANOSOL")</f>
        <v>DIANOSOL</v>
      </c>
      <c r="Q1010" s="63" t="s">
        <v>1010</v>
      </c>
      <c r="R1010" s="63" t="str">
        <f>VLOOKUP($Q1010,Resultados!$A$1:$B$49,2,FALSE)</f>
        <v>Suspendida</v>
      </c>
      <c r="S1010" s="63"/>
      <c r="T1010" s="81" t="str">
        <f>IF(G1010=$J$1,"SI","NO")</f>
        <v>NO</v>
      </c>
      <c r="U1010" s="81"/>
      <c r="V1010" s="7" t="str">
        <f ca="1">IF(color_Celda(E1010)=12106214,"ROSA",IF(color_Celda(E1010)=65535,"AMARILLO",IF(color_Celda(E1010)=5296274,"VERDE",IF(color_Celda(E1010)=16777215,"BLANCO","NO SE"))))</f>
        <v>ROSA</v>
      </c>
      <c r="W1010" s="336"/>
      <c r="X1010" s="336"/>
      <c r="Y1010" s="336"/>
      <c r="Z1010" s="336" t="s">
        <v>743</v>
      </c>
      <c r="AA1010" s="118" t="s">
        <v>3379</v>
      </c>
      <c r="AB1010" s="63" t="s">
        <v>1171</v>
      </c>
      <c r="AC1010" s="336"/>
    </row>
    <row r="1011" spans="1:29" ht="60" customHeight="1">
      <c r="A1011" s="336">
        <v>1010</v>
      </c>
      <c r="B1011" s="349">
        <v>45246</v>
      </c>
      <c r="C1011" s="568">
        <v>0.54097222222222219</v>
      </c>
      <c r="D1011" s="63" t="s">
        <v>4097</v>
      </c>
      <c r="E1011" s="64" t="s">
        <v>4267</v>
      </c>
      <c r="F1011" s="336">
        <v>4</v>
      </c>
      <c r="G1011" s="336" t="s">
        <v>2815</v>
      </c>
      <c r="H1011" s="383">
        <v>45265</v>
      </c>
      <c r="I1011" s="65" t="s">
        <v>1083</v>
      </c>
      <c r="J1011" s="349" t="s">
        <v>1217</v>
      </c>
      <c r="K1011" s="63">
        <v>7</v>
      </c>
      <c r="L1011" s="63" t="s">
        <v>789</v>
      </c>
      <c r="M1011" s="63" t="s">
        <v>1956</v>
      </c>
      <c r="N1011" s="63" t="s">
        <v>4473</v>
      </c>
      <c r="O1011" s="78" t="str">
        <f ca="1">IF(H1011&lt;&gt;"",IF(H1011&lt;=TODAY(),"SI","NO"),"LIMBO")</f>
        <v>SI</v>
      </c>
      <c r="P1011" s="63" t="str">
        <f>IF($P$1=H1011,"DIASOL", "DIANOSOL")</f>
        <v>DIANOSOL</v>
      </c>
      <c r="Q1011" s="63" t="s">
        <v>902</v>
      </c>
      <c r="R1011" s="63" t="str">
        <f>VLOOKUP($Q1011,Resultados!$A$1:$B$49,2,FALSE)</f>
        <v>Juicio Abreviado</v>
      </c>
      <c r="S1011" s="63" t="s">
        <v>1442</v>
      </c>
      <c r="T1011" s="81" t="str">
        <f>IF(G1011=$J$1,"SI","NO")</f>
        <v>NO</v>
      </c>
      <c r="U1011" s="81"/>
      <c r="V1011" s="7" t="str">
        <f ca="1">IF(color_Celda(E1011)=12106214,"ROSA",IF(color_Celda(E1011)=65535,"AMARILLO",IF(color_Celda(E1011)=5296274,"VERDE",IF(color_Celda(E1011)=16777215,"BLANCO","NO SE"))))</f>
        <v>ROSA</v>
      </c>
      <c r="W1011" s="336" t="s">
        <v>1584</v>
      </c>
      <c r="X1011" s="336" t="s">
        <v>3155</v>
      </c>
      <c r="Y1011" s="336"/>
      <c r="Z1011" s="336" t="s">
        <v>770</v>
      </c>
      <c r="AA1011" s="118" t="s">
        <v>2869</v>
      </c>
      <c r="AB1011" s="63" t="s">
        <v>3322</v>
      </c>
      <c r="AC1011" s="336"/>
    </row>
    <row r="1012" spans="1:29" ht="60" customHeight="1">
      <c r="A1012" s="336">
        <v>1084</v>
      </c>
      <c r="B1012" s="349">
        <v>45225</v>
      </c>
      <c r="C1012" s="568">
        <v>0.53125</v>
      </c>
      <c r="D1012" s="325" t="s">
        <v>4337</v>
      </c>
      <c r="E1012" s="382" t="s">
        <v>4338</v>
      </c>
      <c r="F1012" s="336">
        <v>3</v>
      </c>
      <c r="G1012" s="336" t="s">
        <v>43</v>
      </c>
      <c r="H1012" s="383">
        <v>45265</v>
      </c>
      <c r="I1012" s="65" t="s">
        <v>1206</v>
      </c>
      <c r="J1012" s="349" t="s">
        <v>33</v>
      </c>
      <c r="K1012" s="336">
        <f>IFERROR(VLOOKUP(J1012,Jueces!$A$1:$B$11,2,FALSE),"")</f>
        <v>4</v>
      </c>
      <c r="L1012" s="63" t="s">
        <v>807</v>
      </c>
      <c r="M1012" s="63" t="s">
        <v>695</v>
      </c>
      <c r="N1012" s="63" t="s">
        <v>4474</v>
      </c>
      <c r="O1012" s="78" t="str">
        <f ca="1">IF(H1012&lt;&gt;"",IF(H1012&lt;=TODAY(),"SI","NO"),"LIMBO")</f>
        <v>SI</v>
      </c>
      <c r="P1012" s="63" t="str">
        <f>IF($P$1=H1012,"DIASOL", "DIANOSOL")</f>
        <v>DIANOSOL</v>
      </c>
      <c r="Q1012" s="63" t="s">
        <v>903</v>
      </c>
      <c r="R1012" s="63" t="s">
        <v>100</v>
      </c>
      <c r="S1012" s="63" t="s">
        <v>3171</v>
      </c>
      <c r="T1012" s="81" t="str">
        <f>IF(G1012=$J$1,"SI","NO")</f>
        <v>NO</v>
      </c>
      <c r="U1012" s="81"/>
      <c r="V1012" s="7" t="str">
        <f ca="1">IF(color_Celda(E1012)=12106214,"ROSA",IF(color_Celda(E1012)=65535,"AMARILLO",IF(color_Celda(E1012)=5296274,"VERDE",IF(color_Celda(E1012)=16777215,"BLANCO","NO SE"))))</f>
        <v>ROSA</v>
      </c>
      <c r="W1012" s="336" t="s">
        <v>77</v>
      </c>
      <c r="X1012" s="336" t="s">
        <v>3155</v>
      </c>
      <c r="Y1012" s="336"/>
      <c r="Z1012" s="336" t="s">
        <v>3368</v>
      </c>
      <c r="AA1012" s="118" t="s">
        <v>3379</v>
      </c>
      <c r="AB1012" s="63" t="s">
        <v>1169</v>
      </c>
      <c r="AC1012" s="336" t="s">
        <v>1792</v>
      </c>
    </row>
    <row r="1013" spans="1:29" ht="60" customHeight="1">
      <c r="A1013" s="336">
        <v>998</v>
      </c>
      <c r="B1013" s="349">
        <v>45244</v>
      </c>
      <c r="C1013" s="568">
        <v>0.5395833333333333</v>
      </c>
      <c r="D1013" s="63" t="s">
        <v>4035</v>
      </c>
      <c r="E1013" s="64" t="s">
        <v>4137</v>
      </c>
      <c r="F1013" s="336">
        <v>4</v>
      </c>
      <c r="G1013" s="63" t="s">
        <v>283</v>
      </c>
      <c r="H1013" s="208">
        <v>45265</v>
      </c>
      <c r="I1013" s="65" t="s">
        <v>1206</v>
      </c>
      <c r="J1013" s="349" t="s">
        <v>1216</v>
      </c>
      <c r="K1013" s="336">
        <f>IFERROR(VLOOKUP(J1013,Jueces!$A$1:$B$11,2,FALSE),"")</f>
        <v>1</v>
      </c>
      <c r="L1013" s="63" t="s">
        <v>806</v>
      </c>
      <c r="M1013" s="63" t="s">
        <v>1956</v>
      </c>
      <c r="N1013" s="336" t="s">
        <v>4479</v>
      </c>
      <c r="O1013" s="78" t="str">
        <f ca="1">IF(H1013&lt;&gt;"",IF(H1013&lt;=TODAY(),"SI","NO"),"LIMBO")</f>
        <v>SI</v>
      </c>
      <c r="P1013" s="63" t="str">
        <f>IF($P$1=H1013,"DIASOL", "DIANOSOL")</f>
        <v>DIANOSOL</v>
      </c>
      <c r="Q1013" s="63" t="s">
        <v>902</v>
      </c>
      <c r="R1013" s="63" t="str">
        <f>VLOOKUP($Q1013,Resultados!$A$1:$B$49,2,FALSE)</f>
        <v>Juicio Abreviado</v>
      </c>
      <c r="S1013" s="63" t="s">
        <v>3253</v>
      </c>
      <c r="T1013" s="81" t="str">
        <f>IF(G1013=$J$1,"SI","NO")</f>
        <v>NO</v>
      </c>
      <c r="U1013" s="81"/>
      <c r="V1013" s="7" t="str">
        <f ca="1">IF(color_Celda(E1013)=12106214,"ROSA",IF(color_Celda(E1013)=65535,"AMARILLO",IF(color_Celda(E1013)=5296274,"VERDE",IF(color_Celda(E1013)=16777215,"BLANCO","NO SE"))))</f>
        <v>ROSA</v>
      </c>
      <c r="W1013" s="336" t="s">
        <v>1237</v>
      </c>
      <c r="X1013" s="63" t="s">
        <v>4480</v>
      </c>
      <c r="Y1013" s="336"/>
      <c r="Z1013" s="336" t="s">
        <v>748</v>
      </c>
      <c r="AA1013" s="118" t="s">
        <v>1167</v>
      </c>
      <c r="AB1013" s="63" t="s">
        <v>1170</v>
      </c>
      <c r="AC1013" s="336"/>
    </row>
    <row r="1014" spans="1:29" ht="60" customHeight="1">
      <c r="A1014" s="336">
        <v>1060</v>
      </c>
      <c r="B1014" s="349">
        <v>45254</v>
      </c>
      <c r="C1014" s="63" t="s">
        <v>1203</v>
      </c>
      <c r="D1014" s="63" t="s">
        <v>4272</v>
      </c>
      <c r="E1014" s="64" t="s">
        <v>4304</v>
      </c>
      <c r="F1014" s="336">
        <v>4</v>
      </c>
      <c r="G1014" s="336" t="s">
        <v>29</v>
      </c>
      <c r="H1014" s="383">
        <v>45265</v>
      </c>
      <c r="I1014" s="65" t="s">
        <v>3171</v>
      </c>
      <c r="J1014" s="349" t="s">
        <v>78</v>
      </c>
      <c r="K1014" s="336">
        <f>IFERROR(VLOOKUP(J1014,Jueces!$A$1:$B$11,2,FALSE),"")</f>
        <v>8</v>
      </c>
      <c r="L1014" s="63" t="s">
        <v>810</v>
      </c>
      <c r="M1014" s="63" t="s">
        <v>1956</v>
      </c>
      <c r="N1014" s="336" t="s">
        <v>4477</v>
      </c>
      <c r="O1014" s="78" t="str">
        <f ca="1">IF(H1014&lt;&gt;"",IF(H1014&lt;=TODAY(),"SI","NO"),"LIMBO")</f>
        <v>SI</v>
      </c>
      <c r="P1014" s="63" t="str">
        <f>IF($P$1=H1014,"DIASOL", "DIANOSOL")</f>
        <v>DIANOSOL</v>
      </c>
      <c r="Q1014" s="63" t="s">
        <v>151</v>
      </c>
      <c r="R1014" s="63" t="str">
        <f>VLOOKUP($Q1014,Resultados!$A$1:$B$49,2,FALSE)</f>
        <v>Prisión Preventiva</v>
      </c>
      <c r="S1014" s="63" t="s">
        <v>4475</v>
      </c>
      <c r="T1014" s="81" t="str">
        <f>IF(G1014=$J$1,"SI","NO")</f>
        <v>NO</v>
      </c>
      <c r="U1014" s="81"/>
      <c r="V1014" s="7" t="str">
        <f ca="1">IF(color_Celda(E1014)=12106214,"ROSA",IF(color_Celda(E1014)=65535,"AMARILLO",IF(color_Celda(E1014)=5296274,"VERDE",IF(color_Celda(E1014)=16777215,"BLANCO","NO SE"))))</f>
        <v>ROSA</v>
      </c>
      <c r="W1014" s="336" t="s">
        <v>4476</v>
      </c>
      <c r="X1014" s="336" t="s">
        <v>4478</v>
      </c>
      <c r="Y1014" s="336"/>
      <c r="Z1014" s="336" t="s">
        <v>3368</v>
      </c>
      <c r="AA1014" s="118" t="s">
        <v>1165</v>
      </c>
      <c r="AB1014" s="63" t="s">
        <v>1171</v>
      </c>
      <c r="AC1014" s="336"/>
    </row>
    <row r="1015" spans="1:29" ht="60" customHeight="1">
      <c r="A1015" s="336">
        <v>1002</v>
      </c>
      <c r="B1015" s="349">
        <v>45261</v>
      </c>
      <c r="C1015" s="568">
        <v>0.33611111111111108</v>
      </c>
      <c r="D1015" s="63" t="s">
        <v>4083</v>
      </c>
      <c r="E1015" s="355" t="s">
        <v>4045</v>
      </c>
      <c r="F1015" s="336">
        <v>5</v>
      </c>
      <c r="G1015" s="336" t="s">
        <v>3791</v>
      </c>
      <c r="H1015" s="383">
        <v>45265</v>
      </c>
      <c r="I1015" s="65" t="s">
        <v>3171</v>
      </c>
      <c r="J1015" s="349" t="s">
        <v>1216</v>
      </c>
      <c r="K1015" s="336">
        <f>IFERROR(VLOOKUP(J1015,Jueces!$A$1:$B$11,2,FALSE),"")</f>
        <v>1</v>
      </c>
      <c r="L1015" s="63" t="s">
        <v>799</v>
      </c>
      <c r="M1015" s="63" t="s">
        <v>1866</v>
      </c>
      <c r="N1015" s="118" t="s">
        <v>4463</v>
      </c>
      <c r="O1015" s="78" t="str">
        <f ca="1">IF(H1015&lt;&gt;"",IF(H1015&lt;=TODAY(),"SI","NO"),"LIMBO")</f>
        <v>SI</v>
      </c>
      <c r="P1015" s="63" t="str">
        <f>IF($P$1=H1015,"DIASOL", "DIANOSOL")</f>
        <v>DIANOSOL</v>
      </c>
      <c r="Q1015" s="63" t="s">
        <v>1010</v>
      </c>
      <c r="R1015" s="63" t="s">
        <v>947</v>
      </c>
      <c r="S1015" s="63"/>
      <c r="T1015" s="81" t="str">
        <f>IF(G1015=$J$1,"SI","NO")</f>
        <v>NO</v>
      </c>
      <c r="U1015" s="81"/>
      <c r="V1015" s="7" t="str">
        <f ca="1">IF(color_Celda(E1015)=12106214,"ROSA",IF(color_Celda(E1015)=65535,"AMARILLO",IF(color_Celda(E1015)=5296274,"VERDE",IF(color_Celda(E1015)=16777215,"BLANCO","NO SE"))))</f>
        <v>ROSA</v>
      </c>
      <c r="W1015" s="336"/>
      <c r="X1015" s="336"/>
      <c r="Y1015" s="336"/>
      <c r="Z1015" s="336" t="s">
        <v>748</v>
      </c>
      <c r="AA1015" s="118" t="s">
        <v>2869</v>
      </c>
      <c r="AB1015" s="63" t="s">
        <v>3258</v>
      </c>
      <c r="AC1015" s="336"/>
    </row>
    <row r="1016" spans="1:29" ht="60" customHeight="1">
      <c r="A1016" s="336">
        <v>1030</v>
      </c>
      <c r="B1016" s="65">
        <v>45261</v>
      </c>
      <c r="C1016" s="568">
        <v>0.4375</v>
      </c>
      <c r="D1016" s="63" t="s">
        <v>4135</v>
      </c>
      <c r="E1016" s="64" t="s">
        <v>4136</v>
      </c>
      <c r="F1016" s="336">
        <v>4</v>
      </c>
      <c r="G1016" s="336" t="s">
        <v>1435</v>
      </c>
      <c r="H1016" s="383">
        <v>45265</v>
      </c>
      <c r="I1016" s="65" t="s">
        <v>77</v>
      </c>
      <c r="J1016" s="349" t="s">
        <v>33</v>
      </c>
      <c r="K1016" s="63" t="s">
        <v>2285</v>
      </c>
      <c r="L1016" s="63" t="s">
        <v>801</v>
      </c>
      <c r="M1016" s="63" t="s">
        <v>1866</v>
      </c>
      <c r="N1016" s="63" t="s">
        <v>4481</v>
      </c>
      <c r="O1016" s="78" t="str">
        <f ca="1">IF(H1016&lt;&gt;"",IF(H1016&lt;=TODAY(),"SI","NO"),"LIMBO")</f>
        <v>SI</v>
      </c>
      <c r="P1016" s="78" t="str">
        <f>IF($P$1=H1016,"DIASOL", "DIANOSOL")</f>
        <v>DIANOSOL</v>
      </c>
      <c r="Q1016" s="63" t="s">
        <v>911</v>
      </c>
      <c r="R1016" s="63" t="str">
        <f>VLOOKUP($Q1016,Resultados!$A$1:$B$49,2,FALSE)</f>
        <v>Prision domiciliaria</v>
      </c>
      <c r="S1016" s="63" t="s">
        <v>3542</v>
      </c>
      <c r="T1016" s="81" t="str">
        <f>IF(G1016=$J$1,"SI","NO")</f>
        <v>SI</v>
      </c>
      <c r="U1016" s="81"/>
      <c r="V1016" s="7" t="str">
        <f ca="1">IF(color_Celda(E1016)=12106214,"ROSA",IF(color_Celda(E1016)=65535,"AMARILLO",IF(color_Celda(E1016)=5296274,"VERDE",IF(color_Celda(E1016)=16777215,"BLANCO","NO SE"))))</f>
        <v>ROSA</v>
      </c>
      <c r="W1016" s="63" t="s">
        <v>1763</v>
      </c>
      <c r="X1016" s="63" t="s">
        <v>2552</v>
      </c>
      <c r="Y1016" s="336"/>
      <c r="Z1016" s="63" t="s">
        <v>770</v>
      </c>
      <c r="AA1016" s="118" t="s">
        <v>3378</v>
      </c>
      <c r="AB1016" s="63" t="s">
        <v>3322</v>
      </c>
      <c r="AC1016" s="336"/>
    </row>
    <row r="1017" spans="1:29" ht="60" customHeight="1">
      <c r="A1017" s="336">
        <v>992</v>
      </c>
      <c r="B1017" s="349">
        <v>45244</v>
      </c>
      <c r="C1017" s="568">
        <v>0.3833333333333333</v>
      </c>
      <c r="D1017" s="63" t="s">
        <v>4089</v>
      </c>
      <c r="E1017" s="64" t="s">
        <v>4018</v>
      </c>
      <c r="F1017" s="63">
        <v>4</v>
      </c>
      <c r="G1017" s="336" t="s">
        <v>568</v>
      </c>
      <c r="H1017" s="383">
        <v>45266</v>
      </c>
      <c r="I1017" s="65" t="s">
        <v>73</v>
      </c>
      <c r="J1017" s="349" t="s">
        <v>78</v>
      </c>
      <c r="K1017" s="336">
        <f>IFERROR(VLOOKUP(J1017,Jueces!$A$1:$B$11,2,FALSE),"")</f>
        <v>8</v>
      </c>
      <c r="L1017" s="63" t="s">
        <v>807</v>
      </c>
      <c r="M1017" s="63" t="s">
        <v>1956</v>
      </c>
      <c r="N1017" s="63" t="s">
        <v>4484</v>
      </c>
      <c r="O1017" s="78" t="str">
        <f ca="1">IF(H1017&lt;&gt;"",IF(H1017&lt;=TODAY(),"SI","NO"),"LIMBO")</f>
        <v>SI</v>
      </c>
      <c r="P1017" s="63" t="str">
        <f>IF($P$1=H1017,"DIASOL", "DIANOSOL")</f>
        <v>DIANOSOL</v>
      </c>
      <c r="Q1017" s="63" t="s">
        <v>902</v>
      </c>
      <c r="R1017" s="63" t="s">
        <v>100</v>
      </c>
      <c r="S1017" s="63" t="s">
        <v>1291</v>
      </c>
      <c r="T1017" s="81" t="str">
        <f>IF(G1017=$J$1,"SI","NO")</f>
        <v>NO</v>
      </c>
      <c r="U1017" s="81"/>
      <c r="V1017" s="7" t="str">
        <f ca="1">IF(color_Celda(E1017)=12106214,"ROSA",IF(color_Celda(E1017)=65535,"AMARILLO",IF(color_Celda(E1017)=5296274,"VERDE",IF(color_Celda(E1017)=16777215,"BLANCO","NO SE"))))</f>
        <v>ROSA</v>
      </c>
      <c r="W1017" s="63" t="s">
        <v>1125</v>
      </c>
      <c r="X1017" s="63" t="s">
        <v>4485</v>
      </c>
      <c r="Y1017" s="336"/>
      <c r="Z1017" s="336" t="s">
        <v>748</v>
      </c>
      <c r="AA1017" s="118" t="s">
        <v>3379</v>
      </c>
      <c r="AB1017" s="63" t="s">
        <v>1173</v>
      </c>
      <c r="AC1017" s="336"/>
    </row>
    <row r="1018" spans="1:29" ht="60" customHeight="1">
      <c r="A1018" s="336">
        <v>994</v>
      </c>
      <c r="B1018" s="349">
        <v>45244</v>
      </c>
      <c r="C1018" s="568">
        <v>0.37777777777777777</v>
      </c>
      <c r="D1018" s="63" t="s">
        <v>4021</v>
      </c>
      <c r="E1018" s="64" t="s">
        <v>4022</v>
      </c>
      <c r="F1018" s="336">
        <v>4</v>
      </c>
      <c r="G1018" s="336" t="s">
        <v>2752</v>
      </c>
      <c r="H1018" s="383">
        <v>45266</v>
      </c>
      <c r="I1018" s="65" t="s">
        <v>73</v>
      </c>
      <c r="J1018" s="349" t="s">
        <v>31</v>
      </c>
      <c r="K1018" s="336">
        <f>IFERROR(VLOOKUP(J1018,Jueces!$A$1:$B$11,2,FALSE),"")</f>
        <v>2</v>
      </c>
      <c r="L1018" s="63" t="s">
        <v>800</v>
      </c>
      <c r="M1018" s="63" t="s">
        <v>2201</v>
      </c>
      <c r="N1018" s="63" t="s">
        <v>621</v>
      </c>
      <c r="O1018" s="78" t="str">
        <f ca="1">IF(H1018&lt;&gt;"",IF(H1018&lt;=TODAY(),"SI","NO"),"LIMBO")</f>
        <v>SI</v>
      </c>
      <c r="P1018" s="63" t="str">
        <f>IF($P$1=H1018,"DIASOL", "DIANOSOL")</f>
        <v>DIANOSOL</v>
      </c>
      <c r="Q1018" s="63" t="s">
        <v>151</v>
      </c>
      <c r="R1018" s="63" t="str">
        <f>VLOOKUP($Q1018,Resultados!$A$1:$B$49,2,FALSE)</f>
        <v>Prisión Preventiva</v>
      </c>
      <c r="S1018" s="63" t="s">
        <v>686</v>
      </c>
      <c r="T1018" s="81" t="str">
        <f>IF(G1018=$J$1,"SI","NO")</f>
        <v>NO</v>
      </c>
      <c r="U1018" s="81"/>
      <c r="V1018" s="7" t="str">
        <f ca="1">IF(color_Celda(E1018)=12106214,"ROSA",IF(color_Celda(E1018)=65535,"AMARILLO",IF(color_Celda(E1018)=5296274,"VERDE",IF(color_Celda(E1018)=16777215,"BLANCO","NO SE"))))</f>
        <v>ROSA</v>
      </c>
      <c r="W1018" s="63" t="s">
        <v>1081</v>
      </c>
      <c r="X1018" s="63" t="s">
        <v>2552</v>
      </c>
      <c r="Y1018" s="336"/>
      <c r="Z1018" s="336" t="s">
        <v>743</v>
      </c>
      <c r="AA1018" s="118" t="s">
        <v>2869</v>
      </c>
      <c r="AB1018" s="63" t="s">
        <v>1170</v>
      </c>
      <c r="AC1018" s="336"/>
    </row>
    <row r="1019" spans="1:29" ht="60" customHeight="1">
      <c r="A1019" s="336">
        <v>1000</v>
      </c>
      <c r="B1019" s="349">
        <v>45245</v>
      </c>
      <c r="C1019" s="568">
        <v>0.39513888888888887</v>
      </c>
      <c r="D1019" s="63" t="s">
        <v>4036</v>
      </c>
      <c r="E1019" s="64" t="s">
        <v>4037</v>
      </c>
      <c r="F1019" s="336">
        <v>4</v>
      </c>
      <c r="G1019" s="63" t="s">
        <v>1435</v>
      </c>
      <c r="H1019" s="383">
        <v>45266</v>
      </c>
      <c r="I1019" s="65" t="s">
        <v>73</v>
      </c>
      <c r="J1019" s="349" t="s">
        <v>33</v>
      </c>
      <c r="K1019" s="336">
        <f>IFERROR(VLOOKUP(J1019,Jueces!$A$1:$B$11,2,FALSE),"")</f>
        <v>4</v>
      </c>
      <c r="L1019" s="63" t="s">
        <v>802</v>
      </c>
      <c r="M1019" s="335" t="s">
        <v>4116</v>
      </c>
      <c r="N1019" s="336" t="s">
        <v>4483</v>
      </c>
      <c r="O1019" s="78" t="str">
        <f ca="1">IF(H1019&lt;&gt;"",IF(H1019&lt;=TODAY(),"SI","NO"),"LIMBO")</f>
        <v>SI</v>
      </c>
      <c r="P1019" s="63" t="str">
        <f>IF($P$1=H1019,"DIASOL", "DIANOSOL")</f>
        <v>DIANOSOL</v>
      </c>
      <c r="Q1019" s="63" t="s">
        <v>903</v>
      </c>
      <c r="R1019" s="63" t="s">
        <v>100</v>
      </c>
      <c r="S1019" s="63" t="s">
        <v>2402</v>
      </c>
      <c r="T1019" s="81" t="str">
        <f>IF(G1019=$J$1,"SI","NO")</f>
        <v>SI</v>
      </c>
      <c r="U1019" s="81"/>
      <c r="V1019" s="7" t="str">
        <f ca="1">IF(color_Celda(E1019)=12106214,"ROSA",IF(color_Celda(E1019)=65535,"AMARILLO",IF(color_Celda(E1019)=5296274,"VERDE",IF(color_Celda(E1019)=16777215,"BLANCO","NO SE"))))</f>
        <v>ROSA</v>
      </c>
      <c r="W1019" s="63" t="s">
        <v>1119</v>
      </c>
      <c r="X1019" s="63" t="s">
        <v>2552</v>
      </c>
      <c r="Y1019" s="336"/>
      <c r="Z1019" s="336" t="s">
        <v>1038</v>
      </c>
      <c r="AA1019" s="118" t="s">
        <v>1167</v>
      </c>
      <c r="AB1019" s="63" t="s">
        <v>1169</v>
      </c>
      <c r="AC1019" s="336"/>
    </row>
    <row r="1020" spans="1:29" ht="60" customHeight="1">
      <c r="A1020" s="336">
        <v>1004</v>
      </c>
      <c r="B1020" s="349">
        <v>45245</v>
      </c>
      <c r="C1020" s="568">
        <v>0.53749999999999998</v>
      </c>
      <c r="D1020" s="63" t="s">
        <v>4079</v>
      </c>
      <c r="E1020" s="64" t="s">
        <v>4080</v>
      </c>
      <c r="F1020" s="336">
        <v>4</v>
      </c>
      <c r="G1020" s="336" t="s">
        <v>2815</v>
      </c>
      <c r="H1020" s="383">
        <v>45266</v>
      </c>
      <c r="I1020" s="65" t="s">
        <v>73</v>
      </c>
      <c r="J1020" s="349" t="s">
        <v>1217</v>
      </c>
      <c r="K1020" s="336">
        <f>IFERROR(VLOOKUP(J1020,Jueces!$A$1:$B$11,2,FALSE),"")</f>
        <v>7</v>
      </c>
      <c r="L1020" s="63" t="s">
        <v>797</v>
      </c>
      <c r="M1020" s="7" t="s">
        <v>3755</v>
      </c>
      <c r="N1020" s="63" t="s">
        <v>2573</v>
      </c>
      <c r="O1020" s="78" t="str">
        <f ca="1">IF(H1020&lt;&gt;"",IF(H1020&lt;=TODAY(),"SI","NO"),"LIMBO")</f>
        <v>SI</v>
      </c>
      <c r="P1020" s="63" t="str">
        <f>IF($P$1=H1020,"DIASOL", "DIANOSOL")</f>
        <v>DIANOSOL</v>
      </c>
      <c r="Q1020" s="63" t="s">
        <v>902</v>
      </c>
      <c r="R1020" s="63" t="s">
        <v>100</v>
      </c>
      <c r="S1020" s="63" t="s">
        <v>1370</v>
      </c>
      <c r="T1020" s="81" t="str">
        <f>IF(G1020=$J$1,"SI","NO")</f>
        <v>NO</v>
      </c>
      <c r="U1020" s="81"/>
      <c r="V1020" s="7" t="str">
        <f ca="1">IF(color_Celda(E1020)=12106214,"ROSA",IF(color_Celda(E1020)=65535,"AMARILLO",IF(color_Celda(E1020)=5296274,"VERDE",IF(color_Celda(E1020)=16777215,"BLANCO","NO SE"))))</f>
        <v>ROSA</v>
      </c>
      <c r="W1020" s="63" t="s">
        <v>1227</v>
      </c>
      <c r="X1020" s="63" t="s">
        <v>2552</v>
      </c>
      <c r="Y1020" s="336"/>
      <c r="Z1020" s="336" t="s">
        <v>770</v>
      </c>
      <c r="AA1020" s="118" t="s">
        <v>2828</v>
      </c>
      <c r="AB1020" s="63" t="s">
        <v>3258</v>
      </c>
      <c r="AC1020" s="336"/>
    </row>
    <row r="1021" spans="1:29" ht="60" customHeight="1">
      <c r="A1021" s="336">
        <v>1038</v>
      </c>
      <c r="B1021" s="349">
        <v>45252</v>
      </c>
      <c r="C1021" s="568">
        <v>0.33333333333333331</v>
      </c>
      <c r="D1021" s="63" t="s">
        <v>1310</v>
      </c>
      <c r="E1021" s="355" t="s">
        <v>4141</v>
      </c>
      <c r="F1021" s="336">
        <v>3</v>
      </c>
      <c r="G1021" s="336" t="s">
        <v>2766</v>
      </c>
      <c r="H1021" s="383">
        <v>45266</v>
      </c>
      <c r="I1021" s="65" t="s">
        <v>73</v>
      </c>
      <c r="J1021" s="349" t="s">
        <v>1723</v>
      </c>
      <c r="K1021" s="63" t="s">
        <v>1341</v>
      </c>
      <c r="L1021" s="63" t="s">
        <v>192</v>
      </c>
      <c r="M1021" s="365" t="s">
        <v>1519</v>
      </c>
      <c r="N1021" s="63" t="s">
        <v>577</v>
      </c>
      <c r="O1021" s="78" t="str">
        <f ca="1">IF(H1021&lt;&gt;"",IF(H1021&lt;=TODAY(),"SI","NO"),"LIMBO")</f>
        <v>SI</v>
      </c>
      <c r="P1021" s="63" t="str">
        <f>IF($P$1=H1021,"DIASOL", "DIANOSOL")</f>
        <v>DIANOSOL</v>
      </c>
      <c r="Q1021" s="63" t="s">
        <v>151</v>
      </c>
      <c r="R1021" s="63" t="str">
        <f>VLOOKUP($Q1021,Resultados!$A$1:$B$49,2,FALSE)</f>
        <v>Prisión Preventiva</v>
      </c>
      <c r="S1021" s="63" t="s">
        <v>1130</v>
      </c>
      <c r="T1021" s="81" t="str">
        <f>IF(G1021=$J$1,"SI","NO")</f>
        <v>NO</v>
      </c>
      <c r="U1021" s="81"/>
      <c r="V1021" s="7" t="str">
        <f ca="1">IF(color_Celda(E1021)=12106214,"ROSA",IF(color_Celda(E1021)=65535,"AMARILLO",IF(color_Celda(E1021)=5296274,"VERDE",IF(color_Celda(E1021)=16777215,"BLANCO","NO SE"))))</f>
        <v>ROSA</v>
      </c>
      <c r="W1021" s="63" t="s">
        <v>4492</v>
      </c>
      <c r="X1021" s="63" t="s">
        <v>2552</v>
      </c>
      <c r="Y1021" s="336"/>
      <c r="Z1021" s="336" t="s">
        <v>3368</v>
      </c>
      <c r="AA1021" s="118" t="s">
        <v>3379</v>
      </c>
      <c r="AB1021" s="63" t="s">
        <v>1171</v>
      </c>
      <c r="AC1021" s="336"/>
    </row>
    <row r="1022" spans="1:29" ht="60" customHeight="1">
      <c r="A1022" s="336">
        <v>1006</v>
      </c>
      <c r="B1022" s="349">
        <v>45264</v>
      </c>
      <c r="C1022" s="568">
        <v>0.49305555555555558</v>
      </c>
      <c r="D1022" s="63" t="s">
        <v>4086</v>
      </c>
      <c r="E1022" s="64" t="s">
        <v>4087</v>
      </c>
      <c r="F1022" s="336">
        <v>4</v>
      </c>
      <c r="G1022" s="336" t="s">
        <v>283</v>
      </c>
      <c r="H1022" s="383">
        <v>45266</v>
      </c>
      <c r="I1022" s="65" t="s">
        <v>73</v>
      </c>
      <c r="J1022" s="349" t="s">
        <v>2925</v>
      </c>
      <c r="K1022" s="63" t="s">
        <v>1916</v>
      </c>
      <c r="L1022" s="63" t="s">
        <v>808</v>
      </c>
      <c r="M1022" s="335" t="s">
        <v>4088</v>
      </c>
      <c r="N1022" s="63" t="s">
        <v>621</v>
      </c>
      <c r="O1022" s="78" t="str">
        <f ca="1">IF(H1022&lt;&gt;"",IF(H1022&lt;=TODAY(),"SI","NO"),"LIMBO")</f>
        <v>SI</v>
      </c>
      <c r="P1022" s="63" t="str">
        <f>IF($P$1=H1022,"DIASOL", "DIANOSOL")</f>
        <v>DIANOSOL</v>
      </c>
      <c r="Q1022" s="63" t="s">
        <v>151</v>
      </c>
      <c r="R1022" s="63" t="str">
        <f>VLOOKUP($Q1022,Resultados!$A$1:$B$49,2,FALSE)</f>
        <v>Prisión Preventiva</v>
      </c>
      <c r="S1022" s="63" t="s">
        <v>2402</v>
      </c>
      <c r="T1022" s="81" t="str">
        <f>IF(G1022=$J$1,"SI","NO")</f>
        <v>NO</v>
      </c>
      <c r="U1022" s="81"/>
      <c r="V1022" s="7" t="str">
        <f ca="1">IF(color_Celda(E1022)=12106214,"ROSA",IF(color_Celda(E1022)=65535,"AMARILLO",IF(color_Celda(E1022)=5296274,"VERDE",IF(color_Celda(E1022)=16777215,"BLANCO","NO SE"))))</f>
        <v>ROSA</v>
      </c>
      <c r="W1022" s="63" t="s">
        <v>1431</v>
      </c>
      <c r="X1022" s="63" t="s">
        <v>4491</v>
      </c>
      <c r="Y1022" s="336"/>
      <c r="Z1022" s="336" t="s">
        <v>1039</v>
      </c>
      <c r="AA1022" s="118" t="s">
        <v>3378</v>
      </c>
      <c r="AB1022" s="63" t="s">
        <v>1171</v>
      </c>
      <c r="AC1022" s="336"/>
    </row>
    <row r="1023" spans="1:29" ht="60" customHeight="1">
      <c r="A1023" s="336">
        <v>976</v>
      </c>
      <c r="B1023" s="349">
        <v>45240</v>
      </c>
      <c r="C1023" s="568">
        <v>0.45416666666666666</v>
      </c>
      <c r="D1023" s="63" t="s">
        <v>3963</v>
      </c>
      <c r="E1023" s="64" t="s">
        <v>4090</v>
      </c>
      <c r="F1023" s="336">
        <v>4</v>
      </c>
      <c r="G1023" s="336" t="s">
        <v>3323</v>
      </c>
      <c r="H1023" s="383">
        <v>45266</v>
      </c>
      <c r="I1023" s="65" t="s">
        <v>1083</v>
      </c>
      <c r="J1023" s="349" t="s">
        <v>35</v>
      </c>
      <c r="K1023" s="336">
        <f>IFERROR(VLOOKUP(J1023,Jueces!$A$1:$B$11,2,FALSE),"")</f>
        <v>3</v>
      </c>
      <c r="L1023" s="63" t="s">
        <v>807</v>
      </c>
      <c r="M1023" s="63" t="s">
        <v>1866</v>
      </c>
      <c r="N1023" s="63" t="s">
        <v>4486</v>
      </c>
      <c r="O1023" s="78" t="str">
        <f ca="1">IF(H1023&lt;&gt;"",IF(H1023&lt;=TODAY(),"SI","NO"),"LIMBO")</f>
        <v>SI</v>
      </c>
      <c r="P1023" s="63" t="str">
        <f>IF($P$1=H1023,"DIASOL", "DIANOSOL")</f>
        <v>DIANOSOL</v>
      </c>
      <c r="Q1023" s="63" t="s">
        <v>902</v>
      </c>
      <c r="R1023" s="63" t="s">
        <v>100</v>
      </c>
      <c r="S1023" s="63" t="s">
        <v>2685</v>
      </c>
      <c r="T1023" s="81" t="str">
        <f>IF(G1023=$J$1,"SI","NO")</f>
        <v>NO</v>
      </c>
      <c r="U1023" s="81"/>
      <c r="V1023" s="7" t="str">
        <f ca="1">IF(color_Celda(E1023)=12106214,"ROSA",IF(color_Celda(E1023)=65535,"AMARILLO",IF(color_Celda(E1023)=5296274,"VERDE",IF(color_Celda(E1023)=16777215,"BLANCO","NO SE"))))</f>
        <v>ROSA</v>
      </c>
      <c r="W1023" s="63" t="s">
        <v>2688</v>
      </c>
      <c r="X1023" s="63" t="s">
        <v>4235</v>
      </c>
      <c r="Y1023" s="336"/>
      <c r="Z1023" s="336" t="s">
        <v>743</v>
      </c>
      <c r="AA1023" s="118" t="s">
        <v>2828</v>
      </c>
      <c r="AB1023" s="63" t="s">
        <v>1170</v>
      </c>
      <c r="AC1023" s="336"/>
    </row>
    <row r="1024" spans="1:29" ht="60" customHeight="1">
      <c r="A1024" s="336">
        <v>996</v>
      </c>
      <c r="B1024" s="349">
        <v>45244</v>
      </c>
      <c r="C1024" s="568">
        <v>0.33333333333333331</v>
      </c>
      <c r="D1024" s="63" t="s">
        <v>4023</v>
      </c>
      <c r="E1024" s="64" t="s">
        <v>4024</v>
      </c>
      <c r="F1024" s="336">
        <v>4</v>
      </c>
      <c r="G1024" s="336" t="s">
        <v>1434</v>
      </c>
      <c r="H1024" s="383">
        <v>45266</v>
      </c>
      <c r="I1024" s="65" t="s">
        <v>1083</v>
      </c>
      <c r="J1024" s="349" t="s">
        <v>1216</v>
      </c>
      <c r="K1024" s="336">
        <f>IFERROR(VLOOKUP(J1024,Jueces!$A$1:$B$11,2,FALSE),"")</f>
        <v>1</v>
      </c>
      <c r="L1024" s="63" t="s">
        <v>798</v>
      </c>
      <c r="M1024" s="63" t="s">
        <v>1956</v>
      </c>
      <c r="N1024" s="63" t="s">
        <v>4490</v>
      </c>
      <c r="O1024" s="78" t="str">
        <f ca="1">IF(H1024&lt;&gt;"",IF(H1024&lt;=TODAY(),"SI","NO"),"LIMBO")</f>
        <v>SI</v>
      </c>
      <c r="P1024" s="63" t="str">
        <f>IF($P$1=H1024,"DIASOL", "DIANOSOL")</f>
        <v>DIANOSOL</v>
      </c>
      <c r="Q1024" s="63" t="s">
        <v>903</v>
      </c>
      <c r="R1024" s="63" t="str">
        <f>VLOOKUP($Q1024,Resultados!$A$1:$B$49,2,FALSE)</f>
        <v>Juicio Abreviado</v>
      </c>
      <c r="S1024" s="63" t="s">
        <v>1248</v>
      </c>
      <c r="T1024" s="81" t="str">
        <f>IF(G1024=$J$1,"SI","NO")</f>
        <v>NO</v>
      </c>
      <c r="U1024" s="81"/>
      <c r="V1024" s="7" t="str">
        <f ca="1">IF(color_Celda(E1024)=12106214,"ROSA",IF(color_Celda(E1024)=65535,"AMARILLO",IF(color_Celda(E1024)=5296274,"VERDE",IF(color_Celda(E1024)=16777215,"BLANCO","NO SE"))))</f>
        <v>ROSA</v>
      </c>
      <c r="W1024" s="63" t="s">
        <v>3157</v>
      </c>
      <c r="X1024" s="63" t="s">
        <v>3155</v>
      </c>
      <c r="Y1024" s="336"/>
      <c r="Z1024" s="336" t="s">
        <v>3368</v>
      </c>
      <c r="AA1024" s="118" t="s">
        <v>1167</v>
      </c>
      <c r="AB1024" s="63" t="s">
        <v>3258</v>
      </c>
      <c r="AC1024" s="336"/>
    </row>
    <row r="1025" spans="1:29" ht="60" customHeight="1">
      <c r="A1025" s="336">
        <v>1020</v>
      </c>
      <c r="B1025" s="349">
        <v>45264</v>
      </c>
      <c r="C1025" s="70">
        <v>0.33333333333333331</v>
      </c>
      <c r="D1025" s="63" t="s">
        <v>3976</v>
      </c>
      <c r="E1025" s="355" t="s">
        <v>3580</v>
      </c>
      <c r="F1025" s="336">
        <v>3</v>
      </c>
      <c r="G1025" s="336" t="s">
        <v>1433</v>
      </c>
      <c r="H1025" s="383">
        <v>45266</v>
      </c>
      <c r="I1025" s="65" t="s">
        <v>1083</v>
      </c>
      <c r="J1025" s="349" t="s">
        <v>78</v>
      </c>
      <c r="K1025" s="336">
        <f>IFERROR(VLOOKUP(J1025,Jueces!$A$1:$B$11,2,FALSE),"")</f>
        <v>8</v>
      </c>
      <c r="L1025" s="63" t="s">
        <v>810</v>
      </c>
      <c r="M1025" s="63" t="s">
        <v>694</v>
      </c>
      <c r="N1025" s="63" t="s">
        <v>4488</v>
      </c>
      <c r="O1025" s="78" t="str">
        <f ca="1">IF(H1025&lt;&gt;"",IF(H1025&lt;=TODAY(),"SI","NO"),"LIMBO")</f>
        <v>SI</v>
      </c>
      <c r="P1025" s="63" t="str">
        <f>IF($P$1=H1025,"DIASOL", "DIANOSOL")</f>
        <v>DIANOSOL</v>
      </c>
      <c r="Q1025" s="63" t="s">
        <v>902</v>
      </c>
      <c r="R1025" s="63" t="str">
        <f>VLOOKUP($Q1025,Resultados!$A$1:$B$49,2,FALSE)</f>
        <v>Juicio Abreviado</v>
      </c>
      <c r="S1025" s="63" t="s">
        <v>2402</v>
      </c>
      <c r="T1025" s="81" t="str">
        <f>IF(G1025=$J$1,"SI","NO")</f>
        <v>NO</v>
      </c>
      <c r="U1025" s="81"/>
      <c r="V1025" s="7" t="str">
        <f ca="1">IF(color_Celda(E1025)=12106214,"ROSA",IF(color_Celda(E1025)=65535,"AMARILLO",IF(color_Celda(E1025)=5296274,"VERDE",IF(color_Celda(E1025)=16777215,"BLANCO","NO SE"))))</f>
        <v>ROSA</v>
      </c>
      <c r="W1025" s="63" t="s">
        <v>1287</v>
      </c>
      <c r="X1025" s="63" t="s">
        <v>4489</v>
      </c>
      <c r="Y1025" s="336"/>
      <c r="Z1025" s="63" t="s">
        <v>748</v>
      </c>
      <c r="AA1025" s="118" t="s">
        <v>3378</v>
      </c>
      <c r="AB1025" s="63" t="s">
        <v>1173</v>
      </c>
      <c r="AC1025" s="336"/>
    </row>
    <row r="1026" spans="1:29" ht="60" customHeight="1">
      <c r="A1026" s="336">
        <v>1098</v>
      </c>
      <c r="B1026" s="349">
        <v>45264</v>
      </c>
      <c r="C1026" s="70">
        <v>0.33333333333333331</v>
      </c>
      <c r="D1026" s="336" t="s">
        <v>3844</v>
      </c>
      <c r="E1026" s="355" t="s">
        <v>3845</v>
      </c>
      <c r="F1026" s="336">
        <v>3</v>
      </c>
      <c r="G1026" s="336" t="s">
        <v>29</v>
      </c>
      <c r="H1026" s="383">
        <v>45266</v>
      </c>
      <c r="I1026" s="65" t="s">
        <v>1083</v>
      </c>
      <c r="J1026" s="65" t="s">
        <v>1217</v>
      </c>
      <c r="K1026" s="336">
        <f>IFERROR(VLOOKUP(J1026,Jueces!$A$1:$B$11,2,FALSE),"")</f>
        <v>7</v>
      </c>
      <c r="L1026" s="63" t="s">
        <v>795</v>
      </c>
      <c r="M1026" s="63" t="s">
        <v>694</v>
      </c>
      <c r="N1026" s="63" t="s">
        <v>4487</v>
      </c>
      <c r="O1026" s="78" t="str">
        <f ca="1">IF(H1026&lt;&gt;"",IF(H1026&lt;=TODAY(),"SI","NO"),"LIMBO")</f>
        <v>SI</v>
      </c>
      <c r="P1026" s="78" t="str">
        <f>IF($P$1=H1026,"DIASOL", "DIANOSOL")</f>
        <v>DIANOSOL</v>
      </c>
      <c r="Q1026" s="63" t="s">
        <v>151</v>
      </c>
      <c r="R1026" s="63" t="s">
        <v>151</v>
      </c>
      <c r="S1026" s="63" t="s">
        <v>1230</v>
      </c>
      <c r="T1026" s="81" t="str">
        <f>IF(G1026=$J$1,"SI","NO")</f>
        <v>NO</v>
      </c>
      <c r="U1026" s="81"/>
      <c r="V1026" s="7" t="str">
        <f ca="1">IF(color_Celda(E1026)=12106214,"ROSA",IF(color_Celda(E1026)=65535,"AMARILLO",IF(color_Celda(E1026)=5296274,"VERDE",IF(color_Celda(E1026)=16777215,"BLANCO","NO SE"))))</f>
        <v>ROSA</v>
      </c>
      <c r="W1026" s="63" t="s">
        <v>1738</v>
      </c>
      <c r="X1026" s="63" t="s">
        <v>3155</v>
      </c>
      <c r="Y1026" s="336"/>
      <c r="Z1026" s="336" t="s">
        <v>770</v>
      </c>
      <c r="AA1026" s="118" t="s">
        <v>2869</v>
      </c>
      <c r="AB1026" s="63" t="s">
        <v>3322</v>
      </c>
      <c r="AC1026" s="336"/>
    </row>
    <row r="1027" spans="1:29" ht="60" customHeight="1">
      <c r="A1027" s="336">
        <v>1071</v>
      </c>
      <c r="B1027" s="349">
        <v>45237</v>
      </c>
      <c r="C1027" s="568">
        <v>0.39444444444444443</v>
      </c>
      <c r="D1027" s="336" t="s">
        <v>3856</v>
      </c>
      <c r="E1027" s="355" t="s">
        <v>3885</v>
      </c>
      <c r="F1027" s="336">
        <v>3</v>
      </c>
      <c r="G1027" s="336" t="s">
        <v>3323</v>
      </c>
      <c r="H1027" s="383">
        <v>45267</v>
      </c>
      <c r="I1027" s="65" t="s">
        <v>73</v>
      </c>
      <c r="J1027" s="349" t="s">
        <v>35</v>
      </c>
      <c r="K1027" s="336">
        <f>IFERROR(VLOOKUP(J1027,Jueces!$A$1:$B$11,2,FALSE),"")</f>
        <v>3</v>
      </c>
      <c r="L1027" s="63" t="s">
        <v>795</v>
      </c>
      <c r="M1027" s="63" t="s">
        <v>695</v>
      </c>
      <c r="N1027" s="63" t="s">
        <v>4522</v>
      </c>
      <c r="O1027" s="78" t="str">
        <f ca="1">IF(H1027&lt;&gt;"",IF(H1027&lt;=TODAY(),"SI","NO"),"LIMBO")</f>
        <v>SI</v>
      </c>
      <c r="P1027" s="63" t="str">
        <f>IF($P$1=H1027,"DIASOL", "DIANOSOL")</f>
        <v>DIANOSOL</v>
      </c>
      <c r="Q1027" s="63" t="s">
        <v>911</v>
      </c>
      <c r="R1027" s="63" t="s">
        <v>911</v>
      </c>
      <c r="S1027" s="63" t="s">
        <v>2536</v>
      </c>
      <c r="T1027" s="81" t="str">
        <f>IF(G1027=$J$1,"SI","NO")</f>
        <v>NO</v>
      </c>
      <c r="U1027" s="81"/>
      <c r="V1027" s="7" t="str">
        <f ca="1">IF(color_Celda(E1027)=12106214,"ROSA",IF(color_Celda(E1027)=65535,"AMARILLO",IF(color_Celda(E1027)=5296274,"VERDE",IF(color_Celda(E1027)=16777215,"BLANCO","NO SE"))))</f>
        <v>ROSA</v>
      </c>
      <c r="W1027" s="63" t="s">
        <v>1001</v>
      </c>
      <c r="X1027" s="63" t="s">
        <v>4491</v>
      </c>
      <c r="Y1027" s="336"/>
      <c r="Z1027" s="336" t="s">
        <v>3368</v>
      </c>
      <c r="AA1027" s="118" t="s">
        <v>3378</v>
      </c>
      <c r="AB1027" s="7" t="s">
        <v>1169</v>
      </c>
      <c r="AC1027" s="336"/>
    </row>
    <row r="1028" spans="1:29" ht="60" customHeight="1">
      <c r="A1028" s="336">
        <v>1005</v>
      </c>
      <c r="B1028" s="349">
        <v>45245</v>
      </c>
      <c r="C1028" s="568">
        <v>0.52013888888888882</v>
      </c>
      <c r="D1028" s="63" t="s">
        <v>4081</v>
      </c>
      <c r="E1028" s="64" t="s">
        <v>4082</v>
      </c>
      <c r="F1028" s="336">
        <v>4</v>
      </c>
      <c r="G1028" s="336" t="s">
        <v>1433</v>
      </c>
      <c r="H1028" s="383">
        <v>45267</v>
      </c>
      <c r="I1028" s="65" t="s">
        <v>73</v>
      </c>
      <c r="J1028" s="349" t="s">
        <v>2925</v>
      </c>
      <c r="K1028" s="63" t="s">
        <v>1916</v>
      </c>
      <c r="L1028" s="63" t="s">
        <v>800</v>
      </c>
      <c r="M1028" s="7" t="s">
        <v>1956</v>
      </c>
      <c r="N1028" s="63" t="s">
        <v>1395</v>
      </c>
      <c r="O1028" s="78" t="str">
        <f ca="1">IF(H1028&lt;&gt;"",IF(H1028&lt;=TODAY(),"SI","NO"),"LIMBO")</f>
        <v>SI</v>
      </c>
      <c r="P1028" s="63" t="str">
        <f>IF($P$1=H1028,"DIASOL", "DIANOSOL")</f>
        <v>DIANOSOL</v>
      </c>
      <c r="Q1028" s="63" t="s">
        <v>911</v>
      </c>
      <c r="R1028" s="63" t="s">
        <v>911</v>
      </c>
      <c r="S1028" s="63" t="s">
        <v>1083</v>
      </c>
      <c r="T1028" s="81" t="str">
        <f>IF(G1028=$J$1,"SI","NO")</f>
        <v>NO</v>
      </c>
      <c r="U1028" s="81"/>
      <c r="V1028" s="7" t="str">
        <f ca="1">IF(color_Celda(E1028)=12106214,"ROSA",IF(color_Celda(E1028)=65535,"AMARILLO",IF(color_Celda(E1028)=5296274,"VERDE",IF(color_Celda(E1028)=16777215,"BLANCO","NO SE"))))</f>
        <v>ROSA</v>
      </c>
      <c r="W1028" s="63" t="s">
        <v>4532</v>
      </c>
      <c r="X1028" s="63" t="s">
        <v>4533</v>
      </c>
      <c r="Y1028" s="336"/>
      <c r="Z1028" s="336" t="s">
        <v>1039</v>
      </c>
      <c r="AA1028" s="118" t="s">
        <v>2828</v>
      </c>
      <c r="AB1028" s="365" t="s">
        <v>3322</v>
      </c>
      <c r="AC1028" s="336"/>
    </row>
    <row r="1029" spans="1:29" ht="60" customHeight="1">
      <c r="A1029" s="336">
        <v>1009</v>
      </c>
      <c r="B1029" s="349">
        <v>45246</v>
      </c>
      <c r="C1029" s="568">
        <v>0.40486111111111112</v>
      </c>
      <c r="D1029" s="63" t="s">
        <v>4095</v>
      </c>
      <c r="E1029" s="64" t="s">
        <v>4096</v>
      </c>
      <c r="F1029" s="336">
        <v>2</v>
      </c>
      <c r="G1029" s="336" t="s">
        <v>2766</v>
      </c>
      <c r="H1029" s="383">
        <v>45267</v>
      </c>
      <c r="I1029" s="65" t="s">
        <v>73</v>
      </c>
      <c r="J1029" s="349" t="s">
        <v>1217</v>
      </c>
      <c r="K1029" s="336">
        <f>IFERROR(VLOOKUP(J1029,Jueces!$A$1:$B$11,2,FALSE),"")</f>
        <v>7</v>
      </c>
      <c r="L1029" s="63" t="s">
        <v>808</v>
      </c>
      <c r="M1029" s="365" t="s">
        <v>3755</v>
      </c>
      <c r="N1029" s="63" t="s">
        <v>4520</v>
      </c>
      <c r="O1029" s="78" t="str">
        <f ca="1">IF(H1029&lt;&gt;"",IF(H1029&lt;=TODAY(),"SI","NO"),"LIMBO")</f>
        <v>SI</v>
      </c>
      <c r="P1029" s="63" t="str">
        <f>IF($P$1=H1029,"DIASOL", "DIANOSOL")</f>
        <v>DIANOSOL</v>
      </c>
      <c r="Q1029" s="63" t="s">
        <v>903</v>
      </c>
      <c r="R1029" s="63" t="s">
        <v>100</v>
      </c>
      <c r="S1029" s="70" t="s">
        <v>1233</v>
      </c>
      <c r="T1029" s="81" t="str">
        <f>IF(G1029=$J$1,"SI","NO")</f>
        <v>NO</v>
      </c>
      <c r="U1029" s="81"/>
      <c r="V1029" s="7" t="str">
        <f ca="1">IF(color_Celda(E1029)=12106214,"ROSA",IF(color_Celda(E1029)=65535,"AMARILLO",IF(color_Celda(E1029)=5296274,"VERDE",IF(color_Celda(E1029)=16777215,"BLANCO","NO SE"))))</f>
        <v>ROSA</v>
      </c>
      <c r="W1029" s="63" t="s">
        <v>3218</v>
      </c>
      <c r="X1029" s="63" t="s">
        <v>4534</v>
      </c>
      <c r="Y1029" s="336"/>
      <c r="Z1029" s="336" t="s">
        <v>1038</v>
      </c>
      <c r="AA1029" s="118" t="s">
        <v>2828</v>
      </c>
      <c r="AB1029" s="63" t="s">
        <v>1173</v>
      </c>
      <c r="AC1029" s="336"/>
    </row>
    <row r="1030" spans="1:29" ht="60" customHeight="1">
      <c r="A1030" s="336">
        <v>1033</v>
      </c>
      <c r="B1030" s="349">
        <v>45252</v>
      </c>
      <c r="C1030" s="568">
        <v>0.33333333333333331</v>
      </c>
      <c r="D1030" s="63" t="s">
        <v>4138</v>
      </c>
      <c r="E1030" s="64" t="s">
        <v>4501</v>
      </c>
      <c r="F1030" s="336">
        <v>3</v>
      </c>
      <c r="G1030" s="336" t="s">
        <v>283</v>
      </c>
      <c r="H1030" s="383">
        <v>45267</v>
      </c>
      <c r="I1030" s="65" t="s">
        <v>73</v>
      </c>
      <c r="J1030" s="349" t="s">
        <v>2922</v>
      </c>
      <c r="K1030" s="336" t="s">
        <v>1512</v>
      </c>
      <c r="L1030" s="63" t="s">
        <v>790</v>
      </c>
      <c r="M1030" s="335" t="s">
        <v>2247</v>
      </c>
      <c r="N1030" s="63" t="s">
        <v>4521</v>
      </c>
      <c r="O1030" s="78" t="str">
        <f ca="1">IF(H1030&lt;&gt;"",IF(H1030&lt;=TODAY(),"SI","NO"),"LIMBO")</f>
        <v>SI</v>
      </c>
      <c r="P1030" s="63" t="str">
        <f>IF($P$1=H1030,"DIASOL", "DIANOSOL")</f>
        <v>DIANOSOL</v>
      </c>
      <c r="Q1030" s="63" t="s">
        <v>911</v>
      </c>
      <c r="R1030" s="63" t="s">
        <v>911</v>
      </c>
      <c r="S1030" s="63" t="s">
        <v>1125</v>
      </c>
      <c r="T1030" s="81" t="str">
        <f>IF(G1030=$J$1,"SI","NO")</f>
        <v>NO</v>
      </c>
      <c r="U1030" s="81"/>
      <c r="V1030" s="7" t="str">
        <f ca="1">IF(color_Celda(E1030)=12106214,"ROSA",IF(color_Celda(E1030)=65535,"AMARILLO",IF(color_Celda(E1030)=5296274,"VERDE",IF(color_Celda(E1030)=16777215,"BLANCO","NO SE"))))</f>
        <v>ROSA</v>
      </c>
      <c r="W1030" s="63" t="s">
        <v>3244</v>
      </c>
      <c r="X1030" s="63" t="s">
        <v>2552</v>
      </c>
      <c r="Y1030" s="336"/>
      <c r="Z1030" s="336" t="s">
        <v>748</v>
      </c>
      <c r="AA1030" s="118" t="s">
        <v>2869</v>
      </c>
      <c r="AB1030" s="63" t="s">
        <v>1170</v>
      </c>
      <c r="AC1030" s="336"/>
    </row>
    <row r="1031" spans="1:29" ht="60" customHeight="1">
      <c r="A1031" s="336">
        <v>1105</v>
      </c>
      <c r="B1031" s="349">
        <v>45167</v>
      </c>
      <c r="C1031" s="568">
        <v>0.43472222222222223</v>
      </c>
      <c r="D1031" s="336" t="s">
        <v>2492</v>
      </c>
      <c r="E1031" s="355" t="s">
        <v>4421</v>
      </c>
      <c r="F1031" s="336">
        <v>7</v>
      </c>
      <c r="G1031" s="336" t="s">
        <v>43</v>
      </c>
      <c r="H1031" s="383">
        <v>45267</v>
      </c>
      <c r="I1031" s="349" t="s">
        <v>1083</v>
      </c>
      <c r="J1031" s="349" t="s">
        <v>1217</v>
      </c>
      <c r="K1031" s="336">
        <f>IFERROR(VLOOKUP(J1031,Jueces!$A$1:$B$11,2,FALSE),"")</f>
        <v>7</v>
      </c>
      <c r="L1031" s="63" t="s">
        <v>810</v>
      </c>
      <c r="M1031" s="63" t="s">
        <v>723</v>
      </c>
      <c r="N1031" s="63" t="s">
        <v>4525</v>
      </c>
      <c r="O1031" s="78" t="str">
        <f ca="1">IF(H1031&lt;&gt;"",IF(H1031&lt;=TODAY(),"SI","NO"),"LIMBO")</f>
        <v>SI</v>
      </c>
      <c r="P1031" s="78" t="str">
        <f>IF($P$1=H1031,"DIASOL", "DIANOSOL")</f>
        <v>DIANOSOL</v>
      </c>
      <c r="Q1031" s="63" t="s">
        <v>151</v>
      </c>
      <c r="R1031" s="63" t="s">
        <v>151</v>
      </c>
      <c r="S1031" s="63" t="s">
        <v>2366</v>
      </c>
      <c r="T1031" s="81" t="str">
        <f>IF(G1031=$J$1,"SI","NO")</f>
        <v>NO</v>
      </c>
      <c r="U1031" s="81"/>
      <c r="V1031" s="7" t="str">
        <f ca="1">IF(color_Celda(E1031)=12106214,"ROSA",IF(color_Celda(E1031)=65535,"AMARILLO",IF(color_Celda(E1031)=5296274,"VERDE",IF(color_Celda(E1031)=16777215,"BLANCO","NO SE"))))</f>
        <v>ROSA</v>
      </c>
      <c r="W1031" s="63" t="s">
        <v>1442</v>
      </c>
      <c r="X1031" s="63" t="s">
        <v>4235</v>
      </c>
      <c r="Y1031" s="336"/>
      <c r="Z1031" s="336" t="s">
        <v>1038</v>
      </c>
      <c r="AA1031" s="118" t="s">
        <v>2828</v>
      </c>
      <c r="AB1031" s="63" t="s">
        <v>3322</v>
      </c>
      <c r="AC1031" s="336"/>
    </row>
    <row r="1032" spans="1:29" ht="60" customHeight="1">
      <c r="A1032" s="336">
        <v>1052</v>
      </c>
      <c r="B1032" s="349">
        <v>45236</v>
      </c>
      <c r="C1032" s="568">
        <v>0.33333333333333331</v>
      </c>
      <c r="D1032" s="63" t="s">
        <v>3808</v>
      </c>
      <c r="E1032" s="355" t="s">
        <v>3921</v>
      </c>
      <c r="F1032" s="336">
        <v>4</v>
      </c>
      <c r="G1032" s="336" t="s">
        <v>2815</v>
      </c>
      <c r="H1032" s="383">
        <v>45267</v>
      </c>
      <c r="I1032" s="65" t="s">
        <v>1083</v>
      </c>
      <c r="J1032" s="349" t="s">
        <v>1216</v>
      </c>
      <c r="K1032" s="336">
        <f>IFERROR(VLOOKUP(J1032,Jueces!$A$1:$B$11,2,FALSE),"")</f>
        <v>1</v>
      </c>
      <c r="L1032" s="63" t="s">
        <v>809</v>
      </c>
      <c r="M1032" s="63" t="s">
        <v>3755</v>
      </c>
      <c r="N1032" s="63" t="s">
        <v>4524</v>
      </c>
      <c r="O1032" s="206" t="str">
        <f ca="1">IF(H1032&lt;&gt;"",IF(H1032&lt;=TODAY(),"SI","NO"),"LIMBO")</f>
        <v>SI</v>
      </c>
      <c r="P1032" s="63" t="str">
        <f>IF($P$1=H1032,"DIASOL", "DIANOSOL")</f>
        <v>DIANOSOL</v>
      </c>
      <c r="Q1032" s="63" t="s">
        <v>911</v>
      </c>
      <c r="R1032" s="63" t="s">
        <v>911</v>
      </c>
      <c r="S1032" s="63" t="s">
        <v>1384</v>
      </c>
      <c r="T1032" s="267" t="str">
        <f>IF(G1032=$J$1,"SI","NO")</f>
        <v>NO</v>
      </c>
      <c r="U1032" s="267"/>
      <c r="V1032" s="7" t="str">
        <f ca="1">IF(color_Celda(E1032)=12106214,"ROSA",IF(color_Celda(E1032)=65535,"AMARILLO",IF(color_Celda(E1032)=5296274,"VERDE",IF(color_Celda(E1032)=16777215,"BLANCO","NO SE"))))</f>
        <v>ROSA</v>
      </c>
      <c r="W1032" s="63" t="s">
        <v>1206</v>
      </c>
      <c r="X1032" s="63" t="s">
        <v>4535</v>
      </c>
      <c r="Y1032" s="336"/>
      <c r="Z1032" s="336" t="s">
        <v>770</v>
      </c>
      <c r="AA1032" s="118" t="s">
        <v>1167</v>
      </c>
      <c r="AB1032" s="63" t="s">
        <v>1171</v>
      </c>
      <c r="AC1032" s="336"/>
    </row>
    <row r="1033" spans="1:29" ht="60" customHeight="1">
      <c r="A1033" s="336">
        <v>1012</v>
      </c>
      <c r="B1033" s="349">
        <v>45246</v>
      </c>
      <c r="C1033" s="568">
        <v>0.52916666666666667</v>
      </c>
      <c r="D1033" s="63" t="s">
        <v>4100</v>
      </c>
      <c r="E1033" s="64" t="s">
        <v>4101</v>
      </c>
      <c r="F1033" s="336">
        <v>4</v>
      </c>
      <c r="G1033" s="336" t="s">
        <v>3324</v>
      </c>
      <c r="H1033" s="383">
        <v>45267</v>
      </c>
      <c r="I1033" s="65" t="s">
        <v>1083</v>
      </c>
      <c r="J1033" s="349" t="s">
        <v>78</v>
      </c>
      <c r="K1033" s="336">
        <f>IFERROR(VLOOKUP(J1033,Jueces!$A$1:$B$11,2,FALSE),"")</f>
        <v>8</v>
      </c>
      <c r="L1033" s="63" t="s">
        <v>789</v>
      </c>
      <c r="M1033" s="63" t="s">
        <v>1956</v>
      </c>
      <c r="N1033" s="63" t="s">
        <v>4523</v>
      </c>
      <c r="O1033" s="78" t="str">
        <f ca="1">IF(H1033&lt;&gt;"",IF(H1033&lt;=TODAY(),"SI","NO"),"LIMBO")</f>
        <v>SI</v>
      </c>
      <c r="P1033" s="63" t="str">
        <f>IF($P$1=H1033,"DIASOL", "DIANOSOL")</f>
        <v>DIANOSOL</v>
      </c>
      <c r="Q1033" s="63" t="s">
        <v>902</v>
      </c>
      <c r="R1033" s="63" t="s">
        <v>100</v>
      </c>
      <c r="S1033" s="63" t="s">
        <v>1126</v>
      </c>
      <c r="T1033" s="81" t="str">
        <f>IF(G1033=$J$1,"SI","NO")</f>
        <v>NO</v>
      </c>
      <c r="U1033" s="81"/>
      <c r="V1033" s="7" t="str">
        <f ca="1">IF(color_Celda(E1033)=12106214,"ROSA",IF(color_Celda(E1033)=65535,"AMARILLO",IF(color_Celda(E1033)=5296274,"VERDE",IF(color_Celda(E1033)=16777215,"BLANCO","NO SE"))))</f>
        <v>ROSA</v>
      </c>
      <c r="W1033" s="63" t="s">
        <v>1530</v>
      </c>
      <c r="X1033" s="63" t="s">
        <v>2552</v>
      </c>
      <c r="Y1033" s="336"/>
      <c r="Z1033" s="336" t="s">
        <v>743</v>
      </c>
      <c r="AA1033" s="118" t="s">
        <v>2869</v>
      </c>
      <c r="AB1033" s="63" t="s">
        <v>3258</v>
      </c>
      <c r="AC1033" s="336"/>
    </row>
    <row r="1034" spans="1:29" ht="60" customHeight="1">
      <c r="A1034" s="336">
        <v>1064</v>
      </c>
      <c r="B1034" s="349">
        <v>45257</v>
      </c>
      <c r="C1034" s="568">
        <v>0.33333333333333331</v>
      </c>
      <c r="D1034" s="63" t="s">
        <v>4289</v>
      </c>
      <c r="E1034" s="64" t="s">
        <v>4290</v>
      </c>
      <c r="F1034" s="336">
        <v>4</v>
      </c>
      <c r="G1034" s="336" t="s">
        <v>3791</v>
      </c>
      <c r="H1034" s="383">
        <v>45267</v>
      </c>
      <c r="I1034" s="349" t="s">
        <v>1083</v>
      </c>
      <c r="J1034" s="349" t="s">
        <v>1723</v>
      </c>
      <c r="K1034" s="336" t="s">
        <v>1321</v>
      </c>
      <c r="L1034" s="63" t="s">
        <v>808</v>
      </c>
      <c r="M1034" s="335" t="s">
        <v>3394</v>
      </c>
      <c r="N1034" s="63" t="s">
        <v>4526</v>
      </c>
      <c r="O1034" s="78" t="str">
        <f ca="1">IF(H1034&lt;&gt;"",IF(H1034&lt;=TODAY(),"SI","NO"),"LIMBO")</f>
        <v>SI</v>
      </c>
      <c r="P1034" s="78" t="str">
        <f>IF($P$1=H1034,"DIASOL", "DIANOSOL")</f>
        <v>DIANOSOL</v>
      </c>
      <c r="Q1034" s="63" t="s">
        <v>903</v>
      </c>
      <c r="R1034" s="63" t="s">
        <v>100</v>
      </c>
      <c r="S1034" s="63" t="s">
        <v>2688</v>
      </c>
      <c r="T1034" s="81" t="str">
        <f>IF(G1034=$J$1,"SI","NO")</f>
        <v>NO</v>
      </c>
      <c r="U1034" s="81"/>
      <c r="V1034" s="7" t="str">
        <f ca="1">IF(color_Celda(E1034)=12106214,"ROSA",IF(color_Celda(E1034)=65535,"AMARILLO",IF(color_Celda(E1034)=5296274,"VERDE",IF(color_Celda(E1034)=16777215,"BLANCO","NO SE"))))</f>
        <v>ROSA</v>
      </c>
      <c r="W1034" s="63" t="s">
        <v>1047</v>
      </c>
      <c r="X1034" s="63" t="s">
        <v>4536</v>
      </c>
      <c r="Y1034" s="336"/>
      <c r="Z1034" s="336" t="s">
        <v>3368</v>
      </c>
      <c r="AA1034" s="63" t="s">
        <v>1167</v>
      </c>
      <c r="AB1034" s="63" t="s">
        <v>1173</v>
      </c>
      <c r="AC1034" s="336"/>
    </row>
    <row r="1035" spans="1:29" ht="60" customHeight="1">
      <c r="A1035" s="336">
        <v>1013</v>
      </c>
      <c r="B1035" s="349">
        <v>45246</v>
      </c>
      <c r="C1035" s="568">
        <v>0.52916666666666667</v>
      </c>
      <c r="D1035" s="63" t="s">
        <v>4102</v>
      </c>
      <c r="E1035" s="64" t="s">
        <v>4103</v>
      </c>
      <c r="F1035" s="336">
        <v>4</v>
      </c>
      <c r="G1035" s="336" t="s">
        <v>2752</v>
      </c>
      <c r="H1035" s="383">
        <v>45267</v>
      </c>
      <c r="I1035" s="65" t="s">
        <v>1206</v>
      </c>
      <c r="J1035" s="349" t="s">
        <v>1216</v>
      </c>
      <c r="K1035" s="63" t="s">
        <v>1321</v>
      </c>
      <c r="L1035" s="63" t="s">
        <v>1693</v>
      </c>
      <c r="M1035" s="63" t="s">
        <v>3755</v>
      </c>
      <c r="N1035" s="63" t="s">
        <v>4527</v>
      </c>
      <c r="O1035" s="78" t="str">
        <f ca="1">IF(H1035&lt;&gt;"",IF(H1035&lt;=TODAY(),"SI","NO"),"LIMBO")</f>
        <v>SI</v>
      </c>
      <c r="P1035" s="63" t="str">
        <f>IF($P$1=H1035,"DIASOL", "DIANOSOL")</f>
        <v>DIANOSOL</v>
      </c>
      <c r="Q1035" s="63" t="s">
        <v>151</v>
      </c>
      <c r="R1035" s="63" t="s">
        <v>151</v>
      </c>
      <c r="S1035" s="63" t="s">
        <v>3108</v>
      </c>
      <c r="T1035" s="81" t="str">
        <f>IF(G1035=$J$1,"SI","NO")</f>
        <v>NO</v>
      </c>
      <c r="U1035" s="81"/>
      <c r="V1035" s="7" t="str">
        <f ca="1">IF(color_Celda(E1035)=12106214,"ROSA",IF(color_Celda(E1035)=65535,"AMARILLO",IF(color_Celda(E1035)=5296274,"VERDE",IF(color_Celda(E1035)=16777215,"BLANCO","NO SE"))))</f>
        <v>ROSA</v>
      </c>
      <c r="W1035" s="63" t="s">
        <v>4252</v>
      </c>
      <c r="X1035" s="63" t="s">
        <v>3155</v>
      </c>
      <c r="Y1035" s="336"/>
      <c r="Z1035" s="336" t="s">
        <v>3368</v>
      </c>
      <c r="AA1035" s="118" t="s">
        <v>3378</v>
      </c>
      <c r="AB1035" s="63" t="s">
        <v>1170</v>
      </c>
      <c r="AC1035" s="336"/>
    </row>
    <row r="1036" spans="1:29" ht="60" customHeight="1">
      <c r="A1036" s="336">
        <v>1086</v>
      </c>
      <c r="B1036" s="349">
        <v>45265</v>
      </c>
      <c r="C1036" s="70">
        <v>0.33333333333333331</v>
      </c>
      <c r="D1036" s="63" t="s">
        <v>4340</v>
      </c>
      <c r="E1036" s="64" t="s">
        <v>4341</v>
      </c>
      <c r="F1036" s="336">
        <v>4</v>
      </c>
      <c r="G1036" s="336" t="s">
        <v>1434</v>
      </c>
      <c r="H1036" s="383">
        <v>45267</v>
      </c>
      <c r="I1036" s="65" t="s">
        <v>1206</v>
      </c>
      <c r="J1036" s="349" t="s">
        <v>31</v>
      </c>
      <c r="K1036" s="336">
        <f>IFERROR(VLOOKUP(J1036,Jueces!$A$1:$B$11,2,FALSE),"")</f>
        <v>2</v>
      </c>
      <c r="L1036" s="63" t="s">
        <v>789</v>
      </c>
      <c r="M1036" s="356" t="s">
        <v>2736</v>
      </c>
      <c r="N1036" s="63" t="s">
        <v>4528</v>
      </c>
      <c r="O1036" s="78" t="str">
        <f ca="1">IF(H1036&lt;&gt;"",IF(H1036&lt;=TODAY(),"SI","NO"),"LIMBO")</f>
        <v>SI</v>
      </c>
      <c r="P1036" s="63" t="str">
        <f>IF($P$1=H1036,"DIASOL", "DIANOSOL")</f>
        <v>DIANOSOL</v>
      </c>
      <c r="Q1036" s="63" t="s">
        <v>903</v>
      </c>
      <c r="R1036" s="63" t="s">
        <v>100</v>
      </c>
      <c r="S1036" s="63" t="s">
        <v>1122</v>
      </c>
      <c r="T1036" s="81" t="str">
        <f>IF(G1036=$J$1,"SI","NO")</f>
        <v>NO</v>
      </c>
      <c r="U1036" s="81"/>
      <c r="V1036" s="7" t="str">
        <f ca="1">IF(color_Celda(E1036)=12106214,"ROSA",IF(color_Celda(E1036)=65535,"AMARILLO",IF(color_Celda(E1036)=5296274,"VERDE",IF(color_Celda(E1036)=16777215,"BLANCO","NO SE"))))</f>
        <v>ROSA</v>
      </c>
      <c r="W1036" s="63" t="s">
        <v>3201</v>
      </c>
      <c r="X1036" s="63" t="s">
        <v>3155</v>
      </c>
      <c r="Y1036" s="336"/>
      <c r="Z1036" s="336" t="s">
        <v>748</v>
      </c>
      <c r="AA1036" s="268" t="s">
        <v>1167</v>
      </c>
      <c r="AB1036" s="63" t="s">
        <v>1169</v>
      </c>
      <c r="AC1036" s="336"/>
    </row>
    <row r="1037" spans="1:29" ht="60" customHeight="1">
      <c r="A1037" s="336">
        <v>1069</v>
      </c>
      <c r="B1037" s="349">
        <v>45238</v>
      </c>
      <c r="C1037" s="568">
        <v>0.38194444444444442</v>
      </c>
      <c r="D1037" s="336" t="s">
        <v>3891</v>
      </c>
      <c r="E1037" s="64" t="s">
        <v>4451</v>
      </c>
      <c r="F1037" s="336">
        <v>3</v>
      </c>
      <c r="G1037" s="336" t="s">
        <v>1435</v>
      </c>
      <c r="H1037" s="383">
        <v>45267</v>
      </c>
      <c r="I1037" s="65" t="s">
        <v>3171</v>
      </c>
      <c r="J1037" s="349" t="s">
        <v>33</v>
      </c>
      <c r="K1037" s="336">
        <f>IFERROR(VLOOKUP(J1037,Jueces!$A$1:$B$11,2,FALSE),"")</f>
        <v>4</v>
      </c>
      <c r="L1037" s="63" t="s">
        <v>791</v>
      </c>
      <c r="M1037" s="63" t="s">
        <v>3755</v>
      </c>
      <c r="N1037" s="63" t="s">
        <v>4529</v>
      </c>
      <c r="O1037" s="78" t="str">
        <f ca="1">IF(H1037&lt;&gt;"",IF(H1037&lt;=TODAY(),"SI","NO"),"LIMBO")</f>
        <v>SI</v>
      </c>
      <c r="P1037" s="63" t="str">
        <f>IF($P$1=H1037,"DIASOL", "DIANOSOL")</f>
        <v>DIANOSOL</v>
      </c>
      <c r="Q1037" s="63" t="s">
        <v>903</v>
      </c>
      <c r="R1037" s="63" t="s">
        <v>100</v>
      </c>
      <c r="S1037" s="63" t="s">
        <v>4531</v>
      </c>
      <c r="T1037" s="81" t="str">
        <f>IF(G1037=$J$1,"SI","NO")</f>
        <v>SI</v>
      </c>
      <c r="U1037" s="81"/>
      <c r="V1037" s="7" t="str">
        <f ca="1">IF(color_Celda(E1037)=12106214,"ROSA",IF(color_Celda(E1037)=65535,"AMARILLO",IF(color_Celda(E1037)=5296274,"VERDE",IF(color_Celda(E1037)=16777215,"BLANCO","NO SE"))))</f>
        <v>ROSA</v>
      </c>
      <c r="W1037" s="63" t="s">
        <v>1270</v>
      </c>
      <c r="X1037" s="63" t="s">
        <v>4535</v>
      </c>
      <c r="Y1037" s="336"/>
      <c r="Z1037" s="336" t="s">
        <v>770</v>
      </c>
      <c r="AA1037" s="118" t="s">
        <v>1167</v>
      </c>
      <c r="AB1037" s="63" t="s">
        <v>3258</v>
      </c>
      <c r="AC1037" s="336"/>
    </row>
    <row r="1038" spans="1:29" s="379" customFormat="1" ht="60" customHeight="1">
      <c r="A1038" s="328">
        <v>1018</v>
      </c>
      <c r="B1038" s="376">
        <v>45251</v>
      </c>
      <c r="C1038" s="377">
        <v>0.36944444444444446</v>
      </c>
      <c r="D1038" s="7" t="s">
        <v>4111</v>
      </c>
      <c r="E1038" s="40" t="s">
        <v>4112</v>
      </c>
      <c r="F1038" s="328">
        <v>4</v>
      </c>
      <c r="G1038" s="328" t="s">
        <v>29</v>
      </c>
      <c r="H1038" s="493">
        <v>45267</v>
      </c>
      <c r="I1038" s="19" t="s">
        <v>3171</v>
      </c>
      <c r="J1038" s="376" t="s">
        <v>31</v>
      </c>
      <c r="K1038" s="328">
        <v>2</v>
      </c>
      <c r="L1038" s="7" t="s">
        <v>807</v>
      </c>
      <c r="M1038" s="7" t="s">
        <v>1956</v>
      </c>
      <c r="N1038" s="7" t="s">
        <v>4530</v>
      </c>
      <c r="O1038" s="76" t="str">
        <f ca="1">IF(H1038&lt;&gt;"",IF(H1038&lt;=TODAY(),"SI","NO"),"LIMBO")</f>
        <v>SI</v>
      </c>
      <c r="P1038" s="76" t="str">
        <f>IF($P$1=H1038,"DIASOL", "DIANOSOL")</f>
        <v>DIANOSOL</v>
      </c>
      <c r="Q1038" s="7" t="s">
        <v>902</v>
      </c>
      <c r="R1038" s="7" t="s">
        <v>100</v>
      </c>
      <c r="S1038" s="7" t="s">
        <v>1238</v>
      </c>
      <c r="T1038" s="342" t="str">
        <f>IF(G1038=$J$1,"SI","NO")</f>
        <v>NO</v>
      </c>
      <c r="U1038" s="342"/>
      <c r="V1038" s="7" t="str">
        <f ca="1">IF(color_Celda(E1038)=12106214,"ROSA",IF(color_Celda(E1038)=65535,"AMARILLO",IF(color_Celda(E1038)=5296274,"VERDE",IF(color_Celda(E1038)=16777215,"BLANCO","NO SE"))))</f>
        <v>ROSA</v>
      </c>
      <c r="W1038" s="7" t="s">
        <v>4537</v>
      </c>
      <c r="X1038" s="7" t="s">
        <v>3155</v>
      </c>
      <c r="Y1038" s="328"/>
      <c r="Z1038" s="328" t="s">
        <v>748</v>
      </c>
      <c r="AA1038" s="268" t="s">
        <v>3378</v>
      </c>
      <c r="AB1038" s="7" t="s">
        <v>1171</v>
      </c>
      <c r="AC1038" s="328"/>
    </row>
    <row r="1039" spans="1:29" s="324" customFormat="1" ht="60" customHeight="1">
      <c r="A1039" s="328">
        <v>1053</v>
      </c>
      <c r="B1039" s="376">
        <v>45244</v>
      </c>
      <c r="C1039" s="377">
        <v>0.3833333333333333</v>
      </c>
      <c r="D1039" s="7" t="s">
        <v>4258</v>
      </c>
      <c r="E1039" s="40" t="s">
        <v>4462</v>
      </c>
      <c r="F1039" s="328">
        <v>4</v>
      </c>
      <c r="G1039" s="328" t="s">
        <v>3791</v>
      </c>
      <c r="H1039" s="493">
        <v>45271</v>
      </c>
      <c r="I1039" s="19" t="s">
        <v>73</v>
      </c>
      <c r="J1039" s="376" t="s">
        <v>31</v>
      </c>
      <c r="K1039" s="328">
        <f>IFERROR(VLOOKUP(J1039,Jueces!$A$1:$B$11,2,FALSE),"")</f>
        <v>2</v>
      </c>
      <c r="L1039" s="7" t="s">
        <v>792</v>
      </c>
      <c r="M1039" s="7" t="s">
        <v>1956</v>
      </c>
      <c r="N1039" s="7" t="s">
        <v>2178</v>
      </c>
      <c r="O1039" s="76" t="str">
        <f ca="1">IF(H1039&lt;&gt;"",IF(H1039&lt;=TODAY(),"SI","NO"),"LIMBO")</f>
        <v>SI</v>
      </c>
      <c r="P1039" s="7" t="str">
        <f>IF($P$1=H1039,"DIASOL", "DIANOSOL")</f>
        <v>DIANOSOL</v>
      </c>
      <c r="Q1039" s="7" t="s">
        <v>902</v>
      </c>
      <c r="R1039" s="7" t="str">
        <f>VLOOKUP($Q1039,Resultados!$A$1:$B$49,2,FALSE)</f>
        <v>Juicio Abreviado</v>
      </c>
      <c r="S1039" s="7" t="s">
        <v>2402</v>
      </c>
      <c r="T1039" s="342" t="str">
        <f>IF(G1039=$J$1,"SI","NO")</f>
        <v>NO</v>
      </c>
      <c r="U1039" s="342"/>
      <c r="V1039" s="7" t="str">
        <f ca="1">IF(color_Celda(E1039)=12106214,"ROSA",IF(color_Celda(E1039)=65535,"AMARILLO",IF(color_Celda(E1039)=5296274,"VERDE",IF(color_Celda(E1039)=16777215,"BLANCO","NO SE"))))</f>
        <v>ROSA</v>
      </c>
      <c r="W1039" s="7" t="s">
        <v>1130</v>
      </c>
      <c r="X1039" s="328"/>
      <c r="Y1039" s="328"/>
      <c r="Z1039" s="328"/>
      <c r="AA1039" s="268" t="s">
        <v>2869</v>
      </c>
      <c r="AB1039" s="7" t="s">
        <v>1173</v>
      </c>
      <c r="AC1039" s="328"/>
    </row>
    <row r="1040" spans="1:29" ht="60" customHeight="1">
      <c r="A1040" s="384">
        <v>1021</v>
      </c>
      <c r="B1040" s="385">
        <v>45251</v>
      </c>
      <c r="C1040" s="386">
        <v>0.39930555555555558</v>
      </c>
      <c r="D1040" s="107" t="s">
        <v>4146</v>
      </c>
      <c r="E1040" s="108" t="s">
        <v>4115</v>
      </c>
      <c r="F1040" s="384">
        <v>3</v>
      </c>
      <c r="G1040" s="384" t="s">
        <v>3324</v>
      </c>
      <c r="H1040" s="498">
        <v>45271</v>
      </c>
      <c r="I1040" s="253" t="s">
        <v>73</v>
      </c>
      <c r="J1040" s="385" t="s">
        <v>78</v>
      </c>
      <c r="K1040" s="384">
        <f>IFERROR(VLOOKUP(J1040,Jueces!$A$1:$B$11,2,FALSE),"")</f>
        <v>8</v>
      </c>
      <c r="L1040" s="107" t="s">
        <v>688</v>
      </c>
      <c r="M1040" s="672" t="s">
        <v>700</v>
      </c>
      <c r="N1040" s="107" t="s">
        <v>621</v>
      </c>
      <c r="O1040" s="380" t="str">
        <f ca="1">IF(H1040&lt;&gt;"",IF(H1040&lt;=TODAY(),"SI","NO"),"LIMBO")</f>
        <v>SI</v>
      </c>
      <c r="P1040" s="107" t="str">
        <f>IF($P$1=H1040,"DIASOL", "DIANOSOL")</f>
        <v>DIANOSOL</v>
      </c>
      <c r="Q1040" s="107" t="s">
        <v>151</v>
      </c>
      <c r="R1040" s="107" t="str">
        <f>VLOOKUP($Q1040,Resultados!$A$1:$B$49,2,FALSE)</f>
        <v>Prisión Preventiva</v>
      </c>
      <c r="S1040" s="107" t="s">
        <v>1370</v>
      </c>
      <c r="T1040" s="381" t="str">
        <f>IF(G1040=$J$1,"SI","NO")</f>
        <v>NO</v>
      </c>
      <c r="U1040" s="381"/>
      <c r="V1040" s="7" t="str">
        <f ca="1">IF(color_Celda(E1040)=12106214,"ROSA",IF(color_Celda(E1040)=65535,"AMARILLO",IF(color_Celda(E1040)=5296274,"VERDE",IF(color_Celda(E1040)=16777215,"BLANCO","NO SE"))))</f>
        <v>ROSA</v>
      </c>
      <c r="W1040" s="107" t="s">
        <v>1388</v>
      </c>
      <c r="X1040" s="384"/>
      <c r="Y1040" s="384"/>
      <c r="Z1040" s="384"/>
      <c r="AA1040" s="303" t="s">
        <v>1167</v>
      </c>
      <c r="AB1040" s="107" t="s">
        <v>3322</v>
      </c>
      <c r="AC1040" s="384"/>
    </row>
    <row r="1041" spans="1:29" ht="60" customHeight="1">
      <c r="A1041" s="336">
        <v>1042</v>
      </c>
      <c r="B1041" s="349">
        <v>45252</v>
      </c>
      <c r="C1041" s="568">
        <v>0.3444444444444445</v>
      </c>
      <c r="D1041" s="63" t="s">
        <v>4144</v>
      </c>
      <c r="E1041" s="64" t="s">
        <v>4145</v>
      </c>
      <c r="F1041" s="336">
        <v>4</v>
      </c>
      <c r="G1041" s="336" t="s">
        <v>283</v>
      </c>
      <c r="H1041" s="383">
        <v>45271</v>
      </c>
      <c r="I1041" s="65" t="s">
        <v>73</v>
      </c>
      <c r="J1041" s="349" t="s">
        <v>35</v>
      </c>
      <c r="K1041" s="336">
        <v>3</v>
      </c>
      <c r="L1041" s="63" t="s">
        <v>801</v>
      </c>
      <c r="M1041" s="63" t="s">
        <v>1866</v>
      </c>
      <c r="N1041" s="205" t="s">
        <v>4568</v>
      </c>
      <c r="O1041" s="78" t="str">
        <f ca="1">IF(H1041&lt;&gt;"",IF(H1041&lt;=TODAY(),"SI","NO"),"LIMBO")</f>
        <v>SI</v>
      </c>
      <c r="P1041" s="63" t="str">
        <f>IF($P$1=H1041,"DIASOL", "DIANOSOL")</f>
        <v>DIANOSOL</v>
      </c>
      <c r="Q1041" s="63" t="s">
        <v>903</v>
      </c>
      <c r="R1041" s="63" t="str">
        <f>VLOOKUP($Q1041,Resultados!$A$1:$B$49,2,FALSE)</f>
        <v>Juicio Abreviado</v>
      </c>
      <c r="S1041" s="63" t="s">
        <v>1119</v>
      </c>
      <c r="T1041" s="81" t="str">
        <f>IF(G1041=$J$1,"SI","NO")</f>
        <v>NO</v>
      </c>
      <c r="U1041" s="81"/>
      <c r="V1041" s="7" t="str">
        <f ca="1">IF(color_Celda(E1041)=12106214,"ROSA",IF(color_Celda(E1041)=65535,"AMARILLO",IF(color_Celda(E1041)=5296274,"VERDE",IF(color_Celda(E1041)=16777215,"BLANCO","NO SE"))))</f>
        <v>ROSA</v>
      </c>
      <c r="W1041" s="63" t="s">
        <v>2685</v>
      </c>
      <c r="X1041" s="336"/>
      <c r="Y1041" s="336"/>
      <c r="Z1041" s="336"/>
      <c r="AA1041" s="118" t="s">
        <v>2869</v>
      </c>
      <c r="AB1041" s="63" t="s">
        <v>1170</v>
      </c>
      <c r="AC1041" s="336"/>
    </row>
    <row r="1042" spans="1:29" ht="60" customHeight="1">
      <c r="A1042" s="336">
        <v>1097</v>
      </c>
      <c r="B1042" s="349">
        <v>45267</v>
      </c>
      <c r="C1042" s="568">
        <v>0.49444444444444446</v>
      </c>
      <c r="D1042" s="325" t="s">
        <v>2901</v>
      </c>
      <c r="E1042" s="355" t="s">
        <v>4377</v>
      </c>
      <c r="F1042" s="336">
        <v>1</v>
      </c>
      <c r="G1042" s="336" t="s">
        <v>43</v>
      </c>
      <c r="H1042" s="383">
        <v>45271</v>
      </c>
      <c r="I1042" s="65" t="s">
        <v>73</v>
      </c>
      <c r="J1042" s="349" t="s">
        <v>1216</v>
      </c>
      <c r="K1042" s="336">
        <f>IFERROR(VLOOKUP(J1042,Jueces!$A$1:$B$11,2,FALSE),"")</f>
        <v>1</v>
      </c>
      <c r="L1042" s="63" t="s">
        <v>582</v>
      </c>
      <c r="M1042" s="7" t="s">
        <v>711</v>
      </c>
      <c r="N1042" s="63" t="s">
        <v>4557</v>
      </c>
      <c r="O1042" s="78" t="str">
        <f ca="1">IF(H1042&lt;&gt;"",IF(H1042&lt;=TODAY(),"SI","NO"),"LIMBO")</f>
        <v>SI</v>
      </c>
      <c r="P1042" s="78" t="str">
        <f>IF($P$1=H1042,"DIASOL", "DIANOSOL")</f>
        <v>DIANOSOL</v>
      </c>
      <c r="Q1042" s="63" t="s">
        <v>1010</v>
      </c>
      <c r="R1042" s="63" t="str">
        <f>VLOOKUP($Q1042,Resultados!$A$1:$B$49,2,FALSE)</f>
        <v>Suspendida</v>
      </c>
      <c r="S1042" s="63"/>
      <c r="T1042" s="81" t="str">
        <f>IF(G1042=$J$1,"SI","NO")</f>
        <v>NO</v>
      </c>
      <c r="U1042" s="81"/>
      <c r="V1042" s="7" t="str">
        <f ca="1">IF(color_Celda(E1042)=12106214,"ROSA",IF(color_Celda(E1042)=65535,"AMARILLO",IF(color_Celda(E1042)=5296274,"VERDE",IF(color_Celda(E1042)=16777215,"BLANCO","NO SE"))))</f>
        <v>ROSA</v>
      </c>
      <c r="W1042" s="336"/>
      <c r="X1042" s="336"/>
      <c r="Y1042" s="336"/>
      <c r="Z1042" s="336"/>
      <c r="AA1042" s="336"/>
      <c r="AB1042" s="63" t="s">
        <v>1169</v>
      </c>
      <c r="AC1042" s="336" t="s">
        <v>1792</v>
      </c>
    </row>
    <row r="1043" spans="1:29" ht="60" customHeight="1">
      <c r="A1043" s="336">
        <v>1025</v>
      </c>
      <c r="B1043" s="349">
        <v>45251</v>
      </c>
      <c r="C1043" s="568">
        <v>0.48958333333333331</v>
      </c>
      <c r="D1043" s="63" t="s">
        <v>4122</v>
      </c>
      <c r="E1043" s="64" t="s">
        <v>4123</v>
      </c>
      <c r="F1043" s="336">
        <v>3</v>
      </c>
      <c r="G1043" s="336" t="s">
        <v>1433</v>
      </c>
      <c r="H1043" s="383">
        <v>45271</v>
      </c>
      <c r="I1043" s="65" t="s">
        <v>1083</v>
      </c>
      <c r="J1043" s="349" t="s">
        <v>1723</v>
      </c>
      <c r="K1043" s="63" t="s">
        <v>1916</v>
      </c>
      <c r="L1043" s="63" t="s">
        <v>789</v>
      </c>
      <c r="M1043" s="63" t="s">
        <v>3755</v>
      </c>
      <c r="N1043" s="63" t="s">
        <v>897</v>
      </c>
      <c r="O1043" s="78" t="str">
        <f ca="1">IF(H1043&lt;&gt;"",IF(H1043&lt;=TODAY(),"SI","NO"),"LIMBO")</f>
        <v>SI</v>
      </c>
      <c r="P1043" s="63" t="str">
        <f>IF($P$1=H1043,"DIASOL", "DIANOSOL")</f>
        <v>DIANOSOL</v>
      </c>
      <c r="Q1043" s="63" t="s">
        <v>897</v>
      </c>
      <c r="R1043" s="63" t="str">
        <f>VLOOKUP($Q1043,Resultados!$A$1:$B$49,2,FALSE)</f>
        <v>Libertad</v>
      </c>
      <c r="S1043" s="63" t="s">
        <v>1239</v>
      </c>
      <c r="T1043" s="81" t="str">
        <f>IF(G1043=$J$1,"SI","NO")</f>
        <v>NO</v>
      </c>
      <c r="U1043" s="81"/>
      <c r="V1043" s="7" t="str">
        <f ca="1">IF(color_Celda(E1043)=12106214,"ROSA",IF(color_Celda(E1043)=65535,"AMARILLO",IF(color_Celda(E1043)=5296274,"VERDE",IF(color_Celda(E1043)=16777215,"BLANCO","NO SE"))))</f>
        <v>ROSA</v>
      </c>
      <c r="W1043" s="63" t="s">
        <v>1003</v>
      </c>
      <c r="X1043" s="336"/>
      <c r="Y1043" s="336"/>
      <c r="Z1043" s="336"/>
      <c r="AA1043" s="118" t="s">
        <v>3378</v>
      </c>
      <c r="AB1043" s="63" t="s">
        <v>3258</v>
      </c>
      <c r="AC1043" s="336"/>
    </row>
    <row r="1044" spans="1:29" ht="60" customHeight="1">
      <c r="A1044" s="336">
        <v>1082</v>
      </c>
      <c r="B1044" s="349">
        <v>45258</v>
      </c>
      <c r="C1044" s="568">
        <v>0.34583333333333338</v>
      </c>
      <c r="D1044" s="63" t="s">
        <v>4320</v>
      </c>
      <c r="E1044" s="64" t="s">
        <v>4416</v>
      </c>
      <c r="F1044" s="336">
        <v>4</v>
      </c>
      <c r="G1044" s="336" t="s">
        <v>2752</v>
      </c>
      <c r="H1044" s="383">
        <v>45271</v>
      </c>
      <c r="I1044" s="65" t="s">
        <v>1083</v>
      </c>
      <c r="J1044" s="349" t="s">
        <v>78</v>
      </c>
      <c r="K1044" s="336">
        <f>IFERROR(VLOOKUP(J1044,Jueces!$A$1:$B$11,2,FALSE),"")</f>
        <v>8</v>
      </c>
      <c r="L1044" s="63" t="s">
        <v>805</v>
      </c>
      <c r="M1044" s="7" t="s">
        <v>2107</v>
      </c>
      <c r="N1044" s="63" t="s">
        <v>4007</v>
      </c>
      <c r="O1044" s="78" t="str">
        <f ca="1">IF(H1044&lt;&gt;"",IF(H1044&lt;=TODAY(),"SI","NO"),"LIMBO")</f>
        <v>SI</v>
      </c>
      <c r="P1044" s="78" t="str">
        <f>IF($P$1=H1044,"DIASOL", "DIANOSOL")</f>
        <v>DIANOSOL</v>
      </c>
      <c r="Q1044" s="63" t="s">
        <v>902</v>
      </c>
      <c r="R1044" s="63" t="str">
        <f>VLOOKUP($Q1044,Resultados!$A$1:$B$49,2,FALSE)</f>
        <v>Juicio Abreviado</v>
      </c>
      <c r="S1044" s="63" t="s">
        <v>4572</v>
      </c>
      <c r="T1044" s="81" t="str">
        <f>IF(G1044=$J$1,"SI","NO")</f>
        <v>NO</v>
      </c>
      <c r="U1044" s="81"/>
      <c r="V1044" s="7" t="str">
        <f ca="1">IF(color_Celda(E1044)=12106214,"ROSA",IF(color_Celda(E1044)=65535,"AMARILLO",IF(color_Celda(E1044)=5296274,"VERDE",IF(color_Celda(E1044)=16777215,"BLANCO","NO SE"))))</f>
        <v>ROSA</v>
      </c>
      <c r="W1044" s="63" t="s">
        <v>77</v>
      </c>
      <c r="X1044" s="336"/>
      <c r="Y1044" s="336"/>
      <c r="Z1044" s="336"/>
      <c r="AA1044" s="118" t="s">
        <v>3378</v>
      </c>
      <c r="AB1044" s="63" t="s">
        <v>1171</v>
      </c>
      <c r="AC1044" s="336"/>
    </row>
    <row r="1045" spans="1:29" ht="60" customHeight="1">
      <c r="A1045" s="336">
        <v>1034</v>
      </c>
      <c r="B1045" s="349">
        <v>45253</v>
      </c>
      <c r="C1045" s="568">
        <v>0.45555555555555555</v>
      </c>
      <c r="D1045" s="63" t="s">
        <v>4195</v>
      </c>
      <c r="E1045" s="64" t="s">
        <v>4196</v>
      </c>
      <c r="F1045" s="336">
        <v>5</v>
      </c>
      <c r="G1045" s="336" t="s">
        <v>1434</v>
      </c>
      <c r="H1045" s="383">
        <v>45271</v>
      </c>
      <c r="I1045" s="65" t="s">
        <v>76</v>
      </c>
      <c r="J1045" s="349" t="s">
        <v>2925</v>
      </c>
      <c r="K1045" s="63" t="s">
        <v>1321</v>
      </c>
      <c r="L1045" s="63" t="s">
        <v>810</v>
      </c>
      <c r="M1045" s="63" t="s">
        <v>1956</v>
      </c>
      <c r="N1045" s="63" t="s">
        <v>4569</v>
      </c>
      <c r="O1045" s="78" t="str">
        <f ca="1">IF(H1045&lt;&gt;"",IF(H1045&lt;=TODAY(),"SI","NO"),"LIMBO")</f>
        <v>SI</v>
      </c>
      <c r="P1045" s="63" t="str">
        <f>IF($P$1=H1045,"DIASOL", "DIANOSOL")</f>
        <v>DIANOSOL</v>
      </c>
      <c r="Q1045" s="63" t="s">
        <v>902</v>
      </c>
      <c r="R1045" s="63" t="str">
        <f>VLOOKUP($Q1045,Resultados!$A$1:$B$49,2,FALSE)</f>
        <v>Juicio Abreviado</v>
      </c>
      <c r="S1045" s="63" t="s">
        <v>3358</v>
      </c>
      <c r="T1045" s="81" t="str">
        <f>IF(G1045=$J$1,"SI","NO")</f>
        <v>NO</v>
      </c>
      <c r="U1045" s="81"/>
      <c r="V1045" s="7" t="str">
        <f ca="1">IF(color_Celda(E1045)=12106214,"ROSA",IF(color_Celda(E1045)=65535,"AMARILLO",IF(color_Celda(E1045)=5296274,"VERDE",IF(color_Celda(E1045)=16777215,"BLANCO","NO SE"))))</f>
        <v>ROSA</v>
      </c>
      <c r="W1045" s="63" t="s">
        <v>1442</v>
      </c>
      <c r="X1045" s="336"/>
      <c r="Y1045" s="336"/>
      <c r="Z1045" s="336"/>
      <c r="AA1045" s="118" t="s">
        <v>1167</v>
      </c>
      <c r="AB1045" s="63" t="s">
        <v>3322</v>
      </c>
      <c r="AC1045" s="336"/>
    </row>
    <row r="1046" spans="1:29" ht="60" customHeight="1">
      <c r="A1046" s="336">
        <v>1008</v>
      </c>
      <c r="B1046" s="349">
        <v>45267</v>
      </c>
      <c r="C1046" s="63" t="s">
        <v>1370</v>
      </c>
      <c r="D1046" s="63" t="s">
        <v>4093</v>
      </c>
      <c r="E1046" s="64" t="s">
        <v>4094</v>
      </c>
      <c r="F1046" s="336">
        <v>4</v>
      </c>
      <c r="G1046" s="336" t="s">
        <v>2766</v>
      </c>
      <c r="H1046" s="383">
        <v>45271</v>
      </c>
      <c r="I1046" s="65" t="s">
        <v>1442</v>
      </c>
      <c r="J1046" s="349" t="s">
        <v>33</v>
      </c>
      <c r="K1046" s="336">
        <f>IFERROR(VLOOKUP(J1046,Jueces!$A$1:$B$11,2,FALSE),"")</f>
        <v>4</v>
      </c>
      <c r="L1046" s="63" t="s">
        <v>811</v>
      </c>
      <c r="M1046" s="63" t="s">
        <v>1956</v>
      </c>
      <c r="N1046" s="63" t="s">
        <v>4570</v>
      </c>
      <c r="O1046" s="78" t="str">
        <f ca="1">IF(H1046&lt;&gt;"",IF(H1046&lt;=TODAY(),"SI","NO"),"LIMBO")</f>
        <v>SI</v>
      </c>
      <c r="P1046" s="63" t="str">
        <f>IF($P$1=H1046,"DIASOL", "DIANOSOL")</f>
        <v>DIANOSOL</v>
      </c>
      <c r="Q1046" s="63" t="s">
        <v>151</v>
      </c>
      <c r="R1046" s="63" t="str">
        <f>VLOOKUP($Q1046,Resultados!$A$1:$B$49,2,FALSE)</f>
        <v>Prisión Preventiva</v>
      </c>
      <c r="S1046" s="63" t="s">
        <v>1798</v>
      </c>
      <c r="T1046" s="81" t="str">
        <f>IF(G1046=$J$1,"SI","NO")</f>
        <v>NO</v>
      </c>
      <c r="U1046" s="81"/>
      <c r="V1046" s="7" t="str">
        <f ca="1">IF(color_Celda(E1046)=12106214,"ROSA",IF(color_Celda(E1046)=65535,"AMARILLO",IF(color_Celda(E1046)=5296274,"VERDE",IF(color_Celda(E1046)=16777215,"BLANCO","NO SE"))))</f>
        <v>ROSA</v>
      </c>
      <c r="W1046" s="63" t="s">
        <v>2575</v>
      </c>
      <c r="X1046" s="336"/>
      <c r="Y1046" s="336"/>
      <c r="Z1046" s="336"/>
      <c r="AA1046" s="118" t="s">
        <v>2828</v>
      </c>
      <c r="AB1046" s="63" t="s">
        <v>1173</v>
      </c>
      <c r="AC1046" s="336"/>
    </row>
    <row r="1047" spans="1:29" ht="60" customHeight="1">
      <c r="A1047" s="336">
        <v>1196</v>
      </c>
      <c r="B1047" s="349">
        <v>45267</v>
      </c>
      <c r="C1047" s="70">
        <v>0.33333333333333331</v>
      </c>
      <c r="D1047" s="336" t="s">
        <v>3954</v>
      </c>
      <c r="E1047" s="355" t="s">
        <v>3973</v>
      </c>
      <c r="F1047" s="336">
        <v>3</v>
      </c>
      <c r="G1047" s="63" t="s">
        <v>2766</v>
      </c>
      <c r="H1047" s="383">
        <v>45271</v>
      </c>
      <c r="I1047" s="65" t="s">
        <v>77</v>
      </c>
      <c r="J1047" s="65" t="s">
        <v>1216</v>
      </c>
      <c r="K1047" s="336">
        <v>3</v>
      </c>
      <c r="L1047" s="63" t="s">
        <v>811</v>
      </c>
      <c r="M1047" s="7" t="s">
        <v>695</v>
      </c>
      <c r="N1047" s="336" t="s">
        <v>4393</v>
      </c>
      <c r="O1047" s="63" t="str">
        <f ca="1">IF(H1047&lt;&gt;"",IF(H1047&lt;=TODAY(),"SI","NO"),"LIMBO")</f>
        <v>SI</v>
      </c>
      <c r="P1047" s="63" t="str">
        <f>IF($P$1=H1047,"DIASOL", "DIANOSOL")</f>
        <v>DIANOSOL</v>
      </c>
      <c r="Q1047" s="63" t="s">
        <v>151</v>
      </c>
      <c r="R1047" s="63" t="str">
        <f>VLOOKUP($Q1047,Resultados!$A$1:$B$49,2,FALSE)</f>
        <v>Prisión Preventiva</v>
      </c>
      <c r="S1047" s="63"/>
      <c r="T1047" s="72" t="str">
        <f>IF(G1047=$J$1,"SI","NO")</f>
        <v>NO</v>
      </c>
      <c r="U1047" s="72"/>
      <c r="V1047" s="7" t="str">
        <f ca="1">IF(color_Celda(E1047)=12106214,"ROSA",IF(color_Celda(E1047)=65535,"AMARILLO",IF(color_Celda(E1047)=5296274,"VERDE",IF(color_Celda(E1047)=16777215,"BLANCO","NO SE"))))</f>
        <v>ROSA</v>
      </c>
      <c r="W1047" s="336"/>
      <c r="X1047" s="336"/>
      <c r="Y1047" s="336"/>
      <c r="Z1047" s="336"/>
      <c r="AA1047" s="328"/>
      <c r="AB1047" s="336"/>
      <c r="AC1047" s="336"/>
    </row>
    <row r="1048" spans="1:29" ht="60" customHeight="1">
      <c r="A1048" s="336">
        <v>1090</v>
      </c>
      <c r="B1048" s="349">
        <v>45261</v>
      </c>
      <c r="C1048" s="568">
        <v>0.36458333333333331</v>
      </c>
      <c r="D1048" s="63" t="s">
        <v>4369</v>
      </c>
      <c r="E1048" s="64" t="s">
        <v>4370</v>
      </c>
      <c r="F1048" s="336">
        <v>5</v>
      </c>
      <c r="G1048" s="336" t="s">
        <v>1435</v>
      </c>
      <c r="H1048" s="383">
        <v>45271</v>
      </c>
      <c r="I1048" s="65" t="s">
        <v>987</v>
      </c>
      <c r="J1048" s="349" t="s">
        <v>33</v>
      </c>
      <c r="K1048" s="336">
        <f>IFERROR(VLOOKUP(J1048,Jueces!$A$1:$B$11,2,FALSE),"")</f>
        <v>4</v>
      </c>
      <c r="L1048" s="63" t="s">
        <v>797</v>
      </c>
      <c r="M1048" s="335" t="s">
        <v>2860</v>
      </c>
      <c r="N1048" s="63" t="s">
        <v>4571</v>
      </c>
      <c r="O1048" s="78" t="str">
        <f ca="1">IF(H1048&lt;&gt;"",IF(H1048&lt;=TODAY(),"SI","NO"),"LIMBO")</f>
        <v>SI</v>
      </c>
      <c r="P1048" s="78" t="str">
        <f>IF($P$1=H1048,"DIASOL", "DIANOSOL")</f>
        <v>DIANOSOL</v>
      </c>
      <c r="Q1048" s="63" t="s">
        <v>911</v>
      </c>
      <c r="R1048" s="63" t="str">
        <f>VLOOKUP($Q1048,Resultados!$A$1:$B$49,2,FALSE)</f>
        <v>Prision domiciliaria</v>
      </c>
      <c r="S1048" s="63" t="s">
        <v>4573</v>
      </c>
      <c r="T1048" s="81" t="str">
        <f>IF(G1048=$J$1,"SI","NO")</f>
        <v>SI</v>
      </c>
      <c r="U1048" s="81"/>
      <c r="V1048" s="7" t="str">
        <f ca="1">IF(color_Celda(E1048)=12106214,"ROSA",IF(color_Celda(E1048)=65535,"AMARILLO",IF(color_Celda(E1048)=5296274,"VERDE",IF(color_Celda(E1048)=16777215,"BLANCO","NO SE"))))</f>
        <v>ROSA</v>
      </c>
      <c r="W1048" s="63" t="s">
        <v>1630</v>
      </c>
      <c r="X1048" s="336"/>
      <c r="Y1048" s="336"/>
      <c r="Z1048" s="336"/>
      <c r="AA1048" s="118" t="s">
        <v>2869</v>
      </c>
      <c r="AB1048" s="63" t="s">
        <v>1170</v>
      </c>
      <c r="AC1048" s="336"/>
    </row>
    <row r="1049" spans="1:29" ht="60" customHeight="1">
      <c r="A1049" s="336">
        <v>1089</v>
      </c>
      <c r="B1049" s="349">
        <v>45260</v>
      </c>
      <c r="C1049" s="568">
        <v>0.33333333333333331</v>
      </c>
      <c r="D1049" s="63" t="s">
        <v>4339</v>
      </c>
      <c r="E1049" s="64" t="s">
        <v>4334</v>
      </c>
      <c r="F1049" s="336">
        <v>5</v>
      </c>
      <c r="G1049" s="336" t="s">
        <v>29</v>
      </c>
      <c r="H1049" s="383">
        <v>45271</v>
      </c>
      <c r="I1049" s="65" t="s">
        <v>228</v>
      </c>
      <c r="J1049" s="349" t="s">
        <v>1216</v>
      </c>
      <c r="K1049" s="336">
        <v>3</v>
      </c>
      <c r="L1049" s="63" t="s">
        <v>789</v>
      </c>
      <c r="M1049" s="63" t="s">
        <v>2107</v>
      </c>
      <c r="N1049" s="63" t="s">
        <v>3152</v>
      </c>
      <c r="O1049" s="78" t="str">
        <f ca="1">IF(H1049&lt;&gt;"",IF(H1049&lt;=TODAY(),"SI","NO"),"LIMBO")</f>
        <v>SI</v>
      </c>
      <c r="P1049" s="78" t="str">
        <f>IF($P$1=H1049,"DIASOL", "DIANOSOL")</f>
        <v>DIANOSOL</v>
      </c>
      <c r="Q1049" s="63" t="s">
        <v>902</v>
      </c>
      <c r="R1049" s="63" t="str">
        <f>VLOOKUP($Q1049,Resultados!$A$1:$B$49,2,FALSE)</f>
        <v>Juicio Abreviado</v>
      </c>
      <c r="S1049" s="63" t="s">
        <v>4574</v>
      </c>
      <c r="T1049" s="81" t="str">
        <f>IF(G1049=$J$1,"SI","NO")</f>
        <v>NO</v>
      </c>
      <c r="U1049" s="81"/>
      <c r="V1049" s="7" t="str">
        <f ca="1">IF(color_Celda(E1049)=12106214,"ROSA",IF(color_Celda(E1049)=65535,"AMARILLO",IF(color_Celda(E1049)=5296274,"VERDE",IF(color_Celda(E1049)=16777215,"BLANCO","NO SE"))))</f>
        <v>ROSA</v>
      </c>
      <c r="W1049" s="63" t="s">
        <v>987</v>
      </c>
      <c r="X1049" s="336"/>
      <c r="Y1049" s="336"/>
      <c r="Z1049" s="336"/>
      <c r="AA1049" s="118" t="s">
        <v>1167</v>
      </c>
      <c r="AB1049" s="63" t="s">
        <v>1169</v>
      </c>
      <c r="AC1049" s="336"/>
    </row>
    <row r="1050" spans="1:29" ht="60" customHeight="1">
      <c r="A1050" s="336">
        <v>1031</v>
      </c>
      <c r="B1050" s="349">
        <v>45160</v>
      </c>
      <c r="C1050" s="568">
        <v>0.33333333333333331</v>
      </c>
      <c r="D1050" s="336" t="s">
        <v>3490</v>
      </c>
      <c r="E1050" s="355" t="s">
        <v>3427</v>
      </c>
      <c r="F1050" s="336">
        <v>2</v>
      </c>
      <c r="G1050" s="336" t="s">
        <v>1434</v>
      </c>
      <c r="H1050" s="383">
        <v>45272</v>
      </c>
      <c r="I1050" s="65" t="s">
        <v>73</v>
      </c>
      <c r="J1050" s="349" t="s">
        <v>31</v>
      </c>
      <c r="K1050" s="336">
        <f>IFERROR(VLOOKUP(J1050,Jueces!$A$1:$B$11,2,FALSE),"")</f>
        <v>2</v>
      </c>
      <c r="L1050" s="63" t="s">
        <v>2077</v>
      </c>
      <c r="M1050" s="335" t="s">
        <v>2755</v>
      </c>
      <c r="N1050" s="63" t="s">
        <v>4575</v>
      </c>
      <c r="O1050" s="78" t="str">
        <f ca="1">IF(H1050&lt;&gt;"",IF(H1050&lt;=TODAY(),"SI","NO"),"LIMBO")</f>
        <v>SI</v>
      </c>
      <c r="P1050" s="63" t="str">
        <f>IF($P$1=H1050,"DIASOL", "DIANOSOL")</f>
        <v>DIANOSOL</v>
      </c>
      <c r="Q1050" s="63" t="s">
        <v>151</v>
      </c>
      <c r="R1050" s="63" t="str">
        <f>VLOOKUP($Q1050,Resultados!$A$1:$B$49,2,FALSE)</f>
        <v>Prisión Preventiva</v>
      </c>
      <c r="S1050" s="63" t="s">
        <v>679</v>
      </c>
      <c r="T1050" s="81" t="str">
        <f>IF(G1050=$J$1,"SI","NO")</f>
        <v>NO</v>
      </c>
      <c r="U1050" s="81"/>
      <c r="V1050" s="7" t="str">
        <f ca="1">IF(color_Celda(E1050)=12106214,"ROSA",IF(color_Celda(E1050)=65535,"AMARILLO",IF(color_Celda(E1050)=5296274,"VERDE",IF(color_Celda(E1050)=16777215,"BLANCO","NO SE"))))</f>
        <v>ROSA</v>
      </c>
      <c r="W1050" s="63" t="s">
        <v>1134</v>
      </c>
      <c r="X1050" s="63" t="s">
        <v>4382</v>
      </c>
      <c r="Y1050" s="336"/>
      <c r="Z1050" s="72" t="s">
        <v>1038</v>
      </c>
      <c r="AA1050" s="118" t="s">
        <v>3379</v>
      </c>
      <c r="AB1050" s="72" t="s">
        <v>1171</v>
      </c>
      <c r="AC1050" s="336"/>
    </row>
    <row r="1051" spans="1:29" ht="60" customHeight="1">
      <c r="A1051" s="336">
        <v>1015</v>
      </c>
      <c r="B1051" s="349">
        <v>45251</v>
      </c>
      <c r="C1051" s="568">
        <v>0.3444444444444445</v>
      </c>
      <c r="D1051" s="63" t="s">
        <v>4106</v>
      </c>
      <c r="E1051" s="64" t="s">
        <v>4407</v>
      </c>
      <c r="F1051" s="336">
        <v>4</v>
      </c>
      <c r="G1051" s="336" t="s">
        <v>3324</v>
      </c>
      <c r="H1051" s="383">
        <v>45272</v>
      </c>
      <c r="I1051" s="65" t="s">
        <v>73</v>
      </c>
      <c r="J1051" s="349" t="s">
        <v>78</v>
      </c>
      <c r="K1051" s="336">
        <f>IFERROR(VLOOKUP(J1051,Jueces!$A$1:$B$11,2,FALSE),"")</f>
        <v>8</v>
      </c>
      <c r="L1051" s="63" t="s">
        <v>806</v>
      </c>
      <c r="M1051" s="335" t="s">
        <v>4186</v>
      </c>
      <c r="N1051" s="63" t="s">
        <v>4578</v>
      </c>
      <c r="O1051" s="78" t="str">
        <f ca="1">IF(H1051&lt;&gt;"",IF(H1051&lt;=TODAY(),"SI","NO"),"LIMBO")</f>
        <v>SI</v>
      </c>
      <c r="P1051" s="63" t="str">
        <f>IF($P$1=H1051,"DIASOL", "DIANOSOL")</f>
        <v>DIANOSOL</v>
      </c>
      <c r="Q1051" s="63" t="s">
        <v>151</v>
      </c>
      <c r="R1051" s="63" t="s">
        <v>151</v>
      </c>
      <c r="S1051" s="63" t="s">
        <v>1421</v>
      </c>
      <c r="T1051" s="81" t="str">
        <f>IF(G1051=$J$1,"SI","NO")</f>
        <v>NO</v>
      </c>
      <c r="U1051" s="81"/>
      <c r="V1051" s="7" t="str">
        <f ca="1">IF(color_Celda(E1051)=12106214,"ROSA",IF(color_Celda(E1051)=65535,"AMARILLO",IF(color_Celda(E1051)=5296274,"VERDE",IF(color_Celda(E1051)=16777215,"BLANCO","NO SE"))))</f>
        <v>ROSA</v>
      </c>
      <c r="W1051" s="63" t="s">
        <v>1708</v>
      </c>
      <c r="X1051" s="63" t="s">
        <v>4579</v>
      </c>
      <c r="Y1051" s="63"/>
      <c r="Z1051" s="72" t="s">
        <v>748</v>
      </c>
      <c r="AA1051" s="118" t="s">
        <v>2869</v>
      </c>
      <c r="AB1051" s="72" t="s">
        <v>1173</v>
      </c>
      <c r="AC1051" s="336"/>
    </row>
    <row r="1052" spans="1:29" ht="60" customHeight="1">
      <c r="A1052" s="336">
        <v>1023</v>
      </c>
      <c r="B1052" s="349">
        <v>45251</v>
      </c>
      <c r="C1052" s="568">
        <v>0.3611111111111111</v>
      </c>
      <c r="D1052" s="325" t="s">
        <v>4119</v>
      </c>
      <c r="E1052" s="64" t="s">
        <v>4120</v>
      </c>
      <c r="F1052" s="336">
        <v>3</v>
      </c>
      <c r="G1052" s="336" t="s">
        <v>3639</v>
      </c>
      <c r="H1052" s="383">
        <v>45272</v>
      </c>
      <c r="I1052" s="65" t="s">
        <v>73</v>
      </c>
      <c r="J1052" s="349" t="s">
        <v>2922</v>
      </c>
      <c r="K1052" s="63" t="s">
        <v>1916</v>
      </c>
      <c r="L1052" s="63" t="s">
        <v>797</v>
      </c>
      <c r="M1052" s="63" t="s">
        <v>692</v>
      </c>
      <c r="N1052" s="63" t="s">
        <v>4577</v>
      </c>
      <c r="O1052" s="78" t="str">
        <f ca="1">IF(H1052&lt;&gt;"",IF(H1052&lt;=TODAY(),"SI","NO"),"LIMBO")</f>
        <v>SI</v>
      </c>
      <c r="P1052" s="63" t="str">
        <f>IF($P$1=H1052,"DIASOL", "DIANOSOL")</f>
        <v>DIANOSOL</v>
      </c>
      <c r="Q1052" s="63" t="s">
        <v>903</v>
      </c>
      <c r="R1052" s="63" t="str">
        <f>VLOOKUP($Q1052,Resultados!$A$1:$B$49,2,FALSE)</f>
        <v>Juicio Abreviado</v>
      </c>
      <c r="S1052" s="63" t="s">
        <v>1328</v>
      </c>
      <c r="T1052" s="81" t="str">
        <f>IF(G1052=$J$1,"SI","NO")</f>
        <v>NO</v>
      </c>
      <c r="U1052" s="81"/>
      <c r="V1052" s="7" t="str">
        <f ca="1">IF(color_Celda(E1052)=12106214,"ROSA",IF(color_Celda(E1052)=65535,"AMARILLO",IF(color_Celda(E1052)=5296274,"VERDE",IF(color_Celda(E1052)=16777215,"BLANCO","NO SE"))))</f>
        <v>ROSA</v>
      </c>
      <c r="W1052" s="63" t="s">
        <v>1737</v>
      </c>
      <c r="X1052" s="63" t="s">
        <v>2137</v>
      </c>
      <c r="Y1052" s="336"/>
      <c r="Z1052" s="72" t="s">
        <v>3368</v>
      </c>
      <c r="AA1052" s="118" t="s">
        <v>2869</v>
      </c>
      <c r="AB1052" s="72" t="s">
        <v>1170</v>
      </c>
      <c r="AC1052" s="336" t="s">
        <v>1792</v>
      </c>
    </row>
    <row r="1053" spans="1:29" ht="60" customHeight="1">
      <c r="A1053" s="336">
        <v>1027</v>
      </c>
      <c r="B1053" s="349">
        <v>45267</v>
      </c>
      <c r="C1053" s="70">
        <v>0.33333333333333331</v>
      </c>
      <c r="D1053" s="63" t="s">
        <v>4132</v>
      </c>
      <c r="E1053" s="64" t="s">
        <v>4133</v>
      </c>
      <c r="F1053" s="336">
        <v>7</v>
      </c>
      <c r="G1053" s="336" t="s">
        <v>568</v>
      </c>
      <c r="H1053" s="383">
        <v>45272</v>
      </c>
      <c r="I1053" s="65" t="s">
        <v>73</v>
      </c>
      <c r="J1053" s="349" t="s">
        <v>1217</v>
      </c>
      <c r="K1053" s="336">
        <f>IFERROR(VLOOKUP(J1053,Jueces!$A$1:$B$11,2,FALSE),"")</f>
        <v>7</v>
      </c>
      <c r="L1053" s="63" t="s">
        <v>569</v>
      </c>
      <c r="M1053" s="63" t="s">
        <v>783</v>
      </c>
      <c r="N1053" s="63" t="s">
        <v>621</v>
      </c>
      <c r="O1053" s="78" t="str">
        <f ca="1">IF(H1053&lt;&gt;"",IF(H1053&lt;=TODAY(),"SI","NO"),"LIMBO")</f>
        <v>SI</v>
      </c>
      <c r="P1053" s="63" t="str">
        <f>IF($P$1=H1053,"DIASOL", "DIANOSOL")</f>
        <v>DIANOSOL</v>
      </c>
      <c r="Q1053" s="63" t="s">
        <v>151</v>
      </c>
      <c r="R1053" s="63" t="str">
        <f>VLOOKUP($Q1053,Resultados!$A$1:$B$49,2,FALSE)</f>
        <v>Prisión Preventiva</v>
      </c>
      <c r="S1053" s="63" t="s">
        <v>1119</v>
      </c>
      <c r="T1053" s="81" t="str">
        <f>IF(G1053=$J$1,"SI","NO")</f>
        <v>NO</v>
      </c>
      <c r="U1053" s="81"/>
      <c r="V1053" s="7" t="str">
        <f ca="1">IF(color_Celda(E1053)=12106214,"ROSA",IF(color_Celda(E1053)=65535,"AMARILLO",IF(color_Celda(E1053)=5296274,"VERDE",IF(color_Celda(E1053)=16777215,"BLANCO","NO SE"))))</f>
        <v>ROSA</v>
      </c>
      <c r="W1053" s="63" t="s">
        <v>1232</v>
      </c>
      <c r="X1053" s="63" t="s">
        <v>4576</v>
      </c>
      <c r="Y1053" s="336"/>
      <c r="Z1053" s="72" t="s">
        <v>4558</v>
      </c>
      <c r="AA1053" s="336"/>
      <c r="AB1053" s="72" t="s">
        <v>3258</v>
      </c>
      <c r="AC1053" s="336"/>
    </row>
    <row r="1054" spans="1:29" ht="60" customHeight="1">
      <c r="A1054" s="336">
        <v>1063</v>
      </c>
      <c r="B1054" s="349">
        <v>45257</v>
      </c>
      <c r="C1054" s="568">
        <v>0.45</v>
      </c>
      <c r="D1054" s="63" t="s">
        <v>4287</v>
      </c>
      <c r="E1054" s="64" t="s">
        <v>4288</v>
      </c>
      <c r="F1054" s="336">
        <v>7</v>
      </c>
      <c r="G1054" s="336" t="s">
        <v>2752</v>
      </c>
      <c r="H1054" s="383">
        <v>45272</v>
      </c>
      <c r="I1054" s="65" t="s">
        <v>1083</v>
      </c>
      <c r="J1054" s="349" t="s">
        <v>1216</v>
      </c>
      <c r="K1054" s="63" t="s">
        <v>4502</v>
      </c>
      <c r="L1054" s="63" t="s">
        <v>569</v>
      </c>
      <c r="M1054" s="335" t="s">
        <v>1408</v>
      </c>
      <c r="N1054" s="63" t="s">
        <v>4580</v>
      </c>
      <c r="O1054" s="78" t="str">
        <f ca="1">IF(H1054&lt;&gt;"",IF(H1054&lt;=TODAY(),"SI","NO"),"LIMBO")</f>
        <v>SI</v>
      </c>
      <c r="P1054" s="63" t="str">
        <f>IF($P$1=H1054,"DIASOL", "DIANOSOL")</f>
        <v>DIANOSOL</v>
      </c>
      <c r="Q1054" s="63" t="s">
        <v>151</v>
      </c>
      <c r="R1054" s="63" t="str">
        <f>VLOOKUP($Q1054,Resultados!$A$1:$B$49,2,FALSE)</f>
        <v>Prisión Preventiva</v>
      </c>
      <c r="S1054" s="63" t="s">
        <v>1121</v>
      </c>
      <c r="T1054" s="81" t="str">
        <f>IF(G1054=$J$1,"SI","NO")</f>
        <v>NO</v>
      </c>
      <c r="U1054" s="81"/>
      <c r="V1054" s="7" t="str">
        <f ca="1">IF(color_Celda(E1054)=12106214,"ROSA",IF(color_Celda(E1054)=65535,"AMARILLO",IF(color_Celda(E1054)=5296274,"VERDE",IF(color_Celda(E1054)=16777215,"BLANCO","NO SE"))))</f>
        <v>ROSA</v>
      </c>
      <c r="W1054" s="63" t="s">
        <v>2882</v>
      </c>
      <c r="X1054" s="63" t="s">
        <v>3155</v>
      </c>
      <c r="Y1054" s="336"/>
      <c r="Z1054" s="72" t="s">
        <v>743</v>
      </c>
      <c r="AA1054" s="336"/>
      <c r="AB1054" s="72" t="s">
        <v>3258</v>
      </c>
      <c r="AC1054" s="336"/>
    </row>
    <row r="1055" spans="1:29" ht="60" customHeight="1">
      <c r="A1055" s="7">
        <v>807</v>
      </c>
      <c r="B1055" s="376">
        <v>45267</v>
      </c>
      <c r="C1055" s="15">
        <v>0.5444444444444444</v>
      </c>
      <c r="D1055" s="655" t="s">
        <v>3371</v>
      </c>
      <c r="E1055" s="40" t="s">
        <v>3372</v>
      </c>
      <c r="F1055" s="7">
        <v>1</v>
      </c>
      <c r="G1055" s="7" t="s">
        <v>2753</v>
      </c>
      <c r="H1055" s="297">
        <v>45272</v>
      </c>
      <c r="I1055" s="19" t="s">
        <v>1083</v>
      </c>
      <c r="J1055" s="19" t="s">
        <v>78</v>
      </c>
      <c r="K1055" s="7">
        <f>IFERROR(VLOOKUP(J1055,Jueces!$A$1:$B$11,2,FALSE),"")</f>
        <v>8</v>
      </c>
      <c r="L1055" s="7" t="s">
        <v>582</v>
      </c>
      <c r="M1055" s="7" t="s">
        <v>2043</v>
      </c>
      <c r="N1055" s="7" t="s">
        <v>4581</v>
      </c>
      <c r="O1055" s="76" t="str">
        <f ca="1">IF(H1055&lt;&gt;"",IF(H1055&lt;=TODAY(),"SI","NO"),"LIMBO")</f>
        <v>SI</v>
      </c>
      <c r="P1055" s="63" t="str">
        <f>IF($P$1=H1055,"DIASOL", "DIANOSOL")</f>
        <v>DIANOSOL</v>
      </c>
      <c r="Q1055" s="7" t="s">
        <v>902</v>
      </c>
      <c r="R1055" s="7" t="str">
        <f>VLOOKUP($Q1055,Resultados!$A$1:$B$49,2,FALSE)</f>
        <v>Juicio Abreviado</v>
      </c>
      <c r="S1055" s="7" t="s">
        <v>1630</v>
      </c>
      <c r="T1055" s="342" t="str">
        <f>IF(G1055=$J$1,"SI","NO")</f>
        <v>NO</v>
      </c>
      <c r="U1055" s="342"/>
      <c r="V1055" s="7" t="str">
        <f ca="1">IF(color_Celda(E1055)=12106214,"ROSA",IF(color_Celda(E1055)=65535,"AMARILLO",IF(color_Celda(E1055)=5296274,"VERDE",IF(color_Celda(E1055)=16777215,"BLANCO","NO SE"))))</f>
        <v>ROSA</v>
      </c>
      <c r="W1055" s="7" t="s">
        <v>2499</v>
      </c>
      <c r="X1055" s="7" t="s">
        <v>3155</v>
      </c>
      <c r="Y1055" s="7"/>
      <c r="Z1055" s="68" t="s">
        <v>748</v>
      </c>
      <c r="AA1055" s="268"/>
      <c r="AB1055" s="268" t="s">
        <v>1173</v>
      </c>
      <c r="AC1055" s="328" t="s">
        <v>1792</v>
      </c>
    </row>
    <row r="1056" spans="1:29" ht="60" customHeight="1">
      <c r="A1056" s="336">
        <v>1032</v>
      </c>
      <c r="B1056" s="349">
        <v>45267</v>
      </c>
      <c r="C1056" s="568">
        <v>0.46597222222222223</v>
      </c>
      <c r="D1056" s="63" t="s">
        <v>4194</v>
      </c>
      <c r="E1056" s="64" t="s">
        <v>4543</v>
      </c>
      <c r="F1056" s="336">
        <v>4</v>
      </c>
      <c r="G1056" s="336" t="s">
        <v>3791</v>
      </c>
      <c r="H1056" s="383">
        <v>45272</v>
      </c>
      <c r="I1056" s="65" t="s">
        <v>1083</v>
      </c>
      <c r="J1056" s="349" t="s">
        <v>1217</v>
      </c>
      <c r="K1056" s="336">
        <f>IFERROR(VLOOKUP(J1056,Jueces!$A$1:$B$11,2,FALSE),"")</f>
        <v>7</v>
      </c>
      <c r="L1056" s="63" t="s">
        <v>806</v>
      </c>
      <c r="M1056" s="63" t="s">
        <v>1866</v>
      </c>
      <c r="N1056" s="63" t="s">
        <v>1009</v>
      </c>
      <c r="O1056" s="78" t="str">
        <f ca="1">IF(H1056&lt;&gt;"",IF(H1056&lt;=TODAY(),"SI","NO"),"LIMBO")</f>
        <v>SI</v>
      </c>
      <c r="P1056" s="63" t="str">
        <f>IF($P$1=H1056,"DIASOL", "DIANOSOL")</f>
        <v>DIANOSOL</v>
      </c>
      <c r="Q1056" s="63" t="s">
        <v>1010</v>
      </c>
      <c r="R1056" s="63" t="str">
        <f>VLOOKUP($Q1056,Resultados!$A$1:$B$49,2,FALSE)</f>
        <v>Suspendida</v>
      </c>
      <c r="S1056" s="63"/>
      <c r="T1056" s="81" t="str">
        <f>IF(G1056=$J$1,"SI","NO")</f>
        <v>NO</v>
      </c>
      <c r="U1056" s="81"/>
      <c r="V1056" s="7" t="str">
        <f ca="1">IF(color_Celda(E1056)=12106214,"ROSA",IF(color_Celda(E1056)=65535,"AMARILLO",IF(color_Celda(E1056)=5296274,"VERDE",IF(color_Celda(E1056)=16777215,"BLANCO","NO SE"))))</f>
        <v>ROSA</v>
      </c>
      <c r="W1056" s="336"/>
      <c r="X1056" s="336"/>
      <c r="Y1056" s="336"/>
      <c r="Z1056" s="72" t="s">
        <v>4558</v>
      </c>
      <c r="AA1056" s="118" t="s">
        <v>4301</v>
      </c>
      <c r="AB1056" s="72" t="s">
        <v>1170</v>
      </c>
      <c r="AC1056" s="336"/>
    </row>
    <row r="1057" spans="1:29" ht="60" customHeight="1">
      <c r="A1057" s="336">
        <v>1046</v>
      </c>
      <c r="B1057" s="349">
        <v>45267</v>
      </c>
      <c r="C1057" s="70">
        <v>0.33333333333333331</v>
      </c>
      <c r="D1057" s="63" t="s">
        <v>4208</v>
      </c>
      <c r="E1057" s="64" t="s">
        <v>4209</v>
      </c>
      <c r="F1057" s="336">
        <v>5</v>
      </c>
      <c r="G1057" s="336" t="s">
        <v>1433</v>
      </c>
      <c r="H1057" s="208">
        <v>45272</v>
      </c>
      <c r="I1057" s="65" t="s">
        <v>1083</v>
      </c>
      <c r="J1057" s="349" t="s">
        <v>2925</v>
      </c>
      <c r="K1057" s="63" t="s">
        <v>1916</v>
      </c>
      <c r="L1057" s="63" t="s">
        <v>810</v>
      </c>
      <c r="M1057" s="63" t="s">
        <v>1956</v>
      </c>
      <c r="N1057" s="63" t="s">
        <v>4056</v>
      </c>
      <c r="O1057" s="78" t="str">
        <f ca="1">IF(H1057&lt;&gt;"",IF(H1057&lt;=TODAY(),"SI","NO"),"LIMBO")</f>
        <v>SI</v>
      </c>
      <c r="P1057" s="63" t="str">
        <f>IF($P$1=H1057,"DIASOL", "DIANOSOL")</f>
        <v>DIANOSOL</v>
      </c>
      <c r="Q1057" s="63" t="s">
        <v>902</v>
      </c>
      <c r="R1057" s="63" t="str">
        <f>VLOOKUP($Q1057,Resultados!$A$1:$B$49,2,FALSE)</f>
        <v>Juicio Abreviado</v>
      </c>
      <c r="S1057" s="63" t="s">
        <v>1442</v>
      </c>
      <c r="T1057" s="81" t="str">
        <f>IF(G1057=$J$1,"SI","NO")</f>
        <v>NO</v>
      </c>
      <c r="U1057" s="81"/>
      <c r="V1057" s="7" t="str">
        <f ca="1">IF(color_Celda(E1057)=12106214,"ROSA",IF(color_Celda(E1057)=65535,"AMARILLO",IF(color_Celda(E1057)=5296274,"VERDE",IF(color_Celda(E1057)=16777215,"BLANCO","NO SE"))))</f>
        <v>ROSA</v>
      </c>
      <c r="W1057" s="63" t="s">
        <v>75</v>
      </c>
      <c r="X1057" s="63" t="s">
        <v>3155</v>
      </c>
      <c r="Y1057" s="336"/>
      <c r="Z1057" s="72" t="s">
        <v>3368</v>
      </c>
      <c r="AA1057" s="118" t="s">
        <v>3379</v>
      </c>
      <c r="AB1057" s="72" t="s">
        <v>1169</v>
      </c>
      <c r="AC1057" s="336"/>
    </row>
    <row r="1058" spans="1:29" ht="60" customHeight="1">
      <c r="A1058" s="336">
        <v>1073</v>
      </c>
      <c r="B1058" s="349">
        <v>45289</v>
      </c>
      <c r="C1058" s="568">
        <v>0.53819444444444442</v>
      </c>
      <c r="D1058" s="63" t="s">
        <v>4307</v>
      </c>
      <c r="E1058" s="64" t="s">
        <v>4308</v>
      </c>
      <c r="F1058" s="336">
        <v>5</v>
      </c>
      <c r="G1058" s="336" t="s">
        <v>2815</v>
      </c>
      <c r="H1058" s="383">
        <v>45272</v>
      </c>
      <c r="I1058" s="65" t="s">
        <v>75</v>
      </c>
      <c r="J1058" s="349" t="s">
        <v>1216</v>
      </c>
      <c r="K1058" s="63" t="s">
        <v>1982</v>
      </c>
      <c r="L1058" s="63" t="s">
        <v>798</v>
      </c>
      <c r="M1058" s="63" t="s">
        <v>1956</v>
      </c>
      <c r="N1058" s="63" t="s">
        <v>897</v>
      </c>
      <c r="O1058" s="78" t="str">
        <f ca="1">IF(H1058&lt;&gt;"",IF(H1058&lt;=TODAY(),"SI","NO"),"LIMBO")</f>
        <v>SI</v>
      </c>
      <c r="P1058" s="78" t="str">
        <f>IF($P$1=H1058,"DIASOL", "DIANOSOL")</f>
        <v>DIANOSOL</v>
      </c>
      <c r="Q1058" s="63" t="s">
        <v>897</v>
      </c>
      <c r="R1058" s="63" t="s">
        <v>900</v>
      </c>
      <c r="S1058" s="63" t="s">
        <v>1458</v>
      </c>
      <c r="T1058" s="81" t="str">
        <f>IF(G1058=$J$1,"SI","NO")</f>
        <v>NO</v>
      </c>
      <c r="U1058" s="81"/>
      <c r="V1058" s="7" t="str">
        <f ca="1">IF(color_Celda(E1058)=12106214,"ROSA",IF(color_Celda(E1058)=65535,"AMARILLO",IF(color_Celda(E1058)=5296274,"VERDE",IF(color_Celda(E1058)=16777215,"BLANCO","NO SE"))))</f>
        <v>ROSA</v>
      </c>
      <c r="W1058" s="63" t="s">
        <v>1730</v>
      </c>
      <c r="X1058" s="63" t="s">
        <v>3155</v>
      </c>
      <c r="Y1058" s="336"/>
      <c r="Z1058" s="72" t="s">
        <v>3368</v>
      </c>
      <c r="AA1058" s="118" t="s">
        <v>1167</v>
      </c>
      <c r="AB1058" s="72" t="s">
        <v>1171</v>
      </c>
      <c r="AC1058" s="336"/>
    </row>
    <row r="1059" spans="1:29" ht="60" customHeight="1">
      <c r="A1059" s="336">
        <v>1106</v>
      </c>
      <c r="B1059" s="349">
        <v>45253</v>
      </c>
      <c r="C1059" s="568">
        <v>0.44791666666666669</v>
      </c>
      <c r="D1059" s="63" t="s">
        <v>4098</v>
      </c>
      <c r="E1059" s="64" t="s">
        <v>4422</v>
      </c>
      <c r="F1059" s="336">
        <v>4</v>
      </c>
      <c r="G1059" s="336" t="s">
        <v>29</v>
      </c>
      <c r="H1059" s="383">
        <v>45272</v>
      </c>
      <c r="I1059" s="65" t="s">
        <v>2011</v>
      </c>
      <c r="J1059" s="349" t="s">
        <v>33</v>
      </c>
      <c r="K1059" s="336">
        <f>IFERROR(VLOOKUP(J1059,Jueces!$A$1:$B$11,2,FALSE),"")</f>
        <v>4</v>
      </c>
      <c r="L1059" s="63" t="s">
        <v>802</v>
      </c>
      <c r="M1059" s="63" t="s">
        <v>4450</v>
      </c>
      <c r="N1059" s="63" t="s">
        <v>4582</v>
      </c>
      <c r="O1059" s="78" t="str">
        <f ca="1">IF(H1059&lt;&gt;"",IF(H1059&lt;=TODAY(),"SI","NO"),"LIMBO")</f>
        <v>SI</v>
      </c>
      <c r="P1059" s="78" t="str">
        <f>IF($P$1=H1059,"DIASOL", "DIANOSOL")</f>
        <v>DIANOSOL</v>
      </c>
      <c r="Q1059" s="63" t="s">
        <v>902</v>
      </c>
      <c r="R1059" s="63" t="s">
        <v>100</v>
      </c>
      <c r="S1059" s="63" t="s">
        <v>1708</v>
      </c>
      <c r="T1059" s="81" t="str">
        <f>IF(G1059=$J$1,"SI","NO")</f>
        <v>NO</v>
      </c>
      <c r="U1059" s="81"/>
      <c r="V1059" s="7" t="str">
        <f ca="1">IF(color_Celda(E1059)=12106214,"ROSA",IF(color_Celda(E1059)=65535,"AMARILLO",IF(color_Celda(E1059)=5296274,"VERDE",IF(color_Celda(E1059)=16777215,"BLANCO","NO SE"))))</f>
        <v>ROSA</v>
      </c>
      <c r="W1059" s="63" t="s">
        <v>4476</v>
      </c>
      <c r="X1059" s="63" t="s">
        <v>4583</v>
      </c>
      <c r="Y1059" s="336"/>
      <c r="Z1059" s="72" t="s">
        <v>770</v>
      </c>
      <c r="AA1059" s="118" t="s">
        <v>3378</v>
      </c>
      <c r="AB1059" s="72" t="s">
        <v>1173</v>
      </c>
      <c r="AC1059" s="336"/>
    </row>
    <row r="1060" spans="1:29" ht="60" customHeight="1">
      <c r="A1060" s="336">
        <v>1039</v>
      </c>
      <c r="B1060" s="349">
        <v>45252</v>
      </c>
      <c r="C1060" s="568">
        <v>0.36041666666666666</v>
      </c>
      <c r="D1060" s="63" t="s">
        <v>4142</v>
      </c>
      <c r="E1060" s="64" t="s">
        <v>4143</v>
      </c>
      <c r="F1060" s="336">
        <v>4</v>
      </c>
      <c r="G1060" s="336" t="s">
        <v>283</v>
      </c>
      <c r="H1060" s="383">
        <v>45273</v>
      </c>
      <c r="I1060" s="65" t="s">
        <v>73</v>
      </c>
      <c r="J1060" s="349" t="s">
        <v>1723</v>
      </c>
      <c r="K1060" s="63" t="s">
        <v>1916</v>
      </c>
      <c r="L1060" s="63" t="s">
        <v>806</v>
      </c>
      <c r="M1060" s="63" t="s">
        <v>1866</v>
      </c>
      <c r="N1060" s="63" t="s">
        <v>577</v>
      </c>
      <c r="O1060" s="78" t="str">
        <f ca="1">IF(H1060&lt;&gt;"",IF(H1060&lt;=TODAY(),"SI","NO"),"LIMBO")</f>
        <v>SI</v>
      </c>
      <c r="P1060" s="63" t="str">
        <f>IF($P$1=H1060,"DIASOL", "DIANOSOL")</f>
        <v>DIANOSOL</v>
      </c>
      <c r="Q1060" s="63" t="s">
        <v>151</v>
      </c>
      <c r="R1060" s="63" t="s">
        <v>151</v>
      </c>
      <c r="S1060" s="63" t="s">
        <v>1579</v>
      </c>
      <c r="T1060" s="81" t="str">
        <f>IF(G1060=$J$1,"SI","NO")</f>
        <v>NO</v>
      </c>
      <c r="U1060" s="81"/>
      <c r="V1060" s="7" t="str">
        <f ca="1">IF(color_Celda(E1060)=12106214,"ROSA",IF(color_Celda(E1060)=65535,"AMARILLO",IF(color_Celda(E1060)=5296274,"VERDE",IF(color_Celda(E1060)=16777215,"BLANCO","NO SE"))))</f>
        <v>ROSA</v>
      </c>
      <c r="W1060" s="63" t="s">
        <v>76</v>
      </c>
      <c r="X1060" s="63" t="s">
        <v>4691</v>
      </c>
      <c r="Y1060" s="336"/>
      <c r="Z1060" s="336" t="s">
        <v>770</v>
      </c>
      <c r="AA1060" s="118" t="s">
        <v>1165</v>
      </c>
      <c r="AB1060" s="63" t="s">
        <v>1169</v>
      </c>
      <c r="AC1060" s="336"/>
    </row>
    <row r="1061" spans="1:29" ht="60" customHeight="1">
      <c r="A1061" s="336">
        <v>1037</v>
      </c>
      <c r="B1061" s="349">
        <v>45253</v>
      </c>
      <c r="C1061" s="568">
        <v>0.4069444444444445</v>
      </c>
      <c r="D1061" s="63" t="s">
        <v>4198</v>
      </c>
      <c r="E1061" s="64" t="s">
        <v>4268</v>
      </c>
      <c r="F1061" s="336">
        <v>4</v>
      </c>
      <c r="G1061" s="336" t="s">
        <v>2752</v>
      </c>
      <c r="H1061" s="383">
        <v>45273</v>
      </c>
      <c r="I1061" s="65" t="s">
        <v>73</v>
      </c>
      <c r="J1061" s="349" t="s">
        <v>33</v>
      </c>
      <c r="K1061" s="336">
        <f>IFERROR(VLOOKUP(J1061,Jueces!$A$1:$B$11,2,FALSE),"")</f>
        <v>4</v>
      </c>
      <c r="L1061" s="63" t="s">
        <v>1693</v>
      </c>
      <c r="M1061" s="63" t="s">
        <v>4269</v>
      </c>
      <c r="N1061" s="63" t="s">
        <v>4686</v>
      </c>
      <c r="O1061" s="78" t="str">
        <f ca="1">IF(H1061&lt;&gt;"",IF(H1061&lt;=TODAY(),"SI","NO"),"LIMBO")</f>
        <v>SI</v>
      </c>
      <c r="P1061" s="78" t="str">
        <f>IF($P$1=H1061,"DIASOL", "DIANOSOL")</f>
        <v>DIANOSOL</v>
      </c>
      <c r="Q1061" s="63" t="s">
        <v>903</v>
      </c>
      <c r="R1061" s="63" t="str">
        <f>VLOOKUP($Q1061,Resultados!$A$1:$B$49,2,FALSE)</f>
        <v>Juicio Abreviado</v>
      </c>
      <c r="S1061" s="63" t="s">
        <v>1604</v>
      </c>
      <c r="T1061" s="81" t="str">
        <f>IF(G1061=$J$1,"SI","NO")</f>
        <v>NO</v>
      </c>
      <c r="U1061" s="81"/>
      <c r="V1061" s="7" t="str">
        <f ca="1">IF(color_Celda(E1061)=12106214,"ROSA",IF(color_Celda(E1061)=65535,"AMARILLO",IF(color_Celda(E1061)=5296274,"VERDE",IF(color_Celda(E1061)=16777215,"BLANCO","NO SE"))))</f>
        <v>ROSA</v>
      </c>
      <c r="W1061" s="63" t="s">
        <v>1062</v>
      </c>
      <c r="X1061" s="63" t="s">
        <v>4687</v>
      </c>
      <c r="Y1061" s="336"/>
      <c r="Z1061" s="336" t="s">
        <v>748</v>
      </c>
      <c r="AA1061" s="118" t="s">
        <v>3378</v>
      </c>
      <c r="AB1061" s="63" t="s">
        <v>1170</v>
      </c>
      <c r="AC1061" s="336"/>
    </row>
    <row r="1062" spans="1:29" ht="60" customHeight="1">
      <c r="A1062" s="336">
        <v>1040</v>
      </c>
      <c r="B1062" s="349">
        <v>45253</v>
      </c>
      <c r="C1062" s="568">
        <v>0.34861111111111115</v>
      </c>
      <c r="D1062" s="63" t="s">
        <v>4201</v>
      </c>
      <c r="E1062" s="64" t="s">
        <v>4214</v>
      </c>
      <c r="F1062" s="336">
        <v>4</v>
      </c>
      <c r="G1062" s="336" t="s">
        <v>568</v>
      </c>
      <c r="H1062" s="383">
        <v>45273</v>
      </c>
      <c r="I1062" s="65" t="s">
        <v>73</v>
      </c>
      <c r="J1062" s="349" t="s">
        <v>78</v>
      </c>
      <c r="K1062" s="336">
        <f>IFERROR(VLOOKUP(J1062,Jueces!$A$1:$B$11,2,FALSE),"")</f>
        <v>8</v>
      </c>
      <c r="L1062" s="63" t="s">
        <v>808</v>
      </c>
      <c r="M1062" s="63" t="s">
        <v>1956</v>
      </c>
      <c r="N1062" s="63" t="s">
        <v>4695</v>
      </c>
      <c r="O1062" s="78" t="str">
        <f ca="1">IF(H1062&lt;&gt;"",IF(H1062&lt;=TODAY(),"SI","NO"),"LIMBO")</f>
        <v>SI</v>
      </c>
      <c r="P1062" s="63" t="str">
        <f>IF($P$1=H1062,"DIASOL", "DIANOSOL")</f>
        <v>DIANOSOL</v>
      </c>
      <c r="Q1062" s="63" t="s">
        <v>897</v>
      </c>
      <c r="R1062" s="63" t="str">
        <f>VLOOKUP($Q1062,Resultados!$A$1:$B$49,2,FALSE)</f>
        <v>Libertad</v>
      </c>
      <c r="S1062" s="63" t="s">
        <v>1604</v>
      </c>
      <c r="T1062" s="81" t="str">
        <f>IF(G1062=$J$1,"SI","NO")</f>
        <v>NO</v>
      </c>
      <c r="U1062" s="81"/>
      <c r="V1062" s="7" t="str">
        <f ca="1">IF(color_Celda(E1062)=12106214,"ROSA",IF(color_Celda(E1062)=65535,"AMARILLO",IF(color_Celda(E1062)=5296274,"VERDE",IF(color_Celda(E1062)=16777215,"BLANCO","NO SE"))))</f>
        <v>ROSA</v>
      </c>
      <c r="W1062" s="63" t="s">
        <v>75</v>
      </c>
      <c r="X1062" s="63" t="s">
        <v>4644</v>
      </c>
      <c r="Y1062" s="336"/>
      <c r="Z1062" s="336" t="s">
        <v>3368</v>
      </c>
      <c r="AA1062" s="118" t="s">
        <v>3379</v>
      </c>
      <c r="AB1062" s="63" t="s">
        <v>3258</v>
      </c>
      <c r="AC1062" s="336"/>
    </row>
    <row r="1063" spans="1:29" ht="60" customHeight="1">
      <c r="A1063" s="336">
        <v>1056</v>
      </c>
      <c r="B1063" s="349">
        <v>45254</v>
      </c>
      <c r="C1063" s="63" t="s">
        <v>1906</v>
      </c>
      <c r="D1063" s="63" t="s">
        <v>4260</v>
      </c>
      <c r="E1063" s="64" t="s">
        <v>4261</v>
      </c>
      <c r="F1063" s="336">
        <v>5</v>
      </c>
      <c r="G1063" s="336" t="s">
        <v>3323</v>
      </c>
      <c r="H1063" s="383">
        <v>45273</v>
      </c>
      <c r="I1063" s="65" t="s">
        <v>73</v>
      </c>
      <c r="J1063" s="349" t="s">
        <v>1217</v>
      </c>
      <c r="K1063" s="336">
        <f>IFERROR(VLOOKUP(J1063,Jueces!$A$1:$B$11,2,FALSE),"")</f>
        <v>7</v>
      </c>
      <c r="L1063" s="63" t="s">
        <v>790</v>
      </c>
      <c r="M1063" s="63" t="s">
        <v>2107</v>
      </c>
      <c r="N1063" s="63" t="s">
        <v>4688</v>
      </c>
      <c r="O1063" s="78" t="str">
        <f ca="1">IF(H1063&lt;&gt;"",IF(H1063&lt;=TODAY(),"SI","NO"),"LIMBO")</f>
        <v>SI</v>
      </c>
      <c r="P1063" s="63" t="str">
        <f>IF($P$1=H1063,"DIASOL", "DIANOSOL")</f>
        <v>DIANOSOL</v>
      </c>
      <c r="Q1063" s="63" t="s">
        <v>902</v>
      </c>
      <c r="R1063" s="63" t="str">
        <f>VLOOKUP($Q1063,Resultados!$A$1:$B$49,2,FALSE)</f>
        <v>Juicio Abreviado</v>
      </c>
      <c r="S1063" s="63" t="s">
        <v>686</v>
      </c>
      <c r="T1063" s="81" t="str">
        <f>IF(G1063=$J$1,"SI","NO")</f>
        <v>NO</v>
      </c>
      <c r="U1063" s="81"/>
      <c r="V1063" s="7" t="str">
        <f ca="1">IF(color_Celda(E1063)=12106214,"ROSA",IF(color_Celda(E1063)=65535,"AMARILLO",IF(color_Celda(E1063)=5296274,"VERDE",IF(color_Celda(E1063)=16777215,"BLANCO","NO SE"))))</f>
        <v>ROSA</v>
      </c>
      <c r="W1063" s="63" t="s">
        <v>1287</v>
      </c>
      <c r="X1063" s="63" t="s">
        <v>4689</v>
      </c>
      <c r="Y1063" s="336"/>
      <c r="Z1063" s="336" t="s">
        <v>4585</v>
      </c>
      <c r="AA1063" s="118" t="s">
        <v>2869</v>
      </c>
      <c r="AB1063" s="63" t="s">
        <v>1169</v>
      </c>
      <c r="AC1063" s="336"/>
    </row>
    <row r="1064" spans="1:29" ht="60" customHeight="1">
      <c r="A1064" s="336">
        <v>1043</v>
      </c>
      <c r="B1064" s="349">
        <v>45271</v>
      </c>
      <c r="C1064" s="70">
        <v>0.33333333333333331</v>
      </c>
      <c r="D1064" s="375" t="s">
        <v>3112</v>
      </c>
      <c r="E1064" s="355" t="s">
        <v>3175</v>
      </c>
      <c r="F1064" s="336">
        <v>1</v>
      </c>
      <c r="G1064" s="336" t="s">
        <v>2766</v>
      </c>
      <c r="H1064" s="383">
        <v>45273</v>
      </c>
      <c r="I1064" s="65" t="s">
        <v>73</v>
      </c>
      <c r="J1064" s="349" t="s">
        <v>1216</v>
      </c>
      <c r="K1064" s="336">
        <f>IFERROR(VLOOKUP(J1064,Jueces!$A$1:$B$11,2,FALSE),"")</f>
        <v>1</v>
      </c>
      <c r="L1064" s="63" t="s">
        <v>1176</v>
      </c>
      <c r="M1064" s="63" t="s">
        <v>1175</v>
      </c>
      <c r="N1064" s="63" t="s">
        <v>4692</v>
      </c>
      <c r="O1064" s="78" t="str">
        <f ca="1">IF(H1064&lt;&gt;"",IF(H1064&lt;=TODAY(),"SI","NO"),"LIMBO")</f>
        <v>SI</v>
      </c>
      <c r="P1064" s="78" t="str">
        <f>IF($P$1=H1064,"DIASOL", "DIANOSOL")</f>
        <v>DIANOSOL</v>
      </c>
      <c r="Q1064" s="63" t="s">
        <v>902</v>
      </c>
      <c r="R1064" s="63" t="str">
        <f>VLOOKUP($Q1064,Resultados!$A$1:$B$49,2,FALSE)</f>
        <v>Juicio Abreviado</v>
      </c>
      <c r="S1064" s="63" t="s">
        <v>1387</v>
      </c>
      <c r="T1064" s="81" t="str">
        <f>IF(G1064=$J$1,"SI","NO")</f>
        <v>NO</v>
      </c>
      <c r="U1064" s="81"/>
      <c r="V1064" s="7" t="str">
        <f ca="1">IF(color_Celda(E1064)=12106214,"ROSA",IF(color_Celda(E1064)=65535,"AMARILLO",IF(color_Celda(E1064)=5296274,"VERDE",IF(color_Celda(E1064)=16777215,"BLANCO","NO SE"))))</f>
        <v>ROSA</v>
      </c>
      <c r="W1064" s="63" t="s">
        <v>1737</v>
      </c>
      <c r="X1064" s="63" t="s">
        <v>4693</v>
      </c>
      <c r="Y1064" s="336"/>
      <c r="Z1064" s="336" t="s">
        <v>1038</v>
      </c>
      <c r="AA1064" s="118" t="s">
        <v>3378</v>
      </c>
      <c r="AB1064" s="63" t="s">
        <v>1171</v>
      </c>
      <c r="AC1064" s="336" t="s">
        <v>1792</v>
      </c>
    </row>
    <row r="1065" spans="1:29" ht="60" customHeight="1">
      <c r="A1065" s="336">
        <v>1047</v>
      </c>
      <c r="B1065" s="349">
        <v>45271</v>
      </c>
      <c r="C1065" s="70">
        <v>0.33333333333333331</v>
      </c>
      <c r="D1065" s="63" t="s">
        <v>4210</v>
      </c>
      <c r="E1065" s="64" t="s">
        <v>4211</v>
      </c>
      <c r="F1065" s="336">
        <v>3</v>
      </c>
      <c r="G1065" s="336" t="s">
        <v>1435</v>
      </c>
      <c r="H1065" s="383">
        <v>45273</v>
      </c>
      <c r="I1065" s="65" t="s">
        <v>73</v>
      </c>
      <c r="J1065" s="349" t="s">
        <v>31</v>
      </c>
      <c r="K1065" s="336">
        <f>IFERROR(VLOOKUP(J1065,Jueces!$A$1:$B$11,2,FALSE),"")</f>
        <v>2</v>
      </c>
      <c r="L1065" s="63" t="s">
        <v>688</v>
      </c>
      <c r="M1065" s="389" t="s">
        <v>2067</v>
      </c>
      <c r="N1065" s="63" t="s">
        <v>4690</v>
      </c>
      <c r="O1065" s="78" t="str">
        <f ca="1">IF(H1065&lt;&gt;"",IF(H1065&lt;=TODAY(),"SI","NO"),"LIMBO")</f>
        <v>SI</v>
      </c>
      <c r="P1065" s="63" t="str">
        <f>IF($P$1=H1065,"DIASOL", "DIANOSOL")</f>
        <v>DIANOSOL</v>
      </c>
      <c r="Q1065" s="63" t="s">
        <v>911</v>
      </c>
      <c r="R1065" s="63" t="str">
        <f>VLOOKUP($Q1065,Resultados!$A$1:$B$49,2,FALSE)</f>
        <v>Prision domiciliaria</v>
      </c>
      <c r="S1065" s="63" t="s">
        <v>759</v>
      </c>
      <c r="T1065" s="81" t="str">
        <f>IF(G1065=$J$1,"SI","NO")</f>
        <v>SI</v>
      </c>
      <c r="U1065" s="81"/>
      <c r="V1065" s="7" t="str">
        <f ca="1">IF(color_Celda(E1065)=12106214,"ROSA",IF(color_Celda(E1065)=65535,"AMARILLO",IF(color_Celda(E1065)=5296274,"VERDE",IF(color_Celda(E1065)=16777215,"BLANCO","NO SE"))))</f>
        <v>ROSA</v>
      </c>
      <c r="W1065" s="63" t="s">
        <v>1601</v>
      </c>
      <c r="X1065" s="336"/>
      <c r="Y1065" s="336"/>
      <c r="Z1065" s="336" t="s">
        <v>4584</v>
      </c>
      <c r="AA1065" s="118" t="s">
        <v>1167</v>
      </c>
      <c r="AB1065" s="63" t="s">
        <v>1173</v>
      </c>
      <c r="AC1065" s="336"/>
    </row>
    <row r="1066" spans="1:29" ht="60" customHeight="1">
      <c r="A1066" s="336">
        <v>1051</v>
      </c>
      <c r="B1066" s="349">
        <v>45271</v>
      </c>
      <c r="C1066" s="568">
        <v>0.52152777777777781</v>
      </c>
      <c r="D1066" s="63" t="s">
        <v>4215</v>
      </c>
      <c r="E1066" s="64" t="s">
        <v>4216</v>
      </c>
      <c r="F1066" s="336">
        <v>4</v>
      </c>
      <c r="G1066" s="336" t="s">
        <v>1434</v>
      </c>
      <c r="H1066" s="383">
        <v>45273</v>
      </c>
      <c r="I1066" s="349" t="s">
        <v>73</v>
      </c>
      <c r="J1066" s="349" t="s">
        <v>2925</v>
      </c>
      <c r="K1066" s="336" t="s">
        <v>1321</v>
      </c>
      <c r="L1066" s="63" t="s">
        <v>569</v>
      </c>
      <c r="M1066" s="335" t="s">
        <v>4116</v>
      </c>
      <c r="N1066" s="63" t="s">
        <v>4696</v>
      </c>
      <c r="O1066" s="78" t="str">
        <f ca="1">IF(H1066&lt;&gt;"",IF(H1066&lt;=TODAY(),"SI","NO"),"LIMBO")</f>
        <v>SI</v>
      </c>
      <c r="P1066" s="78" t="str">
        <f>IF($P$1=H1066,"DIASOL", "DIANOSOL")</f>
        <v>DIANOSOL</v>
      </c>
      <c r="Q1066" s="63" t="s">
        <v>1010</v>
      </c>
      <c r="R1066" s="63" t="str">
        <f>VLOOKUP($Q1066,Resultados!$A$1:$B$49,2,FALSE)</f>
        <v>Suspendida</v>
      </c>
      <c r="S1066" s="63"/>
      <c r="T1066" s="81" t="str">
        <f>IF(G1066=$J$1,"SI","NO")</f>
        <v>NO</v>
      </c>
      <c r="U1066" s="81"/>
      <c r="V1066" s="7" t="str">
        <f ca="1">IF(color_Celda(E1066)=12106214,"ROSA",IF(color_Celda(E1066)=65535,"AMARILLO",IF(color_Celda(E1066)=5296274,"VERDE",IF(color_Celda(E1066)=16777215,"BLANCO","NO SE"))))</f>
        <v>ROSA</v>
      </c>
      <c r="W1066" s="336"/>
      <c r="X1066" s="336"/>
      <c r="Y1066" s="336"/>
      <c r="Z1066" s="336" t="s">
        <v>1039</v>
      </c>
      <c r="AA1066" s="336"/>
      <c r="AB1066" s="63" t="s">
        <v>1170</v>
      </c>
      <c r="AC1066" s="336"/>
    </row>
    <row r="1067" spans="1:29" ht="60" customHeight="1">
      <c r="A1067" s="336">
        <v>1014</v>
      </c>
      <c r="B1067" s="349">
        <v>45251</v>
      </c>
      <c r="C1067" s="568">
        <v>0.33333333333333331</v>
      </c>
      <c r="D1067" s="63" t="s">
        <v>4104</v>
      </c>
      <c r="E1067" s="64" t="s">
        <v>4105</v>
      </c>
      <c r="F1067" s="336">
        <v>2</v>
      </c>
      <c r="G1067" s="336" t="s">
        <v>3324</v>
      </c>
      <c r="H1067" s="383">
        <v>45273</v>
      </c>
      <c r="I1067" s="65" t="s">
        <v>1083</v>
      </c>
      <c r="J1067" s="349" t="s">
        <v>78</v>
      </c>
      <c r="K1067" s="336">
        <f>IFERROR(VLOOKUP(J1067,Jueces!$A$1:$B$11,2,FALSE),"")</f>
        <v>8</v>
      </c>
      <c r="L1067" s="63" t="s">
        <v>810</v>
      </c>
      <c r="M1067" s="63" t="s">
        <v>1866</v>
      </c>
      <c r="N1067" s="63" t="s">
        <v>2550</v>
      </c>
      <c r="O1067" s="78" t="str">
        <f ca="1">IF(H1067&lt;&gt;"",IF(H1067&lt;=TODAY(),"SI","NO"),"LIMBO")</f>
        <v>SI</v>
      </c>
      <c r="P1067" s="63" t="str">
        <f>IF($P$1=H1067,"DIASOL", "DIANOSOL")</f>
        <v>DIANOSOL</v>
      </c>
      <c r="Q1067" s="63" t="s">
        <v>897</v>
      </c>
      <c r="R1067" s="63" t="str">
        <f>VLOOKUP($Q1067,Resultados!$A$1:$B$49,2,FALSE)</f>
        <v>Libertad</v>
      </c>
      <c r="S1067" s="63" t="s">
        <v>3218</v>
      </c>
      <c r="T1067" s="81" t="str">
        <f>IF(G1067=$J$1,"SI","NO")</f>
        <v>NO</v>
      </c>
      <c r="U1067" s="81"/>
      <c r="V1067" s="7" t="str">
        <f ca="1">IF(color_Celda(E1067)=12106214,"ROSA",IF(color_Celda(E1067)=65535,"AMARILLO",IF(color_Celda(E1067)=5296274,"VERDE",IF(color_Celda(E1067)=16777215,"BLANCO","NO SE"))))</f>
        <v>ROSA</v>
      </c>
      <c r="W1067" s="63" t="s">
        <v>1530</v>
      </c>
      <c r="X1067" s="63" t="s">
        <v>4691</v>
      </c>
      <c r="Y1067" s="336"/>
      <c r="Z1067" s="336" t="s">
        <v>3368</v>
      </c>
      <c r="AA1067" s="118" t="s">
        <v>2828</v>
      </c>
      <c r="AB1067" s="63" t="s">
        <v>3258</v>
      </c>
      <c r="AC1067" s="336"/>
    </row>
    <row r="1068" spans="1:29" ht="60" customHeight="1">
      <c r="A1068" s="336">
        <v>1092</v>
      </c>
      <c r="B1068" s="349">
        <v>45261</v>
      </c>
      <c r="C1068" s="568">
        <v>0.4777777777777778</v>
      </c>
      <c r="D1068" s="63" t="s">
        <v>4371</v>
      </c>
      <c r="E1068" s="64" t="s">
        <v>4372</v>
      </c>
      <c r="F1068" s="336">
        <v>5</v>
      </c>
      <c r="G1068" s="336" t="s">
        <v>3791</v>
      </c>
      <c r="H1068" s="383">
        <v>45273</v>
      </c>
      <c r="I1068" s="65" t="s">
        <v>1083</v>
      </c>
      <c r="J1068" s="349" t="s">
        <v>33</v>
      </c>
      <c r="K1068" s="336">
        <f>IFERROR(VLOOKUP(J1068,Jueces!$A$1:$B$11,2,FALSE),"")</f>
        <v>4</v>
      </c>
      <c r="L1068" s="63" t="s">
        <v>1825</v>
      </c>
      <c r="M1068" s="63" t="s">
        <v>2107</v>
      </c>
      <c r="N1068" s="63" t="s">
        <v>4694</v>
      </c>
      <c r="O1068" s="78" t="str">
        <f ca="1">IF(H1068&lt;&gt;"",IF(H1068&lt;=TODAY(),"SI","NO"),"LIMBO")</f>
        <v>SI</v>
      </c>
      <c r="P1068" s="78" t="str">
        <f>IF($P$1=H1068,"DIASOL", "DIANOSOL")</f>
        <v>DIANOSOL</v>
      </c>
      <c r="Q1068" s="63" t="s">
        <v>911</v>
      </c>
      <c r="R1068" s="63" t="s">
        <v>911</v>
      </c>
      <c r="S1068" s="63" t="s">
        <v>2366</v>
      </c>
      <c r="T1068" s="81" t="str">
        <f>IF(G1068=$J$1,"SI","NO")</f>
        <v>NO</v>
      </c>
      <c r="U1068" s="81"/>
      <c r="V1068" s="7" t="str">
        <f ca="1">IF(color_Celda(E1068)=12106214,"ROSA",IF(color_Celda(E1068)=65535,"AMARILLO",IF(color_Celda(E1068)=5296274,"VERDE",IF(color_Celda(E1068)=16777215,"BLANCO","NO SE"))))</f>
        <v>ROSA</v>
      </c>
      <c r="W1068" s="63" t="s">
        <v>1798</v>
      </c>
      <c r="X1068" s="63" t="s">
        <v>4673</v>
      </c>
      <c r="Y1068" s="336"/>
      <c r="Z1068" s="336" t="s">
        <v>748</v>
      </c>
      <c r="AA1068" s="118" t="s">
        <v>2869</v>
      </c>
      <c r="AB1068" s="63" t="s">
        <v>1173</v>
      </c>
      <c r="AC1068" s="336"/>
    </row>
    <row r="1069" spans="1:29" ht="60" customHeight="1">
      <c r="A1069" s="336">
        <v>1076</v>
      </c>
      <c r="B1069" s="349">
        <v>45271</v>
      </c>
      <c r="C1069" s="568">
        <v>0.33333333333333331</v>
      </c>
      <c r="D1069" s="63" t="s">
        <v>4312</v>
      </c>
      <c r="E1069" s="64" t="s">
        <v>4313</v>
      </c>
      <c r="F1069" s="336">
        <v>5</v>
      </c>
      <c r="G1069" s="336" t="s">
        <v>29</v>
      </c>
      <c r="H1069" s="383">
        <v>45273</v>
      </c>
      <c r="I1069" s="65" t="s">
        <v>1083</v>
      </c>
      <c r="J1069" s="349" t="s">
        <v>35</v>
      </c>
      <c r="K1069" s="336">
        <v>3</v>
      </c>
      <c r="L1069" s="63" t="s">
        <v>812</v>
      </c>
      <c r="M1069" s="7" t="s">
        <v>1956</v>
      </c>
      <c r="N1069" s="63" t="s">
        <v>4697</v>
      </c>
      <c r="O1069" s="78" t="str">
        <f ca="1">IF(H1069&lt;&gt;"",IF(H1069&lt;=TODAY(),"SI","NO"),"LIMBO")</f>
        <v>SI</v>
      </c>
      <c r="P1069" s="63" t="str">
        <f>IF($P$1=H1069,"DIASOL", "DIANOSOL")</f>
        <v>DIANOSOL</v>
      </c>
      <c r="Q1069" s="63" t="s">
        <v>1010</v>
      </c>
      <c r="R1069" s="63" t="s">
        <v>947</v>
      </c>
      <c r="S1069" s="63"/>
      <c r="T1069" s="81" t="str">
        <f>IF(G1069=$J$1,"SI","NO")</f>
        <v>NO</v>
      </c>
      <c r="U1069" s="81"/>
      <c r="V1069" s="7" t="str">
        <f ca="1">IF(color_Celda(E1069)=12106214,"ROSA",IF(color_Celda(E1069)=65535,"AMARILLO",IF(color_Celda(E1069)=5296274,"VERDE",IF(color_Celda(E1069)=16777215,"BLANCO","NO SE"))))</f>
        <v>ROSA</v>
      </c>
      <c r="W1069" s="63"/>
      <c r="X1069" s="336"/>
      <c r="Y1069" s="336"/>
      <c r="Z1069" s="336" t="s">
        <v>1039</v>
      </c>
      <c r="AA1069" s="118" t="s">
        <v>1167</v>
      </c>
      <c r="AB1069" s="63" t="s">
        <v>1171</v>
      </c>
      <c r="AC1069" s="336"/>
    </row>
    <row r="1070" spans="1:29" ht="60" customHeight="1">
      <c r="A1070" s="336">
        <v>1028</v>
      </c>
      <c r="B1070" s="349">
        <v>45252</v>
      </c>
      <c r="C1070" s="568">
        <v>0.53749999999999998</v>
      </c>
      <c r="D1070" s="63" t="s">
        <v>4191</v>
      </c>
      <c r="E1070" s="64" t="s">
        <v>4271</v>
      </c>
      <c r="F1070" s="336">
        <v>4</v>
      </c>
      <c r="G1070" s="336" t="s">
        <v>1433</v>
      </c>
      <c r="H1070" s="383">
        <v>45273</v>
      </c>
      <c r="I1070" s="65" t="s">
        <v>1206</v>
      </c>
      <c r="J1070" s="349" t="s">
        <v>31</v>
      </c>
      <c r="K1070" s="63" t="s">
        <v>1982</v>
      </c>
      <c r="L1070" s="63" t="s">
        <v>807</v>
      </c>
      <c r="M1070" s="63" t="s">
        <v>1956</v>
      </c>
      <c r="N1070" s="63" t="s">
        <v>4698</v>
      </c>
      <c r="O1070" s="78" t="str">
        <f ca="1">IF(H1070&lt;&gt;"",IF(H1070&lt;=TODAY(),"SI","NO"),"LIMBO")</f>
        <v>SI</v>
      </c>
      <c r="P1070" s="78" t="str">
        <f>IF($P$1=H1070,"DIASOL", "DIANOSOL")</f>
        <v>DIANOSOL</v>
      </c>
      <c r="Q1070" s="63" t="s">
        <v>902</v>
      </c>
      <c r="R1070" s="63" t="s">
        <v>100</v>
      </c>
      <c r="S1070" s="63" t="s">
        <v>1528</v>
      </c>
      <c r="T1070" s="81" t="str">
        <f>IF(G1070=$J$1,"SI","NO")</f>
        <v>NO</v>
      </c>
      <c r="U1070" s="81"/>
      <c r="V1070" s="7" t="str">
        <f ca="1">IF(color_Celda(E1070)=12106214,"ROSA",IF(color_Celda(E1070)=65535,"AMARILLO",IF(color_Celda(E1070)=5296274,"VERDE",IF(color_Celda(E1070)=16777215,"BLANCO","NO SE"))))</f>
        <v>ROSA</v>
      </c>
      <c r="W1070" s="63" t="s">
        <v>75</v>
      </c>
      <c r="X1070" s="63" t="s">
        <v>4691</v>
      </c>
      <c r="Y1070" s="336"/>
      <c r="Z1070" s="336" t="s">
        <v>770</v>
      </c>
      <c r="AA1070" s="118" t="s">
        <v>4301</v>
      </c>
      <c r="AB1070" s="63" t="s">
        <v>1170</v>
      </c>
      <c r="AC1070" s="336"/>
    </row>
    <row r="1071" spans="1:29" ht="60" customHeight="1">
      <c r="A1071" s="336">
        <v>1016</v>
      </c>
      <c r="B1071" s="349">
        <v>45251</v>
      </c>
      <c r="C1071" s="568">
        <v>0.35486111111111113</v>
      </c>
      <c r="D1071" s="63" t="s">
        <v>4108</v>
      </c>
      <c r="E1071" s="64" t="s">
        <v>4270</v>
      </c>
      <c r="F1071" s="336">
        <v>4</v>
      </c>
      <c r="G1071" s="336" t="s">
        <v>1434</v>
      </c>
      <c r="H1071" s="383">
        <v>45274</v>
      </c>
      <c r="I1071" s="65" t="s">
        <v>73</v>
      </c>
      <c r="J1071" s="349" t="s">
        <v>35</v>
      </c>
      <c r="K1071" s="336">
        <f>IFERROR(VLOOKUP(J1071,Jueces!$A$1:$B$11,2,FALSE),"")</f>
        <v>3</v>
      </c>
      <c r="L1071" s="63" t="s">
        <v>809</v>
      </c>
      <c r="M1071" s="63" t="s">
        <v>1956</v>
      </c>
      <c r="N1071" s="336" t="s">
        <v>4645</v>
      </c>
      <c r="O1071" s="78" t="str">
        <f ca="1">IF(H1071&lt;&gt;"",IF(H1071&lt;=TODAY(),"SI","NO"),"LIMBO")</f>
        <v>SI</v>
      </c>
      <c r="P1071" s="63" t="str">
        <f>IF($P$1=H1071,"DIASOL", "DIANOSOL")</f>
        <v>DIANOSOL</v>
      </c>
      <c r="Q1071" s="63" t="s">
        <v>151</v>
      </c>
      <c r="R1071" s="63" t="s">
        <v>151</v>
      </c>
      <c r="S1071" s="63" t="s">
        <v>1234</v>
      </c>
      <c r="T1071" s="81" t="str">
        <f>IF(G1071=$J$1,"SI","NO")</f>
        <v>NO</v>
      </c>
      <c r="U1071" s="81"/>
      <c r="V1071" s="7" t="str">
        <f ca="1">IF(color_Celda(E1071)=12106214,"ROSA",IF(color_Celda(E1071)=65535,"AMARILLO",IF(color_Celda(E1071)=5296274,"VERDE",IF(color_Celda(E1071)=16777215,"BLANCO","NO SE"))))</f>
        <v>ROSA</v>
      </c>
      <c r="W1071" s="336" t="s">
        <v>3514</v>
      </c>
      <c r="X1071" s="336" t="s">
        <v>4646</v>
      </c>
      <c r="Y1071" s="336"/>
      <c r="Z1071" s="63" t="s">
        <v>1038</v>
      </c>
      <c r="AA1071" s="118" t="s">
        <v>2828</v>
      </c>
      <c r="AB1071" s="63" t="s">
        <v>3258</v>
      </c>
      <c r="AC1071" s="336"/>
    </row>
    <row r="1072" spans="1:29" ht="60" customHeight="1">
      <c r="A1072" s="336">
        <v>1062</v>
      </c>
      <c r="B1072" s="349">
        <v>45254</v>
      </c>
      <c r="C1072" s="568">
        <v>0.51666666666666672</v>
      </c>
      <c r="D1072" s="63" t="s">
        <v>4286</v>
      </c>
      <c r="E1072" s="355" t="s">
        <v>4285</v>
      </c>
      <c r="F1072" s="336">
        <v>4</v>
      </c>
      <c r="G1072" s="336" t="s">
        <v>1435</v>
      </c>
      <c r="H1072" s="383">
        <v>45274</v>
      </c>
      <c r="I1072" s="65" t="s">
        <v>73</v>
      </c>
      <c r="J1072" s="349" t="s">
        <v>33</v>
      </c>
      <c r="K1072" s="336">
        <f>IFERROR(VLOOKUP(J1072,Jueces!$A$1:$B$11,2,FALSE),"")</f>
        <v>4</v>
      </c>
      <c r="L1072" s="63" t="s">
        <v>4044</v>
      </c>
      <c r="M1072" s="63" t="s">
        <v>1866</v>
      </c>
      <c r="N1072" s="336" t="s">
        <v>2550</v>
      </c>
      <c r="O1072" s="78" t="str">
        <f ca="1">IF(H1072&lt;&gt;"",IF(H1072&lt;=TODAY(),"SI","NO"),"LIMBO")</f>
        <v>SI</v>
      </c>
      <c r="P1072" s="63" t="str">
        <f>IF($P$1=H1072,"DIASOL", "DIANOSOL")</f>
        <v>DIANOSOL</v>
      </c>
      <c r="Q1072" s="63" t="s">
        <v>897</v>
      </c>
      <c r="R1072" s="63" t="str">
        <f>VLOOKUP($Q1072,Resultados!$A$1:$B$49,2,FALSE)</f>
        <v>Libertad</v>
      </c>
      <c r="S1072" s="63" t="s">
        <v>2688</v>
      </c>
      <c r="T1072" s="81" t="str">
        <f>IF(G1072=$J$1,"SI","NO")</f>
        <v>SI</v>
      </c>
      <c r="U1072" s="81"/>
      <c r="V1072" s="7" t="str">
        <f ca="1">IF(color_Celda(E1072)=12106214,"ROSA",IF(color_Celda(E1072)=65535,"AMARILLO",IF(color_Celda(E1072)=5296274,"VERDE",IF(color_Celda(E1072)=16777215,"BLANCO","NO SE"))))</f>
        <v>ROSA</v>
      </c>
      <c r="W1072" s="336" t="s">
        <v>1081</v>
      </c>
      <c r="X1072" s="336" t="s">
        <v>3155</v>
      </c>
      <c r="Y1072" s="336"/>
      <c r="Z1072" s="63" t="s">
        <v>748</v>
      </c>
      <c r="AA1072" s="118" t="s">
        <v>1167</v>
      </c>
      <c r="AB1072" s="63" t="s">
        <v>1171</v>
      </c>
      <c r="AC1072" s="336"/>
    </row>
    <row r="1073" spans="1:29" ht="60" customHeight="1">
      <c r="A1073" s="336">
        <v>1068</v>
      </c>
      <c r="B1073" s="349">
        <v>45258</v>
      </c>
      <c r="C1073" s="568">
        <v>0.33333333333333331</v>
      </c>
      <c r="D1073" s="63" t="s">
        <v>4296</v>
      </c>
      <c r="E1073" s="64" t="s">
        <v>4297</v>
      </c>
      <c r="F1073" s="336">
        <v>5</v>
      </c>
      <c r="G1073" s="336" t="s">
        <v>283</v>
      </c>
      <c r="H1073" s="383">
        <v>45274</v>
      </c>
      <c r="I1073" s="65" t="s">
        <v>73</v>
      </c>
      <c r="J1073" s="349" t="s">
        <v>1723</v>
      </c>
      <c r="K1073" s="63" t="s">
        <v>1982</v>
      </c>
      <c r="L1073" s="63" t="s">
        <v>800</v>
      </c>
      <c r="M1073" s="335" t="s">
        <v>2672</v>
      </c>
      <c r="N1073" s="336" t="s">
        <v>4643</v>
      </c>
      <c r="O1073" s="78" t="str">
        <f ca="1">IF(H1073&lt;&gt;"",IF(H1073&lt;=TODAY(),"SI","NO"),"LIMBO")</f>
        <v>SI</v>
      </c>
      <c r="P1073" s="63" t="str">
        <f>IF($P$1=H1073,"DIASOL", "DIANOSOL")</f>
        <v>DIANOSOL</v>
      </c>
      <c r="Q1073" s="63" t="s">
        <v>903</v>
      </c>
      <c r="R1073" s="63" t="s">
        <v>100</v>
      </c>
      <c r="S1073" s="63" t="s">
        <v>1570</v>
      </c>
      <c r="T1073" s="81" t="str">
        <f>IF(G1073=$J$1,"SI","NO")</f>
        <v>NO</v>
      </c>
      <c r="U1073" s="81"/>
      <c r="V1073" s="7" t="str">
        <f ca="1">IF(color_Celda(E1073)=12106214,"ROSA",IF(color_Celda(E1073)=65535,"AMARILLO",IF(color_Celda(E1073)=5296274,"VERDE",IF(color_Celda(E1073)=16777215,"BLANCO","NO SE"))))</f>
        <v>ROSA</v>
      </c>
      <c r="W1073" s="336" t="s">
        <v>1225</v>
      </c>
      <c r="X1073" s="336" t="s">
        <v>4644</v>
      </c>
      <c r="Y1073" s="336"/>
      <c r="Z1073" s="336" t="s">
        <v>770</v>
      </c>
      <c r="AA1073" s="118" t="s">
        <v>3378</v>
      </c>
      <c r="AB1073" s="63" t="s">
        <v>1170</v>
      </c>
      <c r="AC1073" s="336"/>
    </row>
    <row r="1074" spans="1:29" ht="60" customHeight="1">
      <c r="A1074" s="336">
        <v>1070</v>
      </c>
      <c r="B1074" s="349">
        <v>45258</v>
      </c>
      <c r="C1074" s="568">
        <v>0.33333333333333331</v>
      </c>
      <c r="D1074" s="63" t="s">
        <v>4299</v>
      </c>
      <c r="E1074" s="64" t="s">
        <v>4298</v>
      </c>
      <c r="F1074" s="336">
        <v>5</v>
      </c>
      <c r="G1074" s="336" t="s">
        <v>2815</v>
      </c>
      <c r="H1074" s="383">
        <v>45274</v>
      </c>
      <c r="I1074" s="65" t="s">
        <v>73</v>
      </c>
      <c r="J1074" s="349" t="s">
        <v>1217</v>
      </c>
      <c r="K1074" s="336">
        <f>IFERROR(VLOOKUP(J1074,Jueces!$A$1:$B$11,2,FALSE),"")</f>
        <v>7</v>
      </c>
      <c r="L1074" s="63" t="s">
        <v>805</v>
      </c>
      <c r="M1074" s="63" t="s">
        <v>2107</v>
      </c>
      <c r="N1074" s="336" t="s">
        <v>4635</v>
      </c>
      <c r="O1074" s="78" t="str">
        <f ca="1">IF(H1074&lt;&gt;"",IF(H1074&lt;=TODAY(),"SI","NO"),"LIMBO")</f>
        <v>SI</v>
      </c>
      <c r="P1074" s="63" t="str">
        <f>IF($P$1=H1074,"DIASOL", "DIANOSOL")</f>
        <v>DIANOSOL</v>
      </c>
      <c r="Q1074" s="63" t="s">
        <v>902</v>
      </c>
      <c r="R1074" s="63" t="str">
        <f>VLOOKUP($Q1074,Resultados!$A$1:$B$49,2,FALSE)</f>
        <v>Juicio Abreviado</v>
      </c>
      <c r="S1074" s="63" t="s">
        <v>1130</v>
      </c>
      <c r="T1074" s="81" t="str">
        <f>IF(G1074=$J$1,"SI","NO")</f>
        <v>NO</v>
      </c>
      <c r="U1074" s="81"/>
      <c r="V1074" s="7" t="str">
        <f ca="1">IF(color_Celda(E1074)=12106214,"ROSA",IF(color_Celda(E1074)=65535,"AMARILLO",IF(color_Celda(E1074)=5296274,"VERDE",IF(color_Celda(E1074)=16777215,"BLANCO","NO SE"))))</f>
        <v>ROSA</v>
      </c>
      <c r="W1074" s="336" t="s">
        <v>1558</v>
      </c>
      <c r="X1074" s="336" t="s">
        <v>2954</v>
      </c>
      <c r="Y1074" s="336"/>
      <c r="Z1074" s="63" t="s">
        <v>1039</v>
      </c>
      <c r="AA1074" s="118" t="s">
        <v>2869</v>
      </c>
      <c r="AB1074" s="63" t="s">
        <v>1169</v>
      </c>
      <c r="AC1074" s="336"/>
    </row>
    <row r="1075" spans="1:29" ht="60" customHeight="1">
      <c r="A1075" s="336">
        <v>1026</v>
      </c>
      <c r="B1075" s="349">
        <v>45271</v>
      </c>
      <c r="C1075" s="568">
        <v>0.43888888888888888</v>
      </c>
      <c r="D1075" s="63" t="s">
        <v>4188</v>
      </c>
      <c r="E1075" s="64" t="s">
        <v>4189</v>
      </c>
      <c r="F1075" s="336">
        <v>3</v>
      </c>
      <c r="G1075" s="336" t="s">
        <v>1435</v>
      </c>
      <c r="H1075" s="383">
        <v>45274</v>
      </c>
      <c r="I1075" s="65" t="s">
        <v>73</v>
      </c>
      <c r="J1075" s="349" t="s">
        <v>33</v>
      </c>
      <c r="K1075" s="336">
        <f>IFERROR(VLOOKUP(J1075,Jueces!$A$1:$B$11,2,FALSE),"")</f>
        <v>4</v>
      </c>
      <c r="L1075" s="63" t="s">
        <v>688</v>
      </c>
      <c r="M1075" s="335" t="s">
        <v>700</v>
      </c>
      <c r="N1075" s="387" t="s">
        <v>4636</v>
      </c>
      <c r="O1075" s="78" t="str">
        <f ca="1">IF(H1075&lt;&gt;"",IF(H1075&lt;=TODAY(),"SI","NO"),"LIMBO")</f>
        <v>SI</v>
      </c>
      <c r="P1075" s="63" t="str">
        <f>IF($P$1=H1075,"DIASOL", "DIANOSOL")</f>
        <v>DIANOSOL</v>
      </c>
      <c r="Q1075" s="63" t="s">
        <v>151</v>
      </c>
      <c r="R1075" s="63" t="s">
        <v>151</v>
      </c>
      <c r="S1075" s="63" t="s">
        <v>1641</v>
      </c>
      <c r="T1075" s="81" t="str">
        <f>IF(G1075=$J$1,"SI","NO")</f>
        <v>SI</v>
      </c>
      <c r="U1075" s="81"/>
      <c r="V1075" s="7" t="str">
        <f ca="1">IF(color_Celda(E1075)=12106214,"ROSA",IF(color_Celda(E1075)=65535,"AMARILLO",IF(color_Celda(E1075)=5296274,"VERDE",IF(color_Celda(E1075)=16777215,"BLANCO","NO SE"))))</f>
        <v>ROSA</v>
      </c>
      <c r="W1075" s="336" t="s">
        <v>1013</v>
      </c>
      <c r="X1075" s="336" t="s">
        <v>4637</v>
      </c>
      <c r="Y1075" s="336"/>
      <c r="Z1075" s="63" t="s">
        <v>748</v>
      </c>
      <c r="AA1075" s="118" t="s">
        <v>2828</v>
      </c>
      <c r="AB1075" s="72" t="s">
        <v>1169</v>
      </c>
      <c r="AC1075" s="336"/>
    </row>
    <row r="1076" spans="1:29" ht="60" customHeight="1">
      <c r="A1076" s="336">
        <v>1066</v>
      </c>
      <c r="B1076" s="349">
        <v>45272</v>
      </c>
      <c r="C1076" s="70">
        <v>0.33333333333333331</v>
      </c>
      <c r="D1076" s="336" t="s">
        <v>1552</v>
      </c>
      <c r="E1076" s="355" t="s">
        <v>4295</v>
      </c>
      <c r="F1076" s="336">
        <v>4</v>
      </c>
      <c r="G1076" s="336" t="s">
        <v>568</v>
      </c>
      <c r="H1076" s="383">
        <v>45274</v>
      </c>
      <c r="I1076" s="65" t="s">
        <v>73</v>
      </c>
      <c r="J1076" s="349" t="s">
        <v>2922</v>
      </c>
      <c r="K1076" s="336" t="str">
        <f>IFERROR(VLOOKUP(J1076,Jueces!$A$1:$B$11,2,FALSE),"")</f>
        <v/>
      </c>
      <c r="L1076" s="63" t="s">
        <v>508</v>
      </c>
      <c r="M1076" s="335" t="s">
        <v>783</v>
      </c>
      <c r="N1076" s="63" t="s">
        <v>4641</v>
      </c>
      <c r="O1076" s="78" t="str">
        <f ca="1">IF(H1076&lt;&gt;"",IF(H1076&lt;=TODAY(),"SI","NO"),"LIMBO")</f>
        <v>SI</v>
      </c>
      <c r="P1076" s="63" t="str">
        <f>IF($P$1=H1076,"DIASOL", "DIANOSOL")</f>
        <v>DIANOSOL</v>
      </c>
      <c r="Q1076" s="63" t="s">
        <v>903</v>
      </c>
      <c r="R1076" s="63" t="s">
        <v>100</v>
      </c>
      <c r="S1076" s="63" t="s">
        <v>1558</v>
      </c>
      <c r="T1076" s="81" t="str">
        <f>IF(G1076=$J$1,"SI","NO")</f>
        <v>NO</v>
      </c>
      <c r="U1076" s="81"/>
      <c r="V1076" s="7" t="str">
        <f ca="1">IF(color_Celda(E1076)=12106214,"ROSA",IF(color_Celda(E1076)=65535,"AMARILLO",IF(color_Celda(E1076)=5296274,"VERDE",IF(color_Celda(E1076)=16777215,"BLANCO","NO SE"))))</f>
        <v>ROSA</v>
      </c>
      <c r="W1076" s="336" t="s">
        <v>1248</v>
      </c>
      <c r="X1076" s="336" t="s">
        <v>4642</v>
      </c>
      <c r="Y1076" s="336"/>
      <c r="Z1076" s="63" t="s">
        <v>743</v>
      </c>
      <c r="AA1076" s="118" t="s">
        <v>1165</v>
      </c>
      <c r="AB1076" s="63" t="s">
        <v>1173</v>
      </c>
      <c r="AC1076" s="336"/>
    </row>
    <row r="1077" spans="1:29" ht="60" customHeight="1">
      <c r="A1077" s="336">
        <v>1074</v>
      </c>
      <c r="B1077" s="65">
        <v>45289</v>
      </c>
      <c r="C1077" s="568">
        <v>0.51666666666666672</v>
      </c>
      <c r="D1077" s="63" t="s">
        <v>4309</v>
      </c>
      <c r="E1077" s="64" t="s">
        <v>4310</v>
      </c>
      <c r="F1077" s="336">
        <v>5</v>
      </c>
      <c r="G1077" s="336" t="s">
        <v>29</v>
      </c>
      <c r="H1077" s="383">
        <v>45274</v>
      </c>
      <c r="I1077" s="65" t="s">
        <v>73</v>
      </c>
      <c r="J1077" s="349" t="s">
        <v>31</v>
      </c>
      <c r="K1077" s="336">
        <f>IFERROR(VLOOKUP(J1077,Jueces!$A$1:$B$11,2,FALSE),"")</f>
        <v>2</v>
      </c>
      <c r="L1077" s="63" t="s">
        <v>812</v>
      </c>
      <c r="M1077" s="63" t="s">
        <v>2201</v>
      </c>
      <c r="N1077" s="336" t="s">
        <v>4638</v>
      </c>
      <c r="O1077" s="78" t="str">
        <f ca="1">IF(H1077&lt;&gt;"",IF(H1077&lt;=TODAY(),"SI","NO"),"LIMBO")</f>
        <v>SI</v>
      </c>
      <c r="P1077" s="78" t="str">
        <f>IF($P$1=H1077,"DIASOL", "DIANOSOL")</f>
        <v>DIANOSOL</v>
      </c>
      <c r="Q1077" s="63" t="s">
        <v>151</v>
      </c>
      <c r="R1077" s="63" t="s">
        <v>151</v>
      </c>
      <c r="S1077" s="63" t="s">
        <v>1558</v>
      </c>
      <c r="T1077" s="81" t="str">
        <f>IF(G1077=$J$1,"SI","NO")</f>
        <v>NO</v>
      </c>
      <c r="U1077" s="81"/>
      <c r="V1077" s="7" t="str">
        <f ca="1">IF(color_Celda(E1077)=12106214,"ROSA",IF(color_Celda(E1077)=65535,"AMARILLO",IF(color_Celda(E1077)=5296274,"VERDE",IF(color_Celda(E1077)=16777215,"BLANCO","NO SE"))))</f>
        <v>ROSA</v>
      </c>
      <c r="W1077" s="336" t="s">
        <v>2688</v>
      </c>
      <c r="X1077" s="336" t="s">
        <v>4639</v>
      </c>
      <c r="Y1077" s="336"/>
      <c r="Z1077" s="63" t="s">
        <v>3368</v>
      </c>
      <c r="AA1077" s="118" t="s">
        <v>2828</v>
      </c>
      <c r="AB1077" s="63" t="s">
        <v>3258</v>
      </c>
      <c r="AC1077" s="336"/>
    </row>
    <row r="1078" spans="1:29" ht="60" customHeight="1">
      <c r="A1078" s="336">
        <v>1057</v>
      </c>
      <c r="B1078" s="349">
        <v>45257</v>
      </c>
      <c r="C1078" s="63" t="s">
        <v>4262</v>
      </c>
      <c r="D1078" s="63" t="s">
        <v>4263</v>
      </c>
      <c r="E1078" s="64" t="s">
        <v>4264</v>
      </c>
      <c r="F1078" s="336">
        <v>5</v>
      </c>
      <c r="G1078" s="336" t="s">
        <v>3324</v>
      </c>
      <c r="H1078" s="383">
        <v>45274</v>
      </c>
      <c r="I1078" s="65" t="s">
        <v>1083</v>
      </c>
      <c r="J1078" s="349" t="s">
        <v>2922</v>
      </c>
      <c r="K1078" s="63" t="s">
        <v>1982</v>
      </c>
      <c r="L1078" s="63" t="s">
        <v>810</v>
      </c>
      <c r="M1078" s="63" t="s">
        <v>2107</v>
      </c>
      <c r="N1078" s="336" t="s">
        <v>621</v>
      </c>
      <c r="O1078" s="78" t="str">
        <f ca="1">IF(H1078&lt;&gt;"",IF(H1078&lt;=TODAY(),"SI","NO"),"LIMBO")</f>
        <v>SI</v>
      </c>
      <c r="P1078" s="63" t="str">
        <f>IF($P$1=H1078,"DIASOL", "DIANOSOL")</f>
        <v>DIANOSOL</v>
      </c>
      <c r="Q1078" s="63" t="s">
        <v>151</v>
      </c>
      <c r="R1078" s="63" t="s">
        <v>151</v>
      </c>
      <c r="S1078" s="63" t="s">
        <v>1592</v>
      </c>
      <c r="T1078" s="81" t="str">
        <f>IF(G1078=$J$1,"SI","NO")</f>
        <v>NO</v>
      </c>
      <c r="U1078" s="81"/>
      <c r="V1078" s="7" t="str">
        <f ca="1">IF(color_Celda(E1078)=12106214,"ROSA",IF(color_Celda(E1078)=65535,"AMARILLO",IF(color_Celda(E1078)=5296274,"VERDE",IF(color_Celda(E1078)=16777215,"BLANCO","NO SE"))))</f>
        <v>ROSA</v>
      </c>
      <c r="W1078" s="336" t="s">
        <v>2044</v>
      </c>
      <c r="X1078" s="336" t="s">
        <v>3155</v>
      </c>
      <c r="Y1078" s="336"/>
      <c r="Z1078" s="336" t="s">
        <v>770</v>
      </c>
      <c r="AA1078" s="118" t="s">
        <v>2828</v>
      </c>
      <c r="AB1078" s="63" t="s">
        <v>1173</v>
      </c>
      <c r="AC1078" s="336"/>
    </row>
    <row r="1079" spans="1:29" ht="60" customHeight="1">
      <c r="A1079" s="336">
        <v>1058</v>
      </c>
      <c r="B1079" s="349">
        <v>45257</v>
      </c>
      <c r="C1079" s="63" t="s">
        <v>1554</v>
      </c>
      <c r="D1079" s="63" t="s">
        <v>4265</v>
      </c>
      <c r="E1079" s="64" t="s">
        <v>4305</v>
      </c>
      <c r="F1079" s="336">
        <v>5</v>
      </c>
      <c r="G1079" s="336" t="s">
        <v>2766</v>
      </c>
      <c r="H1079" s="383">
        <v>45274</v>
      </c>
      <c r="I1079" s="65" t="s">
        <v>1083</v>
      </c>
      <c r="J1079" s="349" t="s">
        <v>31</v>
      </c>
      <c r="K1079" s="336">
        <f>IFERROR(VLOOKUP(J1079,Jueces!$A$1:$B$11,2,FALSE),"")</f>
        <v>2</v>
      </c>
      <c r="L1079" s="63" t="s">
        <v>811</v>
      </c>
      <c r="M1079" s="63" t="s">
        <v>1956</v>
      </c>
      <c r="N1079" s="336" t="s">
        <v>4640</v>
      </c>
      <c r="O1079" s="78" t="str">
        <f ca="1">IF(H1079&lt;&gt;"",IF(H1079&lt;=TODAY(),"SI","NO"),"LIMBO")</f>
        <v>SI</v>
      </c>
      <c r="P1079" s="63" t="str">
        <f>IF($P$1=H1079,"DIASOL", "DIANOSOL")</f>
        <v>DIANOSOL</v>
      </c>
      <c r="Q1079" s="63" t="s">
        <v>902</v>
      </c>
      <c r="R1079" s="63" t="s">
        <v>100</v>
      </c>
      <c r="S1079" s="63" t="s">
        <v>1737</v>
      </c>
      <c r="T1079" s="81" t="str">
        <f>IF(G1079=$J$1,"SI","NO")</f>
        <v>NO</v>
      </c>
      <c r="U1079" s="81"/>
      <c r="V1079" s="7" t="str">
        <f ca="1">IF(color_Celda(E1079)=12106214,"ROSA",IF(color_Celda(E1079)=65535,"AMARILLO",IF(color_Celda(E1079)=5296274,"VERDE",IF(color_Celda(E1079)=16777215,"BLANCO","NO SE"))))</f>
        <v>ROSA</v>
      </c>
      <c r="W1079" s="336" t="s">
        <v>1248</v>
      </c>
      <c r="X1079" s="336" t="s">
        <v>3155</v>
      </c>
      <c r="Y1079" s="336"/>
      <c r="Z1079" s="63" t="s">
        <v>3368</v>
      </c>
      <c r="AA1079" s="118" t="s">
        <v>1167</v>
      </c>
      <c r="AB1079" s="63" t="s">
        <v>1171</v>
      </c>
      <c r="AC1079" s="336"/>
    </row>
    <row r="1080" spans="1:29" ht="60" customHeight="1">
      <c r="A1080" s="336">
        <v>1059</v>
      </c>
      <c r="B1080" s="349">
        <v>45257</v>
      </c>
      <c r="C1080" s="568">
        <v>0.46875</v>
      </c>
      <c r="D1080" s="63" t="s">
        <v>4266</v>
      </c>
      <c r="E1080" s="64" t="s">
        <v>4306</v>
      </c>
      <c r="F1080" s="336">
        <v>5</v>
      </c>
      <c r="G1080" s="336" t="s">
        <v>3323</v>
      </c>
      <c r="H1080" s="383">
        <v>45274</v>
      </c>
      <c r="I1080" s="65" t="s">
        <v>1206</v>
      </c>
      <c r="J1080" s="349" t="s">
        <v>31</v>
      </c>
      <c r="K1080" s="336">
        <v>5</v>
      </c>
      <c r="L1080" s="63" t="s">
        <v>810</v>
      </c>
      <c r="M1080" s="63" t="s">
        <v>2107</v>
      </c>
      <c r="N1080" s="336" t="s">
        <v>4647</v>
      </c>
      <c r="O1080" s="78" t="str">
        <f ca="1">IF(H1080&lt;&gt;"",IF(H1080&lt;=TODAY(),"SI","NO"),"LIMBO")</f>
        <v>SI</v>
      </c>
      <c r="P1080" s="63" t="str">
        <f>IF($P$1=H1080,"DIASOL", "DIANOSOL")</f>
        <v>DIANOSOL</v>
      </c>
      <c r="Q1080" s="63" t="s">
        <v>902</v>
      </c>
      <c r="R1080" s="63" t="s">
        <v>100</v>
      </c>
      <c r="S1080" s="63" t="s">
        <v>1272</v>
      </c>
      <c r="T1080" s="81" t="str">
        <f>IF(G1080=$J$1,"SI","NO")</f>
        <v>NO</v>
      </c>
      <c r="U1080" s="81"/>
      <c r="V1080" s="7" t="str">
        <f ca="1">IF(color_Celda(E1080)=12106214,"ROSA",IF(color_Celda(E1080)=65535,"AMARILLO",IF(color_Celda(E1080)=5296274,"VERDE",IF(color_Celda(E1080)=16777215,"BLANCO","NO SE"))))</f>
        <v>ROSA</v>
      </c>
      <c r="W1080" s="336" t="s">
        <v>547</v>
      </c>
      <c r="X1080" s="336" t="s">
        <v>2552</v>
      </c>
      <c r="Y1080" s="336"/>
      <c r="Z1080" s="63" t="s">
        <v>770</v>
      </c>
      <c r="AA1080" s="118" t="s">
        <v>3379</v>
      </c>
      <c r="AB1080" s="63" t="s">
        <v>1170</v>
      </c>
      <c r="AC1080" s="336"/>
    </row>
    <row r="1081" spans="1:29" ht="60" customHeight="1">
      <c r="A1081" s="336">
        <v>1067</v>
      </c>
      <c r="B1081" s="349">
        <v>45272</v>
      </c>
      <c r="C1081" s="70">
        <v>0.33333333333333331</v>
      </c>
      <c r="D1081" s="63" t="s">
        <v>4293</v>
      </c>
      <c r="E1081" s="64" t="s">
        <v>4294</v>
      </c>
      <c r="F1081" s="336">
        <v>5</v>
      </c>
      <c r="G1081" s="336" t="s">
        <v>2752</v>
      </c>
      <c r="H1081" s="383">
        <v>45274</v>
      </c>
      <c r="I1081" s="65" t="s">
        <v>3171</v>
      </c>
      <c r="J1081" s="349" t="s">
        <v>33</v>
      </c>
      <c r="K1081" s="336">
        <f>IFERROR(VLOOKUP(J1081,Jueces!$A$1:$B$11,2,FALSE),"")</f>
        <v>4</v>
      </c>
      <c r="L1081" s="63" t="s">
        <v>791</v>
      </c>
      <c r="M1081" s="63" t="s">
        <v>2107</v>
      </c>
      <c r="N1081" s="205" t="s">
        <v>4648</v>
      </c>
      <c r="O1081" s="78" t="str">
        <f ca="1">IF(H1081&lt;&gt;"",IF(H1081&lt;=TODAY(),"SI","NO"),"LIMBO")</f>
        <v>SI</v>
      </c>
      <c r="P1081" s="63" t="str">
        <f>IF($P$1=H1081,"DIASOL", "DIANOSOL")</f>
        <v>DIANOSOL</v>
      </c>
      <c r="Q1081" s="63" t="s">
        <v>902</v>
      </c>
      <c r="R1081" s="63" t="s">
        <v>100</v>
      </c>
      <c r="S1081" s="63" t="s">
        <v>3682</v>
      </c>
      <c r="T1081" s="81" t="str">
        <f>IF(G1081=$J$1,"SI","NO")</f>
        <v>NO</v>
      </c>
      <c r="U1081" s="81"/>
      <c r="V1081" s="7" t="str">
        <f ca="1">IF(color_Celda(E1081)=12106214,"ROSA",IF(color_Celda(E1081)=65535,"AMARILLO",IF(color_Celda(E1081)=5296274,"VERDE",IF(color_Celda(E1081)=16777215,"BLANCO","NO SE"))))</f>
        <v>ROSA</v>
      </c>
      <c r="W1081" s="336" t="s">
        <v>3626</v>
      </c>
      <c r="X1081" s="336" t="s">
        <v>4649</v>
      </c>
      <c r="Y1081" s="336"/>
      <c r="Z1081" s="63" t="s">
        <v>3368</v>
      </c>
      <c r="AA1081" s="118" t="s">
        <v>3378</v>
      </c>
      <c r="AB1081" s="63" t="s">
        <v>3258</v>
      </c>
      <c r="AC1081" s="336"/>
    </row>
    <row r="1082" spans="1:29" ht="60" customHeight="1">
      <c r="A1082" s="336">
        <v>1088</v>
      </c>
      <c r="B1082" s="349">
        <v>45260</v>
      </c>
      <c r="C1082" s="568">
        <v>0.33333333333333331</v>
      </c>
      <c r="D1082" s="63" t="s">
        <v>4332</v>
      </c>
      <c r="E1082" s="64" t="s">
        <v>4333</v>
      </c>
      <c r="F1082" s="336">
        <v>5</v>
      </c>
      <c r="G1082" s="336" t="s">
        <v>3791</v>
      </c>
      <c r="H1082" s="383">
        <v>45274</v>
      </c>
      <c r="I1082" s="65" t="s">
        <v>77</v>
      </c>
      <c r="J1082" s="349" t="s">
        <v>1217</v>
      </c>
      <c r="K1082" s="336">
        <f>IFERROR(VLOOKUP(J1082,Jueces!$A$1:$B$11,2,FALSE),"")</f>
        <v>7</v>
      </c>
      <c r="L1082" s="63" t="s">
        <v>807</v>
      </c>
      <c r="M1082" s="63" t="s">
        <v>2107</v>
      </c>
      <c r="N1082" s="336" t="s">
        <v>4640</v>
      </c>
      <c r="O1082" s="78" t="str">
        <f ca="1">IF(H1082&lt;&gt;"",IF(H1082&lt;=TODAY(),"SI","NO"),"LIMBO")</f>
        <v>SI</v>
      </c>
      <c r="P1082" s="78" t="str">
        <f>IF($P$1=H1082,"DIASOL", "DIANOSOL")</f>
        <v>DIANOSOL</v>
      </c>
      <c r="Q1082" s="63" t="s">
        <v>902</v>
      </c>
      <c r="R1082" s="63" t="s">
        <v>100</v>
      </c>
      <c r="S1082" s="63" t="s">
        <v>3626</v>
      </c>
      <c r="T1082" s="81" t="str">
        <f>IF(G1082=$J$1,"SI","NO")</f>
        <v>NO</v>
      </c>
      <c r="U1082" s="81"/>
      <c r="V1082" s="7" t="str">
        <f ca="1">IF(color_Celda(E1082)=12106214,"ROSA",IF(color_Celda(E1082)=65535,"AMARILLO",IF(color_Celda(E1082)=5296274,"VERDE",IF(color_Celda(E1082)=16777215,"BLANCO","NO SE"))))</f>
        <v>ROSA</v>
      </c>
      <c r="W1082" s="336" t="s">
        <v>4573</v>
      </c>
      <c r="X1082" s="336" t="s">
        <v>3155</v>
      </c>
      <c r="Y1082" s="336"/>
      <c r="Z1082" s="63" t="s">
        <v>748</v>
      </c>
      <c r="AA1082" s="118" t="s">
        <v>3378</v>
      </c>
      <c r="AB1082" s="63" t="s">
        <v>1171</v>
      </c>
      <c r="AC1082" s="336"/>
    </row>
    <row r="1083" spans="1:29" ht="60" customHeight="1">
      <c r="A1083" s="336">
        <v>1080</v>
      </c>
      <c r="B1083" s="349">
        <v>45258</v>
      </c>
      <c r="C1083" s="568">
        <v>0.3743055555555555</v>
      </c>
      <c r="D1083" s="63" t="s">
        <v>4318</v>
      </c>
      <c r="E1083" s="64" t="s">
        <v>4327</v>
      </c>
      <c r="F1083" s="336">
        <v>3</v>
      </c>
      <c r="G1083" s="336" t="s">
        <v>1434</v>
      </c>
      <c r="H1083" s="383">
        <v>45275</v>
      </c>
      <c r="I1083" s="65" t="s">
        <v>73</v>
      </c>
      <c r="J1083" s="349" t="s">
        <v>31</v>
      </c>
      <c r="K1083" s="336">
        <f>IFERROR(VLOOKUP(J1083,Jueces!$A$1:$B$11,2,FALSE),"")</f>
        <v>2</v>
      </c>
      <c r="L1083" s="63" t="s">
        <v>797</v>
      </c>
      <c r="M1083" s="63" t="s">
        <v>3755</v>
      </c>
      <c r="N1083" s="63" t="s">
        <v>2550</v>
      </c>
      <c r="O1083" s="78" t="str">
        <f ca="1">IF(H1083&lt;&gt;"",IF(H1083&lt;=TODAY(),"SI","NO"),"LIMBO")</f>
        <v>SI</v>
      </c>
      <c r="P1083" s="63" t="str">
        <f>IF($P$1=H1083,"DIASOL", "DIANOSOL")</f>
        <v>DIANOSOL</v>
      </c>
      <c r="Q1083" s="63" t="s">
        <v>897</v>
      </c>
      <c r="R1083" s="63" t="s">
        <v>900</v>
      </c>
      <c r="S1083" s="63" t="s">
        <v>1604</v>
      </c>
      <c r="T1083" s="81" t="str">
        <f>IF(G1083=$J$1,"SI","NO")</f>
        <v>NO</v>
      </c>
      <c r="U1083" s="81"/>
      <c r="V1083" s="7" t="str">
        <f ca="1">IF(color_Celda(E1083)=12106214,"ROSA",IF(color_Celda(E1083)=65535,"AMARILLO",IF(color_Celda(E1083)=5296274,"VERDE",IF(color_Celda(E1083)=16777215,"BLANCO","NO SE"))))</f>
        <v>ROSA</v>
      </c>
      <c r="W1083" s="63" t="s">
        <v>1227</v>
      </c>
      <c r="X1083" s="63" t="s">
        <v>4670</v>
      </c>
      <c r="Y1083" s="336"/>
      <c r="Z1083" s="336" t="s">
        <v>3368</v>
      </c>
      <c r="AA1083" s="118" t="s">
        <v>2828</v>
      </c>
      <c r="AB1083" s="63" t="s">
        <v>3258</v>
      </c>
      <c r="AC1083" s="336"/>
    </row>
    <row r="1084" spans="1:29" ht="60" customHeight="1">
      <c r="A1084" s="336">
        <v>1081</v>
      </c>
      <c r="B1084" s="349">
        <v>45258</v>
      </c>
      <c r="C1084" s="568">
        <v>0.34861111111111115</v>
      </c>
      <c r="D1084" s="63" t="s">
        <v>4319</v>
      </c>
      <c r="E1084" s="64" t="s">
        <v>4328</v>
      </c>
      <c r="F1084" s="336">
        <v>4</v>
      </c>
      <c r="G1084" s="336" t="s">
        <v>2815</v>
      </c>
      <c r="H1084" s="383">
        <v>45275</v>
      </c>
      <c r="I1084" s="65" t="s">
        <v>73</v>
      </c>
      <c r="J1084" s="65" t="s">
        <v>1723</v>
      </c>
      <c r="K1084" s="63" t="s">
        <v>1916</v>
      </c>
      <c r="L1084" s="63" t="s">
        <v>805</v>
      </c>
      <c r="M1084" s="63" t="s">
        <v>2368</v>
      </c>
      <c r="N1084" s="63" t="s">
        <v>4661</v>
      </c>
      <c r="O1084" s="78" t="str">
        <f ca="1">IF(H1084&lt;&gt;"",IF(H1084&lt;=TODAY(),"SI","NO"),"LIMBO")</f>
        <v>SI</v>
      </c>
      <c r="P1084" s="63" t="str">
        <f>IF($P$1=H1084,"DIASOL", "DIANOSOL")</f>
        <v>DIANOSOL</v>
      </c>
      <c r="Q1084" s="63" t="s">
        <v>902</v>
      </c>
      <c r="R1084" s="63" t="str">
        <f>VLOOKUP($Q1084,Resultados!$A$1:$B$49,2,FALSE)</f>
        <v>Juicio Abreviado</v>
      </c>
      <c r="S1084" s="63" t="s">
        <v>1419</v>
      </c>
      <c r="T1084" s="81" t="str">
        <f>IF(G1084=$J$1,"SI","NO")</f>
        <v>NO</v>
      </c>
      <c r="U1084" s="81"/>
      <c r="V1084" s="7" t="str">
        <f ca="1">IF(color_Celda(E1084)=12106214,"ROSA",IF(color_Celda(E1084)=65535,"AMARILLO",IF(color_Celda(E1084)=5296274,"VERDE",IF(color_Celda(E1084)=16777215,"BLANCO","NO SE"))))</f>
        <v>ROSA</v>
      </c>
      <c r="W1084" s="63" t="s">
        <v>1125</v>
      </c>
      <c r="X1084" s="63" t="s">
        <v>3432</v>
      </c>
      <c r="Y1084" s="336"/>
      <c r="Z1084" s="336" t="s">
        <v>743</v>
      </c>
      <c r="AA1084" s="118" t="s">
        <v>3378</v>
      </c>
      <c r="AB1084" s="63" t="s">
        <v>1171</v>
      </c>
      <c r="AC1084" s="336"/>
    </row>
    <row r="1085" spans="1:29" ht="60" customHeight="1">
      <c r="A1085" s="336">
        <v>1078</v>
      </c>
      <c r="B1085" s="349">
        <v>45259</v>
      </c>
      <c r="C1085" s="568">
        <v>0.33333333333333331</v>
      </c>
      <c r="D1085" s="63" t="s">
        <v>4315</v>
      </c>
      <c r="E1085" s="64" t="s">
        <v>4325</v>
      </c>
      <c r="F1085" s="336">
        <v>5</v>
      </c>
      <c r="G1085" s="336" t="s">
        <v>3323</v>
      </c>
      <c r="H1085" s="383">
        <v>45275</v>
      </c>
      <c r="I1085" s="65" t="s">
        <v>73</v>
      </c>
      <c r="J1085" s="349" t="s">
        <v>1217</v>
      </c>
      <c r="K1085" s="336">
        <f>IFERROR(VLOOKUP(J1085,Jueces!$A$1:$B$11,2,FALSE),"")</f>
        <v>7</v>
      </c>
      <c r="L1085" s="63" t="s">
        <v>810</v>
      </c>
      <c r="M1085" s="63" t="s">
        <v>2107</v>
      </c>
      <c r="N1085" s="336" t="s">
        <v>4684</v>
      </c>
      <c r="O1085" s="78" t="str">
        <f ca="1">IF(H1085&lt;&gt;"",IF(H1085&lt;=TODAY(),"SI","NO"),"LIMBO")</f>
        <v>SI</v>
      </c>
      <c r="P1085" s="63" t="str">
        <f>IF($P$1=H1085,"DIASOL", "DIANOSOL")</f>
        <v>DIANOSOL</v>
      </c>
      <c r="Q1085" s="63" t="s">
        <v>902</v>
      </c>
      <c r="R1085" s="63" t="s">
        <v>100</v>
      </c>
      <c r="S1085" s="63" t="s">
        <v>73</v>
      </c>
      <c r="T1085" s="81" t="str">
        <f>IF(G1085=$J$1,"SI","NO")</f>
        <v>NO</v>
      </c>
      <c r="U1085" s="81"/>
      <c r="V1085" s="7" t="str">
        <f ca="1">IF(color_Celda(E1085)=12106214,"ROSA",IF(color_Celda(E1085)=65535,"AMARILLO",IF(color_Celda(E1085)=5296274,"VERDE",IF(color_Celda(E1085)=16777215,"BLANCO","NO SE"))))</f>
        <v>ROSA</v>
      </c>
      <c r="W1085" s="63" t="s">
        <v>759</v>
      </c>
      <c r="X1085" s="336"/>
      <c r="Y1085" s="336"/>
      <c r="Z1085" s="336" t="s">
        <v>748</v>
      </c>
      <c r="AA1085" s="118" t="s">
        <v>1167</v>
      </c>
      <c r="AB1085" s="63" t="s">
        <v>1173</v>
      </c>
      <c r="AC1085" s="336"/>
    </row>
    <row r="1086" spans="1:29" ht="60" customHeight="1">
      <c r="A1086" s="336">
        <v>1077</v>
      </c>
      <c r="B1086" s="349">
        <v>45272</v>
      </c>
      <c r="C1086" s="568">
        <v>0.33333333333333331</v>
      </c>
      <c r="D1086" s="63" t="s">
        <v>4314</v>
      </c>
      <c r="E1086" s="64" t="s">
        <v>4326</v>
      </c>
      <c r="F1086" s="336">
        <v>5</v>
      </c>
      <c r="G1086" s="336" t="s">
        <v>2766</v>
      </c>
      <c r="H1086" s="383">
        <v>45275</v>
      </c>
      <c r="I1086" s="65" t="s">
        <v>73</v>
      </c>
      <c r="J1086" s="349" t="s">
        <v>78</v>
      </c>
      <c r="K1086" s="336">
        <f>IFERROR(VLOOKUP(J1086,Jueces!$A$1:$B$11,2,FALSE),"")</f>
        <v>8</v>
      </c>
      <c r="L1086" s="63" t="s">
        <v>2076</v>
      </c>
      <c r="M1086" s="63" t="s">
        <v>1956</v>
      </c>
      <c r="N1086" s="63" t="s">
        <v>4672</v>
      </c>
      <c r="O1086" s="78" t="str">
        <f ca="1">IF(H1086&lt;&gt;"",IF(H1086&lt;=TODAY(),"SI","NO"),"LIMBO")</f>
        <v>SI</v>
      </c>
      <c r="P1086" s="63" t="str">
        <f>IF($P$1=H1086,"DIASOL", "DIANOSOL")</f>
        <v>DIANOSOL</v>
      </c>
      <c r="Q1086" s="63" t="s">
        <v>151</v>
      </c>
      <c r="R1086" s="63" t="s">
        <v>151</v>
      </c>
      <c r="S1086" s="63" t="s">
        <v>1242</v>
      </c>
      <c r="T1086" s="81" t="str">
        <f>IF(G1086=$J$1,"SI","NO")</f>
        <v>NO</v>
      </c>
      <c r="U1086" s="81"/>
      <c r="V1086" s="7" t="str">
        <f ca="1">IF(color_Celda(E1086)=12106214,"ROSA",IF(color_Celda(E1086)=65535,"AMARILLO",IF(color_Celda(E1086)=5296274,"VERDE",IF(color_Celda(E1086)=16777215,"BLANCO","NO SE"))))</f>
        <v>ROSA</v>
      </c>
      <c r="W1086" s="63" t="s">
        <v>1570</v>
      </c>
      <c r="X1086" s="63" t="s">
        <v>4671</v>
      </c>
      <c r="Y1086" s="336"/>
      <c r="Z1086" s="336" t="s">
        <v>1038</v>
      </c>
      <c r="AA1086" s="118" t="s">
        <v>2869</v>
      </c>
      <c r="AB1086" s="63" t="s">
        <v>1169</v>
      </c>
      <c r="AC1086" s="336"/>
    </row>
    <row r="1087" spans="1:29" ht="60" customHeight="1">
      <c r="A1087" s="336">
        <v>991</v>
      </c>
      <c r="B1087" s="349">
        <v>45244</v>
      </c>
      <c r="C1087" s="568">
        <v>0.38541666666666669</v>
      </c>
      <c r="D1087" s="63" t="s">
        <v>4016</v>
      </c>
      <c r="E1087" s="64" t="s">
        <v>4017</v>
      </c>
      <c r="F1087" s="336">
        <v>4</v>
      </c>
      <c r="G1087" s="336" t="s">
        <v>1433</v>
      </c>
      <c r="H1087" s="383">
        <v>45275</v>
      </c>
      <c r="I1087" s="65" t="s">
        <v>1083</v>
      </c>
      <c r="J1087" s="65" t="s">
        <v>31</v>
      </c>
      <c r="K1087" s="336">
        <f>IFERROR(VLOOKUP(J1087,Jueces!$A$1:$B$11,2,FALSE),"")</f>
        <v>2</v>
      </c>
      <c r="L1087" s="63" t="s">
        <v>812</v>
      </c>
      <c r="M1087" s="63" t="s">
        <v>4674</v>
      </c>
      <c r="N1087" s="63" t="s">
        <v>2550</v>
      </c>
      <c r="O1087" s="78" t="str">
        <f ca="1">IF(H1087&lt;&gt;"",IF(H1087&lt;=TODAY(),"SI","NO"),"LIMBO")</f>
        <v>SI</v>
      </c>
      <c r="P1087" s="63" t="str">
        <f>IF($P$1=H1087,"DIASOL", "DIANOSOL")</f>
        <v>DIANOSOL</v>
      </c>
      <c r="Q1087" s="63" t="s">
        <v>897</v>
      </c>
      <c r="R1087" s="63" t="str">
        <f>VLOOKUP($Q1087,Resultados!$A$1:$B$49,2,FALSE)</f>
        <v>Libertad</v>
      </c>
      <c r="S1087" s="63" t="s">
        <v>2688</v>
      </c>
      <c r="T1087" s="81" t="str">
        <f>IF(G1087=$J$1,"SI","NO")</f>
        <v>NO</v>
      </c>
      <c r="U1087" s="81"/>
      <c r="V1087" s="7" t="str">
        <f ca="1">IF(color_Celda(E1087)=12106214,"ROSA",IF(color_Celda(E1087)=65535,"AMARILLO",IF(color_Celda(E1087)=5296274,"VERDE",IF(color_Celda(E1087)=16777215,"BLANCO","NO SE"))))</f>
        <v>ROSA</v>
      </c>
      <c r="W1087" s="63" t="s">
        <v>1206</v>
      </c>
      <c r="X1087" s="63" t="s">
        <v>4673</v>
      </c>
      <c r="Y1087" s="336"/>
      <c r="Z1087" s="336" t="s">
        <v>3368</v>
      </c>
      <c r="AA1087" s="118" t="s">
        <v>2828</v>
      </c>
      <c r="AB1087" s="63" t="s">
        <v>1173</v>
      </c>
      <c r="AC1087" s="336"/>
    </row>
    <row r="1088" spans="1:29" ht="60" customHeight="1">
      <c r="A1088" s="336">
        <v>1083</v>
      </c>
      <c r="B1088" s="349">
        <v>45259</v>
      </c>
      <c r="C1088" s="63" t="s">
        <v>73</v>
      </c>
      <c r="D1088" s="63" t="s">
        <v>4322</v>
      </c>
      <c r="E1088" s="64" t="s">
        <v>4461</v>
      </c>
      <c r="F1088" s="336">
        <v>5</v>
      </c>
      <c r="G1088" s="336" t="s">
        <v>2752</v>
      </c>
      <c r="H1088" s="383">
        <v>45275</v>
      </c>
      <c r="I1088" s="65" t="s">
        <v>1083</v>
      </c>
      <c r="J1088" s="349" t="s">
        <v>1216</v>
      </c>
      <c r="K1088" s="336">
        <f>IFERROR(VLOOKUP(J1088,Jueces!$A$1:$B$11,2,FALSE),"")</f>
        <v>1</v>
      </c>
      <c r="L1088" s="63" t="s">
        <v>791</v>
      </c>
      <c r="M1088" s="63" t="s">
        <v>1956</v>
      </c>
      <c r="N1088" s="205" t="s">
        <v>4675</v>
      </c>
      <c r="O1088" s="78" t="str">
        <f ca="1">IF(H1088&lt;&gt;"",IF(H1088&lt;=TODAY(),"SI","NO"),"LIMBO")</f>
        <v>SI</v>
      </c>
      <c r="P1088" s="63" t="str">
        <f>IF($P$1=H1088,"DIASOL", "DIANOSOL")</f>
        <v>DIANOSOL</v>
      </c>
      <c r="Q1088" s="63" t="s">
        <v>902</v>
      </c>
      <c r="R1088" s="63" t="str">
        <f>VLOOKUP($Q1088,Resultados!$A$1:$B$49,2,FALSE)</f>
        <v>Juicio Abreviado</v>
      </c>
      <c r="S1088" s="63" t="s">
        <v>1033</v>
      </c>
      <c r="T1088" s="81" t="str">
        <f>IF(G1088=$J$1,"SI","NO")</f>
        <v>NO</v>
      </c>
      <c r="U1088" s="81"/>
      <c r="V1088" s="7" t="str">
        <f ca="1">IF(color_Celda(E1088)=12106214,"ROSA",IF(color_Celda(E1088)=65535,"AMARILLO",IF(color_Celda(E1088)=5296274,"VERDE",IF(color_Celda(E1088)=16777215,"BLANCO","NO SE"))))</f>
        <v>ROSA</v>
      </c>
      <c r="W1088" s="63" t="s">
        <v>1185</v>
      </c>
      <c r="X1088" s="63" t="s">
        <v>4673</v>
      </c>
      <c r="Y1088" s="336"/>
      <c r="Z1088" s="336" t="s">
        <v>1038</v>
      </c>
      <c r="AA1088" s="118" t="s">
        <v>3379</v>
      </c>
      <c r="AB1088" s="63" t="s">
        <v>1170</v>
      </c>
      <c r="AC1088" s="336"/>
    </row>
    <row r="1089" spans="1:29" ht="60" customHeight="1">
      <c r="A1089" s="336">
        <v>1096</v>
      </c>
      <c r="B1089" s="349">
        <v>45261</v>
      </c>
      <c r="C1089" s="568">
        <v>0.4458333333333333</v>
      </c>
      <c r="D1089" s="63" t="s">
        <v>4374</v>
      </c>
      <c r="E1089" s="64" t="s">
        <v>4375</v>
      </c>
      <c r="F1089" s="336">
        <v>5</v>
      </c>
      <c r="G1089" s="336" t="s">
        <v>568</v>
      </c>
      <c r="H1089" s="383">
        <v>45275</v>
      </c>
      <c r="I1089" s="65" t="s">
        <v>1083</v>
      </c>
      <c r="J1089" s="349" t="s">
        <v>33</v>
      </c>
      <c r="K1089" s="336">
        <f>IFERROR(VLOOKUP(J1089,Jueces!$A$1:$B$11,2,FALSE),"")</f>
        <v>4</v>
      </c>
      <c r="L1089" s="63" t="s">
        <v>810</v>
      </c>
      <c r="M1089" s="7" t="s">
        <v>2107</v>
      </c>
      <c r="N1089" s="63" t="s">
        <v>4681</v>
      </c>
      <c r="O1089" s="78" t="str">
        <f ca="1">IF(H1089&lt;&gt;"",IF(H1089&lt;=TODAY(),"SI","NO"),"LIMBO")</f>
        <v>SI</v>
      </c>
      <c r="P1089" s="78" t="str">
        <f>IF($P$1=H1089,"DIASOL", "DIANOSOL")</f>
        <v>DIANOSOL</v>
      </c>
      <c r="Q1089" s="63" t="s">
        <v>902</v>
      </c>
      <c r="R1089" s="63" t="str">
        <f>VLOOKUP($Q1089,Resultados!$A$1:$B$49,2,FALSE)</f>
        <v>Juicio Abreviado</v>
      </c>
      <c r="S1089" s="63" t="s">
        <v>1294</v>
      </c>
      <c r="T1089" s="81" t="str">
        <f>IF(G1089=$J$1,"SI","NO")</f>
        <v>NO</v>
      </c>
      <c r="U1089" s="81"/>
      <c r="V1089" s="7" t="str">
        <f ca="1">IF(color_Celda(E1089)=12106214,"ROSA",IF(color_Celda(E1089)=65535,"AMARILLO",IF(color_Celda(E1089)=5296274,"VERDE",IF(color_Celda(E1089)=16777215,"BLANCO","NO SE"))))</f>
        <v>ROSA</v>
      </c>
      <c r="W1089" s="63" t="s">
        <v>1442</v>
      </c>
      <c r="X1089" s="63" t="s">
        <v>4644</v>
      </c>
      <c r="Y1089" s="336"/>
      <c r="Z1089" s="336" t="s">
        <v>770</v>
      </c>
      <c r="AA1089" s="118" t="s">
        <v>3379</v>
      </c>
      <c r="AB1089" s="63" t="s">
        <v>3258</v>
      </c>
      <c r="AC1089" s="336"/>
    </row>
    <row r="1090" spans="1:29" ht="60" customHeight="1">
      <c r="A1090" s="336">
        <v>1147</v>
      </c>
      <c r="B1090" s="349">
        <v>45272</v>
      </c>
      <c r="C1090" s="568">
        <v>0.38263888888888892</v>
      </c>
      <c r="D1090" s="63" t="s">
        <v>4562</v>
      </c>
      <c r="E1090" s="64" t="s">
        <v>4563</v>
      </c>
      <c r="F1090" s="336">
        <v>7</v>
      </c>
      <c r="G1090" s="336" t="s">
        <v>3639</v>
      </c>
      <c r="H1090" s="383">
        <v>45275</v>
      </c>
      <c r="I1090" s="65" t="s">
        <v>1083</v>
      </c>
      <c r="J1090" s="349" t="s">
        <v>1217</v>
      </c>
      <c r="K1090" s="336">
        <f>IFERROR(VLOOKUP(J1090,Jueces!$A$1:$B$11,2,FALSE),"")</f>
        <v>7</v>
      </c>
      <c r="L1090" s="63" t="s">
        <v>797</v>
      </c>
      <c r="M1090" s="388" t="s">
        <v>4456</v>
      </c>
      <c r="N1090" s="336" t="s">
        <v>4682</v>
      </c>
      <c r="O1090" s="78" t="str">
        <f ca="1">IF(H1090&lt;&gt;"",IF(H1090&lt;=TODAY(),"SI","NO"),"LIMBO")</f>
        <v>SI</v>
      </c>
      <c r="P1090" s="78" t="str">
        <f>IF($P$1=H1090,"DIASOL", "DIANOSOL")</f>
        <v>DIANOSOL</v>
      </c>
      <c r="Q1090" s="63" t="s">
        <v>903</v>
      </c>
      <c r="R1090" s="63" t="str">
        <f>VLOOKUP($Q1090,Resultados!$A$1:$B$49,2,FALSE)</f>
        <v>Juicio Abreviado</v>
      </c>
      <c r="S1090" s="63" t="s">
        <v>1570</v>
      </c>
      <c r="T1090" s="81" t="str">
        <f>IF(G1090=$J$1,"SI","NO")</f>
        <v>NO</v>
      </c>
      <c r="U1090" s="81"/>
      <c r="V1090" s="7" t="str">
        <f ca="1">IF(color_Celda(E1090)=12106214,"ROSA",IF(color_Celda(E1090)=65535,"AMARILLO",IF(color_Celda(E1090)=5296274,"VERDE",IF(color_Celda(E1090)=16777215,"BLANCO","NO SE"))))</f>
        <v>ROSA</v>
      </c>
      <c r="W1090" s="63" t="s">
        <v>1047</v>
      </c>
      <c r="X1090" s="63" t="s">
        <v>4683</v>
      </c>
      <c r="Y1090" s="336"/>
      <c r="Z1090" s="336" t="s">
        <v>748</v>
      </c>
      <c r="AA1090" s="336"/>
      <c r="AB1090" s="63" t="s">
        <v>1171</v>
      </c>
      <c r="AC1090" s="336"/>
    </row>
    <row r="1091" spans="1:29" ht="60" customHeight="1">
      <c r="A1091" s="328">
        <v>1095</v>
      </c>
      <c r="B1091" s="376">
        <v>45273</v>
      </c>
      <c r="C1091" s="15">
        <v>0.33333333333333331</v>
      </c>
      <c r="D1091" s="7" t="s">
        <v>3696</v>
      </c>
      <c r="E1091" s="420" t="s">
        <v>3697</v>
      </c>
      <c r="F1091" s="328">
        <v>3</v>
      </c>
      <c r="G1091" s="328" t="s">
        <v>29</v>
      </c>
      <c r="H1091" s="493">
        <v>45275</v>
      </c>
      <c r="I1091" s="19" t="s">
        <v>1083</v>
      </c>
      <c r="J1091" s="19" t="s">
        <v>78</v>
      </c>
      <c r="K1091" s="328">
        <v>3</v>
      </c>
      <c r="L1091" s="7" t="s">
        <v>2075</v>
      </c>
      <c r="M1091" s="365" t="s">
        <v>3755</v>
      </c>
      <c r="N1091" s="7" t="s">
        <v>4679</v>
      </c>
      <c r="O1091" s="76" t="str">
        <f ca="1">IF(H1091&lt;&gt;"",IF(H1091&lt;=TODAY(),"SI","NO"),"LIMBO")</f>
        <v>SI</v>
      </c>
      <c r="P1091" s="78" t="str">
        <f>IF($P$1=H1091,"DIASOL", "DIANOSOL")</f>
        <v>DIANOSOL</v>
      </c>
      <c r="Q1091" s="7" t="s">
        <v>151</v>
      </c>
      <c r="R1091" s="7" t="str">
        <f>VLOOKUP($Q1091,Resultados!$A$1:$B$49,2,FALSE)</f>
        <v>Prisión Preventiva</v>
      </c>
      <c r="S1091" s="7" t="s">
        <v>2044</v>
      </c>
      <c r="T1091" s="342" t="str">
        <f>IF(G1091=$J$1,"SI","NO")</f>
        <v>NO</v>
      </c>
      <c r="U1091" s="342"/>
      <c r="V1091" s="7" t="str">
        <f ca="1">IF(color_Celda(E1091)=12106214,"ROSA",IF(color_Celda(E1091)=65535,"AMARILLO",IF(color_Celda(E1091)=5296274,"VERDE",IF(color_Celda(E1091)=16777215,"BLANCO","NO SE"))))</f>
        <v>ROSA</v>
      </c>
      <c r="W1091" s="7" t="s">
        <v>4680</v>
      </c>
      <c r="X1091" s="7" t="s">
        <v>3487</v>
      </c>
      <c r="Y1091" s="328"/>
      <c r="Z1091" s="328" t="s">
        <v>743</v>
      </c>
      <c r="AA1091" s="268" t="s">
        <v>1167</v>
      </c>
      <c r="AB1091" s="7" t="s">
        <v>1169</v>
      </c>
      <c r="AC1091" s="328"/>
    </row>
    <row r="1092" spans="1:29" ht="60" customHeight="1">
      <c r="A1092" s="336">
        <v>1003</v>
      </c>
      <c r="B1092" s="349">
        <v>45246</v>
      </c>
      <c r="C1092" s="568">
        <v>0.47916666666666669</v>
      </c>
      <c r="D1092" s="63" t="s">
        <v>2501</v>
      </c>
      <c r="E1092" s="64" t="s">
        <v>4300</v>
      </c>
      <c r="F1092" s="336">
        <v>5</v>
      </c>
      <c r="G1092" s="336" t="s">
        <v>283</v>
      </c>
      <c r="H1092" s="383">
        <v>45275</v>
      </c>
      <c r="I1092" s="65" t="s">
        <v>1206</v>
      </c>
      <c r="J1092" s="349" t="s">
        <v>31</v>
      </c>
      <c r="K1092" s="63" t="s">
        <v>1982</v>
      </c>
      <c r="L1092" s="63" t="s">
        <v>569</v>
      </c>
      <c r="M1092" s="335" t="s">
        <v>3763</v>
      </c>
      <c r="N1092" s="7" t="s">
        <v>4676</v>
      </c>
      <c r="O1092" s="78" t="str">
        <f ca="1">IF(H1092&lt;&gt;"",IF(H1092&lt;=TODAY(),"SI","NO"),"LIMBO")</f>
        <v>SI</v>
      </c>
      <c r="P1092" s="63" t="str">
        <f>IF($P$1=H1092,"DIASOL", "DIANOSOL")</f>
        <v>DIANOSOL</v>
      </c>
      <c r="Q1092" s="63" t="s">
        <v>902</v>
      </c>
      <c r="R1092" s="63" t="str">
        <f>VLOOKUP($Q1092,Resultados!$A$1:$B$49,2,FALSE)</f>
        <v>Juicio Abreviado</v>
      </c>
      <c r="S1092" s="63" t="s">
        <v>1122</v>
      </c>
      <c r="T1092" s="81" t="str">
        <f>IF(G1092=$J$1,"SI","NO")</f>
        <v>NO</v>
      </c>
      <c r="U1092" s="81"/>
      <c r="V1092" s="7" t="str">
        <f ca="1">IF(color_Celda(E1092)=12106214,"ROSA",IF(color_Celda(E1092)=65535,"AMARILLO",IF(color_Celda(E1092)=5296274,"VERDE",IF(color_Celda(E1092)=16777215,"BLANCO","NO SE"))))</f>
        <v>ROSA</v>
      </c>
      <c r="W1092" s="63" t="s">
        <v>3465</v>
      </c>
      <c r="X1092" s="63" t="s">
        <v>4677</v>
      </c>
      <c r="Y1092" s="336"/>
      <c r="Z1092" s="336" t="s">
        <v>748</v>
      </c>
      <c r="AA1092" s="63"/>
      <c r="AB1092" s="63" t="s">
        <v>1170</v>
      </c>
      <c r="AC1092" s="384"/>
    </row>
    <row r="1093" spans="1:29" ht="60" customHeight="1">
      <c r="A1093" s="336">
        <v>1061</v>
      </c>
      <c r="B1093" s="349">
        <v>45257</v>
      </c>
      <c r="C1093" s="568">
        <v>0.54513888888888895</v>
      </c>
      <c r="D1093" s="63" t="s">
        <v>4284</v>
      </c>
      <c r="E1093" s="64" t="s">
        <v>4329</v>
      </c>
      <c r="F1093" s="336">
        <v>4</v>
      </c>
      <c r="G1093" s="336" t="s">
        <v>1435</v>
      </c>
      <c r="H1093" s="383">
        <v>45275</v>
      </c>
      <c r="I1093" s="65" t="s">
        <v>1206</v>
      </c>
      <c r="J1093" s="349" t="s">
        <v>1216</v>
      </c>
      <c r="K1093" s="63" t="s">
        <v>1512</v>
      </c>
      <c r="L1093" s="63" t="s">
        <v>790</v>
      </c>
      <c r="M1093" s="63" t="s">
        <v>1956</v>
      </c>
      <c r="N1093" s="63" t="s">
        <v>4678</v>
      </c>
      <c r="O1093" s="78" t="str">
        <f ca="1">IF(H1093&lt;&gt;"",IF(H1093&lt;=TODAY(),"SI","NO"),"LIMBO")</f>
        <v>SI</v>
      </c>
      <c r="P1093" s="63" t="str">
        <f>IF($P$1=H1093,"DIASOL", "DIANOSOL")</f>
        <v>DIANOSOL</v>
      </c>
      <c r="Q1093" s="63" t="s">
        <v>897</v>
      </c>
      <c r="R1093" s="63" t="s">
        <v>900</v>
      </c>
      <c r="S1093" s="63" t="s">
        <v>2662</v>
      </c>
      <c r="T1093" s="81" t="str">
        <f>IF(G1093=$J$1,"SI","NO")</f>
        <v>SI</v>
      </c>
      <c r="U1093" s="81"/>
      <c r="V1093" s="7" t="str">
        <f ca="1">IF(color_Celda(E1093)=12106214,"ROSA",IF(color_Celda(E1093)=65535,"AMARILLO",IF(color_Celda(E1093)=5296274,"VERDE",IF(color_Celda(E1093)=16777215,"BLANCO","NO SE"))))</f>
        <v>ROSA</v>
      </c>
      <c r="W1093" s="63" t="s">
        <v>77</v>
      </c>
      <c r="X1093" s="63" t="s">
        <v>4673</v>
      </c>
      <c r="Y1093" s="336"/>
      <c r="Z1093" s="336" t="s">
        <v>3368</v>
      </c>
      <c r="AA1093" s="118" t="s">
        <v>2869</v>
      </c>
      <c r="AB1093" s="63" t="s">
        <v>1173</v>
      </c>
      <c r="AC1093" s="336"/>
    </row>
    <row r="1094" spans="1:29" ht="60" customHeight="1">
      <c r="A1094" s="336">
        <v>1079</v>
      </c>
      <c r="B1094" s="349">
        <v>45258</v>
      </c>
      <c r="C1094" s="568">
        <v>0.50138888888888888</v>
      </c>
      <c r="D1094" s="63" t="s">
        <v>4316</v>
      </c>
      <c r="E1094" s="64" t="s">
        <v>4317</v>
      </c>
      <c r="F1094" s="336">
        <v>4</v>
      </c>
      <c r="G1094" s="336" t="s">
        <v>3791</v>
      </c>
      <c r="H1094" s="383">
        <v>45275</v>
      </c>
      <c r="I1094" s="65" t="s">
        <v>3171</v>
      </c>
      <c r="J1094" s="349" t="s">
        <v>33</v>
      </c>
      <c r="K1094" s="336">
        <f>IFERROR(VLOOKUP(J1094,Jueces!$A$1:$B$11,2,FALSE),"")</f>
        <v>4</v>
      </c>
      <c r="L1094" s="63" t="s">
        <v>799</v>
      </c>
      <c r="M1094" s="63" t="s">
        <v>1956</v>
      </c>
      <c r="N1094" s="63" t="s">
        <v>4685</v>
      </c>
      <c r="O1094" s="78" t="str">
        <f ca="1">IF(H1094&lt;&gt;"",IF(H1094&lt;=TODAY(),"SI","NO"),"LIMBO")</f>
        <v>SI</v>
      </c>
      <c r="P1094" s="78" t="str">
        <f>IF($P$1=H1094,"DIASOL", "DIANOSOL")</f>
        <v>DIANOSOL</v>
      </c>
      <c r="Q1094" s="63" t="s">
        <v>903</v>
      </c>
      <c r="R1094" s="63" t="s">
        <v>100</v>
      </c>
      <c r="S1094" s="63" t="s">
        <v>1687</v>
      </c>
      <c r="T1094" s="81" t="str">
        <f>IF(G1094=$J$1,"SI","NO")</f>
        <v>NO</v>
      </c>
      <c r="U1094" s="81"/>
      <c r="V1094" s="7" t="str">
        <f ca="1">IF(color_Celda(E1094)=12106214,"ROSA",IF(color_Celda(E1094)=65535,"AMARILLO",IF(color_Celda(E1094)=5296274,"VERDE",IF(color_Celda(E1094)=16777215,"BLANCO","NO SE"))))</f>
        <v>ROSA</v>
      </c>
      <c r="W1094" s="63" t="s">
        <v>3161</v>
      </c>
      <c r="X1094" s="150" t="s">
        <v>4644</v>
      </c>
      <c r="Y1094" s="336"/>
      <c r="Z1094" s="336" t="s">
        <v>770</v>
      </c>
      <c r="AA1094" s="118" t="s">
        <v>1167</v>
      </c>
      <c r="AB1094" s="63" t="s">
        <v>3258</v>
      </c>
      <c r="AC1094" s="336"/>
    </row>
    <row r="1095" spans="1:29" ht="60" customHeight="1">
      <c r="A1095" s="336">
        <v>1055</v>
      </c>
      <c r="B1095" s="349">
        <v>45257</v>
      </c>
      <c r="C1095" s="63" t="s">
        <v>1206</v>
      </c>
      <c r="D1095" s="63" t="s">
        <v>4259</v>
      </c>
      <c r="E1095" s="64" t="s">
        <v>4417</v>
      </c>
      <c r="F1095" s="336">
        <v>3</v>
      </c>
      <c r="G1095" s="336" t="s">
        <v>3791</v>
      </c>
      <c r="H1095" s="383">
        <v>45278</v>
      </c>
      <c r="I1095" s="65" t="s">
        <v>73</v>
      </c>
      <c r="J1095" s="349" t="s">
        <v>1723</v>
      </c>
      <c r="K1095" s="63" t="s">
        <v>1916</v>
      </c>
      <c r="L1095" s="63" t="s">
        <v>2077</v>
      </c>
      <c r="M1095" s="63" t="s">
        <v>4727</v>
      </c>
      <c r="N1095" s="63" t="s">
        <v>4729</v>
      </c>
      <c r="O1095" s="78" t="str">
        <f ca="1">IF(H1095&lt;&gt;"",IF(H1095&lt;=TODAY(),"SI","NO"),"LIMBO")</f>
        <v>SI</v>
      </c>
      <c r="P1095" s="78" t="str">
        <f>IF($P$1=H1095,"DIASOL", "DIANOSOL")</f>
        <v>DIANOSOL</v>
      </c>
      <c r="Q1095" s="63" t="s">
        <v>151</v>
      </c>
      <c r="R1095" s="63" t="str">
        <f>VLOOKUP($Q1095,Resultados!$A$1:$B$49,2,FALSE)</f>
        <v>Prisión Preventiva</v>
      </c>
      <c r="S1095" s="63" t="s">
        <v>2402</v>
      </c>
      <c r="T1095" s="81" t="str">
        <f>IF(G1095=$J$1,"SI","NO")</f>
        <v>NO</v>
      </c>
      <c r="U1095" s="81"/>
      <c r="V1095" s="7" t="str">
        <f ca="1">IF(color_Celda(E1095)=12106214,"ROSA",IF(color_Celda(E1095)=65535,"AMARILLO",IF(color_Celda(E1095)=5296274,"VERDE",IF(color_Celda(E1095)=16777215,"BLANCO","NO SE"))))</f>
        <v>ROSA</v>
      </c>
      <c r="W1095" s="63" t="s">
        <v>1336</v>
      </c>
      <c r="X1095" s="390" t="s">
        <v>4728</v>
      </c>
      <c r="Y1095" s="336"/>
      <c r="Z1095" s="336"/>
      <c r="AA1095" s="118" t="s">
        <v>2869</v>
      </c>
      <c r="AB1095" s="63" t="s">
        <v>1171</v>
      </c>
      <c r="AC1095" s="336"/>
    </row>
    <row r="1096" spans="1:29" ht="60" customHeight="1">
      <c r="A1096" s="328">
        <v>1094</v>
      </c>
      <c r="B1096" s="376">
        <v>45261</v>
      </c>
      <c r="C1096" s="377">
        <v>0.49513888888888885</v>
      </c>
      <c r="D1096" s="7" t="s">
        <v>4373</v>
      </c>
      <c r="E1096" s="40" t="s">
        <v>4500</v>
      </c>
      <c r="F1096" s="328">
        <v>5</v>
      </c>
      <c r="G1096" s="328" t="s">
        <v>568</v>
      </c>
      <c r="H1096" s="493">
        <v>45278</v>
      </c>
      <c r="I1096" s="19" t="s">
        <v>73</v>
      </c>
      <c r="J1096" s="376" t="s">
        <v>78</v>
      </c>
      <c r="K1096" s="328">
        <f>IFERROR(VLOOKUP(J1096,Jueces!$A$1:$B$11,2,FALSE),"")</f>
        <v>8</v>
      </c>
      <c r="L1096" s="7" t="s">
        <v>791</v>
      </c>
      <c r="M1096" s="7" t="s">
        <v>2201</v>
      </c>
      <c r="N1096" s="7" t="s">
        <v>4734</v>
      </c>
      <c r="O1096" s="7" t="str">
        <f ca="1">IF(H1096&lt;&gt;"",IF(H1096&lt;=TODAY(),"SI","NO"),"LIMBO")</f>
        <v>SI</v>
      </c>
      <c r="P1096" s="7" t="str">
        <f>IF($P$1=H1096,"DIASOL", "DIANOSOL")</f>
        <v>DIANOSOL</v>
      </c>
      <c r="Q1096" s="7" t="s">
        <v>902</v>
      </c>
      <c r="R1096" s="7" t="str">
        <f>VLOOKUP($Q1096,Resultados!$A$1:$B$49,2,FALSE)</f>
        <v>Juicio Abreviado</v>
      </c>
      <c r="S1096" s="7" t="s">
        <v>1419</v>
      </c>
      <c r="T1096" s="68" t="str">
        <f>IF(G1096=$J$1,"SI","NO")</f>
        <v>NO</v>
      </c>
      <c r="U1096" s="68"/>
      <c r="V1096" s="7" t="str">
        <f ca="1">IF(color_Celda(E1096)=12106214,"ROSA",IF(color_Celda(E1096)=65535,"AMARILLO",IF(color_Celda(E1096)=5296274,"VERDE",IF(color_Celda(E1096)=16777215,"BLANCO","NO SE"))))</f>
        <v>ROSA</v>
      </c>
      <c r="W1096" s="7" t="s">
        <v>1287</v>
      </c>
      <c r="X1096" s="7" t="s">
        <v>1498</v>
      </c>
      <c r="Y1096" s="328"/>
      <c r="Z1096" s="678" t="s">
        <v>4731</v>
      </c>
      <c r="AA1096" s="268" t="s">
        <v>3379</v>
      </c>
      <c r="AB1096" s="7" t="s">
        <v>1170</v>
      </c>
      <c r="AC1096" s="328"/>
    </row>
    <row r="1097" spans="1:29" s="97" customFormat="1" ht="60" customHeight="1">
      <c r="A1097" s="336">
        <v>1103</v>
      </c>
      <c r="B1097" s="349">
        <v>45264</v>
      </c>
      <c r="C1097" s="568">
        <v>0.37986111111111115</v>
      </c>
      <c r="D1097" s="63" t="s">
        <v>4404</v>
      </c>
      <c r="E1097" s="64" t="s">
        <v>4499</v>
      </c>
      <c r="F1097" s="336">
        <v>5</v>
      </c>
      <c r="G1097" s="336" t="s">
        <v>1435</v>
      </c>
      <c r="H1097" s="383">
        <v>45278</v>
      </c>
      <c r="I1097" s="65" t="s">
        <v>73</v>
      </c>
      <c r="J1097" s="349" t="s">
        <v>2922</v>
      </c>
      <c r="K1097" s="336">
        <v>4</v>
      </c>
      <c r="L1097" s="63" t="s">
        <v>1067</v>
      </c>
      <c r="M1097" s="388" t="s">
        <v>1025</v>
      </c>
      <c r="N1097" s="63" t="s">
        <v>4721</v>
      </c>
      <c r="O1097" s="78" t="str">
        <f ca="1">IF(H1097&lt;&gt;"",IF(H1097&lt;=TODAY(),"SI","NO"),"LIMBO")</f>
        <v>SI</v>
      </c>
      <c r="P1097" s="78" t="str">
        <f>IF($P$1=H1097,"DIASOL", "DIANOSOL")</f>
        <v>DIANOSOL</v>
      </c>
      <c r="Q1097" s="63" t="s">
        <v>151</v>
      </c>
      <c r="R1097" s="63" t="str">
        <f>VLOOKUP($Q1097,Resultados!$A$1:$B$49,2,FALSE)</f>
        <v>Prisión Preventiva</v>
      </c>
      <c r="S1097" s="63" t="s">
        <v>4720</v>
      </c>
      <c r="T1097" s="81" t="str">
        <f>IF(G1097=$J$1,"SI","NO")</f>
        <v>SI</v>
      </c>
      <c r="U1097" s="81"/>
      <c r="V1097" s="7" t="str">
        <f ca="1">IF(color_Celda(E1097)=12106214,"ROSA",IF(color_Celda(E1097)=65535,"AMARILLO",IF(color_Celda(E1097)=5296274,"VERDE",IF(color_Celda(E1097)=16777215,"BLANCO","NO SE"))))</f>
        <v>ROSA</v>
      </c>
      <c r="W1097" s="63" t="s">
        <v>2595</v>
      </c>
      <c r="X1097" s="366" t="s">
        <v>4722</v>
      </c>
      <c r="Y1097" s="336"/>
      <c r="Z1097" s="336"/>
      <c r="AA1097" s="118" t="s">
        <v>3378</v>
      </c>
      <c r="AB1097" s="63" t="s">
        <v>1169</v>
      </c>
      <c r="AC1097" s="336"/>
    </row>
    <row r="1098" spans="1:29" s="97" customFormat="1" ht="60" customHeight="1">
      <c r="A1098" s="336">
        <v>1107</v>
      </c>
      <c r="B1098" s="349">
        <v>45264</v>
      </c>
      <c r="C1098" s="568">
        <v>0.48888888888888887</v>
      </c>
      <c r="D1098" s="63" t="s">
        <v>4425</v>
      </c>
      <c r="E1098" s="64" t="s">
        <v>4426</v>
      </c>
      <c r="F1098" s="336">
        <v>5</v>
      </c>
      <c r="G1098" s="63" t="s">
        <v>3323</v>
      </c>
      <c r="H1098" s="383">
        <v>45278</v>
      </c>
      <c r="I1098" s="65" t="s">
        <v>73</v>
      </c>
      <c r="J1098" s="65" t="s">
        <v>35</v>
      </c>
      <c r="K1098" s="336">
        <f>IFERROR(VLOOKUP(J1098,Jueces!$A$1:$B$11,2,FALSE),"")</f>
        <v>3</v>
      </c>
      <c r="L1098" s="63" t="s">
        <v>810</v>
      </c>
      <c r="M1098" s="7" t="s">
        <v>2353</v>
      </c>
      <c r="N1098" s="205" t="s">
        <v>4732</v>
      </c>
      <c r="O1098" s="78" t="str">
        <f ca="1">IF(H1098&lt;&gt;"",IF(H1098&lt;=TODAY(),"SI","NO"),"LIMBO")</f>
        <v>SI</v>
      </c>
      <c r="P1098" s="78" t="str">
        <f>IF($P$1=H1098,"DIASOL", "DIANOSOL")</f>
        <v>DIANOSOL</v>
      </c>
      <c r="Q1098" s="63" t="s">
        <v>902</v>
      </c>
      <c r="R1098" s="63" t="str">
        <f>VLOOKUP($Q1098,Resultados!$A$1:$B$49,2,FALSE)</f>
        <v>Juicio Abreviado</v>
      </c>
      <c r="S1098" s="63" t="s">
        <v>3246</v>
      </c>
      <c r="T1098" s="81" t="str">
        <f>IF(G1098=$J$1,"SI","NO")</f>
        <v>NO</v>
      </c>
      <c r="U1098" s="81"/>
      <c r="V1098" s="7" t="str">
        <f ca="1">IF(color_Celda(E1098)=12106214,"ROSA",IF(color_Celda(E1098)=65535,"AMARILLO",IF(color_Celda(E1098)=5296274,"VERDE",IF(color_Celda(E1098)=16777215,"BLANCO","NO SE"))))</f>
        <v>ROSA</v>
      </c>
      <c r="W1098" s="63" t="s">
        <v>2402</v>
      </c>
      <c r="X1098" s="336"/>
      <c r="Y1098" s="336"/>
      <c r="Z1098" s="336"/>
      <c r="AA1098" s="118" t="s">
        <v>2828</v>
      </c>
      <c r="AB1098" s="63" t="s">
        <v>3258</v>
      </c>
      <c r="AC1098" s="336"/>
    </row>
    <row r="1099" spans="1:29" ht="60" customHeight="1">
      <c r="A1099" s="336">
        <v>1151</v>
      </c>
      <c r="B1099" s="349">
        <v>45272</v>
      </c>
      <c r="C1099" s="568">
        <v>0.48958333333333331</v>
      </c>
      <c r="D1099" s="63" t="s">
        <v>4587</v>
      </c>
      <c r="E1099" s="64" t="s">
        <v>4588</v>
      </c>
      <c r="F1099" s="336">
        <v>3</v>
      </c>
      <c r="G1099" s="336" t="s">
        <v>3871</v>
      </c>
      <c r="H1099" s="383">
        <v>45278</v>
      </c>
      <c r="I1099" s="65" t="s">
        <v>73</v>
      </c>
      <c r="J1099" s="349" t="s">
        <v>33</v>
      </c>
      <c r="K1099" s="63" t="s">
        <v>4733</v>
      </c>
      <c r="L1099" s="63" t="s">
        <v>192</v>
      </c>
      <c r="M1099" s="63" t="s">
        <v>725</v>
      </c>
      <c r="N1099" s="63" t="s">
        <v>4605</v>
      </c>
      <c r="O1099" s="63" t="str">
        <f ca="1">IF(H1099&lt;&gt;"",IF(H1099&lt;=TODAY(),"SI","NO"),"LIMBO")</f>
        <v>SI</v>
      </c>
      <c r="P1099" s="63" t="str">
        <f>IF($P$1=H1099,"DIASOL", "DIANOSOL")</f>
        <v>DIANOSOL</v>
      </c>
      <c r="Q1099" s="63" t="s">
        <v>911</v>
      </c>
      <c r="R1099" s="63" t="str">
        <f>VLOOKUP($Q1099,Resultados!$A$1:$B$49,2,FALSE)</f>
        <v>Prision domiciliaria</v>
      </c>
      <c r="S1099" s="63" t="s">
        <v>3094</v>
      </c>
      <c r="T1099" s="72" t="str">
        <f>IF(G1099=$J$1,"SI","NO")</f>
        <v>NO</v>
      </c>
      <c r="U1099" s="72"/>
      <c r="V1099" s="7" t="str">
        <f ca="1">IF(color_Celda(E1099)=12106214,"ROSA",IF(color_Celda(E1099)=65535,"AMARILLO",IF(color_Celda(E1099)=5296274,"VERDE",IF(color_Celda(E1099)=16777215,"BLANCO","NO SE"))))</f>
        <v>ROSA</v>
      </c>
      <c r="W1099" s="63" t="s">
        <v>2548</v>
      </c>
      <c r="X1099" s="63" t="s">
        <v>4798</v>
      </c>
      <c r="Y1099" s="336"/>
      <c r="Z1099" s="336"/>
      <c r="AA1099" s="336"/>
      <c r="AB1099" s="63" t="s">
        <v>1173</v>
      </c>
      <c r="AC1099" s="336"/>
    </row>
    <row r="1100" spans="1:29" ht="60" customHeight="1">
      <c r="A1100" s="336">
        <v>1085</v>
      </c>
      <c r="B1100" s="349">
        <v>45273</v>
      </c>
      <c r="C1100" s="70">
        <v>0.33333333333333331</v>
      </c>
      <c r="D1100" s="63" t="s">
        <v>4323</v>
      </c>
      <c r="E1100" s="64" t="s">
        <v>4324</v>
      </c>
      <c r="F1100" s="336">
        <v>4</v>
      </c>
      <c r="G1100" s="336" t="s">
        <v>1433</v>
      </c>
      <c r="H1100" s="383">
        <v>45278</v>
      </c>
      <c r="I1100" s="65" t="s">
        <v>73</v>
      </c>
      <c r="J1100" s="349" t="s">
        <v>31</v>
      </c>
      <c r="K1100" s="336">
        <f>IFERROR(VLOOKUP(J1100,Jueces!$A$1:$B$11,2,FALSE),"")</f>
        <v>2</v>
      </c>
      <c r="L1100" s="63" t="s">
        <v>797</v>
      </c>
      <c r="M1100" s="63" t="s">
        <v>4674</v>
      </c>
      <c r="N1100" s="205" t="s">
        <v>4730</v>
      </c>
      <c r="O1100" s="78" t="str">
        <f ca="1">IF(H1100&lt;&gt;"",IF(H1100&lt;=TODAY(),"SI","NO"),"LIMBO")</f>
        <v>SI</v>
      </c>
      <c r="P1100" s="63" t="str">
        <f>IF($P$1=H1100,"DIASOL", "DIANOSOL")</f>
        <v>DIANOSOL</v>
      </c>
      <c r="Q1100" s="63" t="s">
        <v>902</v>
      </c>
      <c r="R1100" s="63" t="str">
        <f>VLOOKUP($Q1100,Resultados!$A$1:$B$49,2,FALSE)</f>
        <v>Juicio Abreviado</v>
      </c>
      <c r="S1100" s="63" t="s">
        <v>1419</v>
      </c>
      <c r="T1100" s="81" t="str">
        <f>IF(G1100=$J$1,"SI","NO")</f>
        <v>NO</v>
      </c>
      <c r="U1100" s="81"/>
      <c r="V1100" s="7" t="str">
        <f ca="1">IF(color_Celda(E1100)=12106214,"ROSA",IF(color_Celda(E1100)=65535,"AMARILLO",IF(color_Celda(E1100)=5296274,"VERDE",IF(color_Celda(E1100)=16777215,"BLANCO","NO SE"))))</f>
        <v>ROSA</v>
      </c>
      <c r="W1100" s="63" t="s">
        <v>1015</v>
      </c>
      <c r="X1100" s="169" t="s">
        <v>4731</v>
      </c>
      <c r="Y1100" s="336"/>
      <c r="Z1100" s="336"/>
      <c r="AA1100" s="118" t="s">
        <v>1167</v>
      </c>
      <c r="AB1100" s="63" t="s">
        <v>1173</v>
      </c>
      <c r="AC1100" s="336"/>
    </row>
    <row r="1101" spans="1:29" ht="60" customHeight="1">
      <c r="A1101" s="336">
        <v>1123</v>
      </c>
      <c r="B1101" s="349">
        <v>45245</v>
      </c>
      <c r="C1101" s="568">
        <v>0.33611111111111108</v>
      </c>
      <c r="D1101" s="336" t="s">
        <v>4083</v>
      </c>
      <c r="E1101" s="355" t="s">
        <v>4045</v>
      </c>
      <c r="F1101" s="336">
        <v>5</v>
      </c>
      <c r="G1101" s="336" t="s">
        <v>3324</v>
      </c>
      <c r="H1101" s="383">
        <v>45278</v>
      </c>
      <c r="I1101" s="65" t="s">
        <v>1083</v>
      </c>
      <c r="J1101" s="349" t="s">
        <v>1216</v>
      </c>
      <c r="K1101" s="336">
        <v>1</v>
      </c>
      <c r="L1101" s="63" t="s">
        <v>799</v>
      </c>
      <c r="M1101" s="63" t="s">
        <v>4674</v>
      </c>
      <c r="N1101" s="205" t="s">
        <v>4736</v>
      </c>
      <c r="O1101" s="63" t="str">
        <f ca="1">IF(H1101&lt;&gt;"",IF(H1101&lt;=TODAY(),"SI","NO"),"LIMBO")</f>
        <v>SI</v>
      </c>
      <c r="P1101" s="63" t="str">
        <f>IF($P$1=H1101,"DIASOL", "DIANOSOL")</f>
        <v>DIANOSOL</v>
      </c>
      <c r="Q1101" s="63" t="s">
        <v>910</v>
      </c>
      <c r="R1101" s="63" t="str">
        <f>VLOOKUP($Q1101,Resultados!$A$1:$B$49,2,FALSE)</f>
        <v>Suspendida</v>
      </c>
      <c r="S1101" s="63" t="s">
        <v>1047</v>
      </c>
      <c r="T1101" s="72" t="str">
        <f>IF(G1101=$J$1,"SI","NO")</f>
        <v>NO</v>
      </c>
      <c r="U1101" s="72"/>
      <c r="V1101" s="7" t="str">
        <f ca="1">IF(color_Celda(E1101)=12106214,"ROSA",IF(color_Celda(E1101)=65535,"AMARILLO",IF(color_Celda(E1101)=5296274,"VERDE",IF(color_Celda(E1101)=16777215,"BLANCO","NO SE"))))</f>
        <v>ROSA</v>
      </c>
      <c r="W1101" s="63" t="s">
        <v>2929</v>
      </c>
      <c r="X1101" s="63" t="s">
        <v>4723</v>
      </c>
      <c r="Y1101" s="336"/>
      <c r="Z1101" s="336"/>
      <c r="AA1101" s="118" t="s">
        <v>2828</v>
      </c>
      <c r="AB1101" s="63" t="s">
        <v>1169</v>
      </c>
      <c r="AC1101" s="336"/>
    </row>
    <row r="1102" spans="1:29" ht="60" customHeight="1">
      <c r="A1102" s="336">
        <v>1087</v>
      </c>
      <c r="B1102" s="349">
        <v>45260</v>
      </c>
      <c r="C1102" s="568">
        <v>0.35416666666666669</v>
      </c>
      <c r="D1102" s="63" t="s">
        <v>4330</v>
      </c>
      <c r="E1102" s="64" t="s">
        <v>4331</v>
      </c>
      <c r="F1102" s="336">
        <v>2</v>
      </c>
      <c r="G1102" s="336" t="s">
        <v>283</v>
      </c>
      <c r="H1102" s="383">
        <v>45278</v>
      </c>
      <c r="I1102" s="65" t="s">
        <v>1083</v>
      </c>
      <c r="J1102" s="349" t="s">
        <v>31</v>
      </c>
      <c r="K1102" s="336">
        <f>IFERROR(VLOOKUP(J1102,Jueces!$A$1:$B$11,2,FALSE),"")</f>
        <v>2</v>
      </c>
      <c r="L1102" s="63" t="s">
        <v>809</v>
      </c>
      <c r="M1102" s="63" t="s">
        <v>2201</v>
      </c>
      <c r="N1102" s="63" t="s">
        <v>4725</v>
      </c>
      <c r="O1102" s="78" t="str">
        <f ca="1">IF(H1102&lt;&gt;"",IF(H1102&lt;=TODAY(),"SI","NO"),"LIMBO")</f>
        <v>SI</v>
      </c>
      <c r="P1102" s="78" t="str">
        <f>IF($P$1=H1102,"DIASOL", "DIANOSOL")</f>
        <v>DIANOSOL</v>
      </c>
      <c r="Q1102" s="63" t="s">
        <v>151</v>
      </c>
      <c r="R1102" s="63" t="str">
        <f>VLOOKUP($Q1102,Resultados!$A$1:$B$49,2,FALSE)</f>
        <v>Prisión Preventiva</v>
      </c>
      <c r="S1102" s="63" t="s">
        <v>4724</v>
      </c>
      <c r="T1102" s="81" t="str">
        <f>IF(G1102=$J$1,"SI","NO")</f>
        <v>NO</v>
      </c>
      <c r="U1102" s="81"/>
      <c r="V1102" s="7" t="str">
        <f ca="1">IF(color_Celda(E1102)=12106214,"ROSA",IF(color_Celda(E1102)=65535,"AMARILLO",IF(color_Celda(E1102)=5296274,"VERDE",IF(color_Celda(E1102)=16777215,"BLANCO","NO SE"))))</f>
        <v>ROSA</v>
      </c>
      <c r="W1102" s="63" t="s">
        <v>1185</v>
      </c>
      <c r="X1102" s="63" t="s">
        <v>4726</v>
      </c>
      <c r="Y1102" s="336"/>
      <c r="Z1102" s="336"/>
      <c r="AA1102" s="118" t="s">
        <v>3378</v>
      </c>
      <c r="AB1102" s="63" t="s">
        <v>1171</v>
      </c>
      <c r="AC1102" s="336"/>
    </row>
    <row r="1103" spans="1:29" ht="60" customHeight="1">
      <c r="A1103" s="336">
        <v>1091</v>
      </c>
      <c r="B1103" s="349">
        <v>45260</v>
      </c>
      <c r="C1103" s="568">
        <v>0.33333333333333331</v>
      </c>
      <c r="D1103" s="63" t="s">
        <v>4335</v>
      </c>
      <c r="E1103" s="64" t="s">
        <v>4336</v>
      </c>
      <c r="F1103" s="336">
        <v>5</v>
      </c>
      <c r="G1103" s="63" t="s">
        <v>2766</v>
      </c>
      <c r="H1103" s="383">
        <v>45278</v>
      </c>
      <c r="I1103" s="65" t="s">
        <v>1083</v>
      </c>
      <c r="J1103" s="349" t="s">
        <v>35</v>
      </c>
      <c r="K1103" s="336">
        <f>IFERROR(VLOOKUP(J1103,Jueces!$A$1:$B$11,2,FALSE),"")</f>
        <v>3</v>
      </c>
      <c r="L1103" s="63" t="s">
        <v>812</v>
      </c>
      <c r="M1103" s="63" t="s">
        <v>2107</v>
      </c>
      <c r="N1103" s="63" t="s">
        <v>4735</v>
      </c>
      <c r="O1103" s="78" t="str">
        <f ca="1">IF(H1103&lt;&gt;"",IF(H1103&lt;=TODAY(),"SI","NO"),"LIMBO")</f>
        <v>SI</v>
      </c>
      <c r="P1103" s="78" t="str">
        <f>IF($P$1=H1103,"DIASOL", "DIANOSOL")</f>
        <v>DIANOSOL</v>
      </c>
      <c r="Q1103" s="63" t="s">
        <v>4745</v>
      </c>
      <c r="R1103" s="63" t="str">
        <f>VLOOKUP($Q1103,Resultados!$A$1:$B$49,2,FALSE)</f>
        <v>Medida de seguridad provisoria</v>
      </c>
      <c r="S1103" s="63" t="s">
        <v>1387</v>
      </c>
      <c r="T1103" s="81" t="str">
        <f>IF(G1103=$J$1,"SI","NO")</f>
        <v>NO</v>
      </c>
      <c r="U1103" s="81"/>
      <c r="V1103" s="7" t="str">
        <f ca="1">IF(color_Celda(E1103)=12106214,"ROSA",IF(color_Celda(E1103)=65535,"AMARILLO",IF(color_Celda(E1103)=5296274,"VERDE",IF(color_Celda(E1103)=16777215,"BLANCO","NO SE"))))</f>
        <v>ROSA</v>
      </c>
      <c r="W1103" s="63" t="s">
        <v>1570</v>
      </c>
      <c r="X1103" s="336"/>
      <c r="Y1103" s="336"/>
      <c r="Z1103" s="336"/>
      <c r="AA1103" s="118" t="s">
        <v>1167</v>
      </c>
      <c r="AB1103" s="63" t="s">
        <v>1170</v>
      </c>
      <c r="AC1103" s="336"/>
    </row>
    <row r="1104" spans="1:29" ht="60" customHeight="1">
      <c r="A1104" s="336">
        <v>1099</v>
      </c>
      <c r="B1104" s="65">
        <v>45264</v>
      </c>
      <c r="C1104" s="568">
        <v>0.41111111111111115</v>
      </c>
      <c r="D1104" s="63" t="s">
        <v>4395</v>
      </c>
      <c r="E1104" s="64" t="s">
        <v>4396</v>
      </c>
      <c r="F1104" s="336">
        <v>5</v>
      </c>
      <c r="G1104" s="336" t="s">
        <v>2752</v>
      </c>
      <c r="H1104" s="383">
        <v>45278</v>
      </c>
      <c r="I1104" s="65" t="s">
        <v>1206</v>
      </c>
      <c r="J1104" s="349" t="s">
        <v>1216</v>
      </c>
      <c r="K1104" s="336">
        <v>2</v>
      </c>
      <c r="L1104" s="63" t="s">
        <v>800</v>
      </c>
      <c r="M1104" s="63" t="s">
        <v>2107</v>
      </c>
      <c r="N1104" s="205" t="s">
        <v>4718</v>
      </c>
      <c r="O1104" s="78" t="str">
        <f ca="1">IF(H1104&lt;&gt;"",IF(H1104&lt;=TODAY(),"SI","NO"),"LIMBO")</f>
        <v>SI</v>
      </c>
      <c r="P1104" s="78" t="str">
        <f>IF($P$1=H1104,"DIASOL", "DIANOSOL")</f>
        <v>DIANOSOL</v>
      </c>
      <c r="Q1104" s="63" t="s">
        <v>907</v>
      </c>
      <c r="R1104" s="63" t="str">
        <f>VLOOKUP($Q1104,Resultados!$A$1:$B$49,2,FALSE)</f>
        <v>Suspensión de juicio a prueba</v>
      </c>
      <c r="S1104" s="63" t="s">
        <v>3539</v>
      </c>
      <c r="T1104" s="81" t="str">
        <f>IF(G1104=$J$1,"SI","NO")</f>
        <v>NO</v>
      </c>
      <c r="U1104" s="81"/>
      <c r="V1104" s="7" t="str">
        <f ca="1">IF(color_Celda(E1104)=12106214,"ROSA",IF(color_Celda(E1104)=65535,"AMARILLO",IF(color_Celda(E1104)=5296274,"VERDE",IF(color_Celda(E1104)=16777215,"BLANCO","NO SE"))))</f>
        <v>ROSA</v>
      </c>
      <c r="W1104" s="63" t="s">
        <v>3253</v>
      </c>
      <c r="X1104" s="63" t="s">
        <v>4719</v>
      </c>
      <c r="Y1104" s="336"/>
      <c r="Z1104" s="336"/>
      <c r="AA1104" s="118" t="s">
        <v>2869</v>
      </c>
      <c r="AB1104" s="63" t="s">
        <v>3258</v>
      </c>
      <c r="AC1104" s="336"/>
    </row>
    <row r="1105" spans="1:29" ht="60" customHeight="1">
      <c r="A1105" s="336">
        <v>1118</v>
      </c>
      <c r="B1105" s="349">
        <v>45265</v>
      </c>
      <c r="C1105" s="568">
        <v>0.46666666666666662</v>
      </c>
      <c r="D1105" s="63" t="s">
        <v>4444</v>
      </c>
      <c r="E1105" s="64" t="s">
        <v>4445</v>
      </c>
      <c r="F1105" s="336">
        <v>6</v>
      </c>
      <c r="G1105" s="336" t="s">
        <v>1434</v>
      </c>
      <c r="H1105" s="383">
        <v>45278</v>
      </c>
      <c r="I1105" s="65" t="s">
        <v>2011</v>
      </c>
      <c r="J1105" s="349" t="s">
        <v>78</v>
      </c>
      <c r="K1105" s="336">
        <f>IFERROR(VLOOKUP(J1105,Jueces!$A$1:$B$11,2,FALSE),"")</f>
        <v>8</v>
      </c>
      <c r="L1105" s="63" t="s">
        <v>809</v>
      </c>
      <c r="M1105" s="63" t="s">
        <v>2201</v>
      </c>
      <c r="N1105" s="63" t="s">
        <v>4716</v>
      </c>
      <c r="O1105" s="78" t="str">
        <f ca="1">IF(H1105&lt;&gt;"",IF(H1105&lt;=TODAY(),"SI","NO"),"LIMBO")</f>
        <v>SI</v>
      </c>
      <c r="P1105" s="78" t="str">
        <f>IF($P$1=H1105,"DIASOL", "DIANOSOL")</f>
        <v>DIANOSOL</v>
      </c>
      <c r="Q1105" s="63" t="s">
        <v>902</v>
      </c>
      <c r="R1105" s="63" t="str">
        <f>VLOOKUP($Q1105,Resultados!$A$1:$B$49,2,FALSE)</f>
        <v>Juicio Abreviado</v>
      </c>
      <c r="S1105" s="63" t="s">
        <v>2192</v>
      </c>
      <c r="T1105" s="81" t="str">
        <f>IF(G1105=$J$1,"SI","NO")</f>
        <v>NO</v>
      </c>
      <c r="U1105" s="81"/>
      <c r="V1105" s="7" t="str">
        <f ca="1">IF(color_Celda(E1105)=12106214,"ROSA",IF(color_Celda(E1105)=65535,"AMARILLO",IF(color_Celda(E1105)=5296274,"VERDE",IF(color_Celda(E1105)=16777215,"BLANCO","NO SE"))))</f>
        <v>ROSA</v>
      </c>
      <c r="W1105" s="63" t="s">
        <v>4715</v>
      </c>
      <c r="X1105" s="63" t="s">
        <v>4717</v>
      </c>
      <c r="Y1105" s="336"/>
      <c r="Z1105" s="336"/>
      <c r="AA1105" s="118" t="s">
        <v>3379</v>
      </c>
      <c r="AB1105" s="63" t="s">
        <v>1173</v>
      </c>
      <c r="AC1105" s="336"/>
    </row>
    <row r="1106" spans="1:29" ht="60" customHeight="1">
      <c r="A1106" s="336">
        <v>1108</v>
      </c>
      <c r="B1106" s="349">
        <v>45274</v>
      </c>
      <c r="C1106" s="70">
        <v>0.46388888888888885</v>
      </c>
      <c r="D1106" s="63" t="s">
        <v>4427</v>
      </c>
      <c r="E1106" s="64" t="s">
        <v>4428</v>
      </c>
      <c r="F1106" s="336">
        <v>5</v>
      </c>
      <c r="G1106" s="63" t="s">
        <v>29</v>
      </c>
      <c r="H1106" s="383">
        <v>45278</v>
      </c>
      <c r="I1106" s="65" t="s">
        <v>2011</v>
      </c>
      <c r="J1106" s="65" t="s">
        <v>33</v>
      </c>
      <c r="K1106" s="336">
        <f>IFERROR(VLOOKUP(J1106,Jueces!$A$1:$B$11,2,FALSE),"")</f>
        <v>4</v>
      </c>
      <c r="L1106" s="63" t="s">
        <v>582</v>
      </c>
      <c r="M1106" s="7" t="s">
        <v>2107</v>
      </c>
      <c r="N1106" s="63" t="s">
        <v>4737</v>
      </c>
      <c r="O1106" s="63" t="str">
        <f ca="1">IF(H1106&lt;&gt;"",IF(H1106&lt;=TODAY(),"SI","NO"),"LIMBO")</f>
        <v>SI</v>
      </c>
      <c r="P1106" s="63" t="str">
        <f>IF($P$1=H1106,"DIASOL", "DIANOSOL")</f>
        <v>DIANOSOL</v>
      </c>
      <c r="Q1106" s="63" t="s">
        <v>909</v>
      </c>
      <c r="R1106" s="63" t="str">
        <f>VLOOKUP($Q1106,Resultados!$A$1:$B$49,2,FALSE)</f>
        <v>Suspendida</v>
      </c>
      <c r="S1106" s="63"/>
      <c r="T1106" s="72" t="str">
        <f>IF(G1106=$J$1,"SI","NO")</f>
        <v>NO</v>
      </c>
      <c r="U1106" s="72"/>
      <c r="V1106" s="7" t="str">
        <f ca="1">IF(color_Celda(E1106)=12106214,"ROSA",IF(color_Celda(E1106)=65535,"AMARILLO",IF(color_Celda(E1106)=5296274,"VERDE",IF(color_Celda(E1106)=16777215,"BLANCO","NO SE"))))</f>
        <v>ROSA</v>
      </c>
      <c r="W1106" s="336"/>
      <c r="X1106" s="336"/>
      <c r="Y1106" s="336"/>
      <c r="Z1106" s="336"/>
      <c r="AA1106" s="336"/>
      <c r="AB1106" s="63" t="s">
        <v>1171</v>
      </c>
      <c r="AC1106" s="336"/>
    </row>
    <row r="1107" spans="1:29" ht="60" customHeight="1">
      <c r="A1107" s="336">
        <v>1017</v>
      </c>
      <c r="B1107" s="349">
        <v>45251</v>
      </c>
      <c r="C1107" s="568">
        <v>0.3666666666666667</v>
      </c>
      <c r="D1107" s="63" t="s">
        <v>4109</v>
      </c>
      <c r="E1107" s="64" t="s">
        <v>4110</v>
      </c>
      <c r="F1107" s="336">
        <v>4</v>
      </c>
      <c r="G1107" s="336" t="s">
        <v>1433</v>
      </c>
      <c r="H1107" s="383">
        <v>45279</v>
      </c>
      <c r="I1107" s="65" t="s">
        <v>73</v>
      </c>
      <c r="J1107" s="349" t="s">
        <v>31</v>
      </c>
      <c r="K1107" s="336">
        <f>IFERROR(VLOOKUP(J1107,Jueces!$A$1:$B$11,2,FALSE),"")</f>
        <v>2</v>
      </c>
      <c r="L1107" s="63" t="s">
        <v>2077</v>
      </c>
      <c r="M1107" s="365" t="s">
        <v>1956</v>
      </c>
      <c r="N1107" s="63" t="s">
        <v>621</v>
      </c>
      <c r="O1107" s="63" t="str">
        <f ca="1">IF(H1107&lt;&gt;"",IF(H1107&lt;=TODAY(),"SI","NO"),"LIMBO")</f>
        <v>SI</v>
      </c>
      <c r="P1107" s="63" t="str">
        <f>IF($P$1=H1107,"DIASOL", "DIANOSOL")</f>
        <v>DIANOSOL</v>
      </c>
      <c r="Q1107" s="63" t="s">
        <v>151</v>
      </c>
      <c r="R1107" s="63" t="str">
        <f>VLOOKUP($Q1107,Resultados!$A$1:$B$49,2,FALSE)</f>
        <v>Prisión Preventiva</v>
      </c>
      <c r="S1107" s="63" t="s">
        <v>1524</v>
      </c>
      <c r="T1107" s="72" t="str">
        <f>IF(G1107=$J$1,"SI","NO")</f>
        <v>NO</v>
      </c>
      <c r="U1107" s="72"/>
      <c r="V1107" s="7" t="str">
        <f ca="1">IF(color_Celda(E1107)=12106214,"ROSA",IF(color_Celda(E1107)=65535,"AMARILLO",IF(color_Celda(E1107)=5296274,"VERDE",IF(color_Celda(E1107)=16777215,"BLANCO","NO SE"))))</f>
        <v>ROSA</v>
      </c>
      <c r="W1107" s="63" t="s">
        <v>1387</v>
      </c>
      <c r="X1107" s="63" t="s">
        <v>4800</v>
      </c>
      <c r="Y1107" s="336"/>
      <c r="Z1107" s="72" t="s">
        <v>3368</v>
      </c>
      <c r="AA1107" s="118" t="s">
        <v>2828</v>
      </c>
      <c r="AB1107" s="72" t="s">
        <v>1170</v>
      </c>
      <c r="AC1107" s="336"/>
    </row>
    <row r="1108" spans="1:29" ht="60" customHeight="1">
      <c r="A1108" s="336">
        <v>1101</v>
      </c>
      <c r="B1108" s="349">
        <v>45264</v>
      </c>
      <c r="C1108" s="568">
        <v>0.38541666666666669</v>
      </c>
      <c r="D1108" s="63" t="s">
        <v>4399</v>
      </c>
      <c r="E1108" s="64" t="s">
        <v>4400</v>
      </c>
      <c r="F1108" s="336">
        <v>5</v>
      </c>
      <c r="G1108" s="63" t="s">
        <v>29</v>
      </c>
      <c r="H1108" s="383">
        <v>45279</v>
      </c>
      <c r="I1108" s="65" t="s">
        <v>73</v>
      </c>
      <c r="J1108" s="65" t="s">
        <v>78</v>
      </c>
      <c r="K1108" s="336">
        <f>IFERROR(VLOOKUP(J1108,Jueces!$A$1:$B$11,2,FALSE),"")</f>
        <v>8</v>
      </c>
      <c r="L1108" s="63" t="s">
        <v>812</v>
      </c>
      <c r="M1108" s="356" t="s">
        <v>4418</v>
      </c>
      <c r="N1108" s="63" t="s">
        <v>4801</v>
      </c>
      <c r="O1108" s="63" t="str">
        <f ca="1">IF(H1108&lt;&gt;"",IF(H1108&lt;=TODAY(),"SI","NO"),"LIMBO")</f>
        <v>SI</v>
      </c>
      <c r="P1108" s="63" t="str">
        <f>IF($P$1=H1108,"DIASOL", "DIANOSOL")</f>
        <v>DIANOSOL</v>
      </c>
      <c r="Q1108" s="63" t="s">
        <v>151</v>
      </c>
      <c r="R1108" s="63" t="str">
        <f>VLOOKUP($Q1108,Resultados!$A$1:$B$49,2,FALSE)</f>
        <v>Prisión Preventiva</v>
      </c>
      <c r="S1108" s="63" t="s">
        <v>1119</v>
      </c>
      <c r="T1108" s="72" t="str">
        <f>IF(G1108=$J$1,"SI","NO")</f>
        <v>NO</v>
      </c>
      <c r="U1108" s="72">
        <v>187680</v>
      </c>
      <c r="V1108" s="7" t="str">
        <f ca="1">IF(color_Celda(E1108)=12106214,"ROSA",IF(color_Celda(E1108)=65535,"AMARILLO",IF(color_Celda(E1108)=5296274,"VERDE",IF(color_Celda(E1108)=16777215,"BLANCO","NO SE"))))</f>
        <v>ROSA</v>
      </c>
      <c r="W1108" s="63" t="s">
        <v>1601</v>
      </c>
      <c r="X1108" s="63" t="s">
        <v>4382</v>
      </c>
      <c r="Y1108" s="336"/>
      <c r="Z1108" s="72" t="s">
        <v>748</v>
      </c>
      <c r="AA1108" s="118" t="s">
        <v>3378</v>
      </c>
      <c r="AB1108" s="72" t="s">
        <v>3258</v>
      </c>
      <c r="AC1108" s="336"/>
    </row>
    <row r="1109" spans="1:29" ht="60" customHeight="1">
      <c r="A1109" s="336">
        <v>1109</v>
      </c>
      <c r="B1109" s="349">
        <v>45264</v>
      </c>
      <c r="C1109" s="568">
        <v>0.4465277777777778</v>
      </c>
      <c r="D1109" s="63" t="s">
        <v>4429</v>
      </c>
      <c r="E1109" s="64" t="s">
        <v>4430</v>
      </c>
      <c r="F1109" s="336">
        <v>5</v>
      </c>
      <c r="G1109" s="63" t="s">
        <v>1434</v>
      </c>
      <c r="H1109" s="383">
        <v>45279</v>
      </c>
      <c r="I1109" s="65" t="s">
        <v>73</v>
      </c>
      <c r="J1109" s="349" t="s">
        <v>2925</v>
      </c>
      <c r="K1109" s="63" t="s">
        <v>1982</v>
      </c>
      <c r="L1109" s="63" t="s">
        <v>790</v>
      </c>
      <c r="M1109" s="63" t="s">
        <v>2107</v>
      </c>
      <c r="N1109" s="63" t="s">
        <v>4862</v>
      </c>
      <c r="O1109" s="63" t="str">
        <f ca="1">IF(H1109&lt;&gt;"",IF(H1109&lt;=TODAY(),"SI","NO"),"LIMBO")</f>
        <v>SI</v>
      </c>
      <c r="P1109" s="63" t="str">
        <f>IF($P$1=H1109,"DIASOL", "DIANOSOL")</f>
        <v>DIANOSOL</v>
      </c>
      <c r="Q1109" s="63" t="s">
        <v>910</v>
      </c>
      <c r="R1109" s="63" t="str">
        <f>VLOOKUP($Q1109,Resultados!$A$1:$B$49,2,FALSE)</f>
        <v>Suspendida</v>
      </c>
      <c r="S1109" s="63"/>
      <c r="T1109" s="72" t="str">
        <f>IF(G1109=$J$1,"SI","NO")</f>
        <v>NO</v>
      </c>
      <c r="U1109" s="72"/>
      <c r="V1109" s="7" t="str">
        <f ca="1">IF(color_Celda(E1109)=12106214,"ROSA",IF(color_Celda(E1109)=65535,"AMARILLO",IF(color_Celda(E1109)=5296274,"VERDE",IF(color_Celda(E1109)=16777215,"BLANCO","NO SE"))))</f>
        <v>ROSA</v>
      </c>
      <c r="W1109" s="336"/>
      <c r="X1109" s="63" t="s">
        <v>4863</v>
      </c>
      <c r="Y1109" s="336"/>
      <c r="Z1109" s="72" t="s">
        <v>743</v>
      </c>
      <c r="AA1109" s="118" t="s">
        <v>2869</v>
      </c>
      <c r="AB1109" s="72" t="s">
        <v>1171</v>
      </c>
      <c r="AC1109" s="336"/>
    </row>
    <row r="1110" spans="1:29" ht="60" customHeight="1">
      <c r="A1110" s="336">
        <v>1110</v>
      </c>
      <c r="B1110" s="349">
        <v>45264</v>
      </c>
      <c r="C1110" s="568">
        <v>0.52569444444444446</v>
      </c>
      <c r="D1110" s="63" t="s">
        <v>4431</v>
      </c>
      <c r="E1110" s="64" t="s">
        <v>4432</v>
      </c>
      <c r="F1110" s="336">
        <v>3</v>
      </c>
      <c r="G1110" s="336" t="s">
        <v>568</v>
      </c>
      <c r="H1110" s="383">
        <v>45279</v>
      </c>
      <c r="I1110" s="65" t="s">
        <v>73</v>
      </c>
      <c r="J1110" s="349" t="s">
        <v>35</v>
      </c>
      <c r="K1110" s="336">
        <f>IFERROR(VLOOKUP(J1110,Jueces!$A$1:$B$11,2,FALSE),"")</f>
        <v>3</v>
      </c>
      <c r="L1110" s="63" t="s">
        <v>2075</v>
      </c>
      <c r="M1110" s="63" t="s">
        <v>694</v>
      </c>
      <c r="N1110" s="63" t="s">
        <v>621</v>
      </c>
      <c r="O1110" s="63" t="str">
        <f ca="1">IF(H1110&lt;&gt;"",IF(H1110&lt;=TODAY(),"SI","NO"),"LIMBO")</f>
        <v>SI</v>
      </c>
      <c r="P1110" s="63" t="str">
        <f>IF($P$1=H1110,"DIASOL", "DIANOSOL")</f>
        <v>DIANOSOL</v>
      </c>
      <c r="Q1110" s="63" t="s">
        <v>151</v>
      </c>
      <c r="R1110" s="63" t="str">
        <f>VLOOKUP($Q1110,Resultados!$A$1:$B$49,2,FALSE)</f>
        <v>Prisión Preventiva</v>
      </c>
      <c r="S1110" s="63" t="s">
        <v>1012</v>
      </c>
      <c r="T1110" s="72" t="str">
        <f>IF(G1110=$J$1,"SI","NO")</f>
        <v>NO</v>
      </c>
      <c r="U1110" s="72"/>
      <c r="V1110" s="7" t="str">
        <f ca="1">IF(color_Celda(E1110)=12106214,"ROSA",IF(color_Celda(E1110)=65535,"AMARILLO",IF(color_Celda(E1110)=5296274,"VERDE",IF(color_Celda(E1110)=16777215,"BLANCO","NO SE"))))</f>
        <v>ROSA</v>
      </c>
      <c r="W1110" s="63" t="s">
        <v>1383</v>
      </c>
      <c r="X1110" s="63" t="s">
        <v>4799</v>
      </c>
      <c r="Y1110" s="336"/>
      <c r="Z1110" s="72" t="s">
        <v>1038</v>
      </c>
      <c r="AA1110" s="118" t="s">
        <v>3379</v>
      </c>
      <c r="AB1110" s="72" t="s">
        <v>1173</v>
      </c>
      <c r="AC1110" s="336"/>
    </row>
    <row r="1111" spans="1:29" ht="60" customHeight="1">
      <c r="A1111" s="336">
        <v>1116</v>
      </c>
      <c r="B1111" s="349">
        <v>45265</v>
      </c>
      <c r="C1111" s="70">
        <v>0.48680555555555555</v>
      </c>
      <c r="D1111" s="63" t="s">
        <v>4442</v>
      </c>
      <c r="E1111" s="64" t="s">
        <v>4443</v>
      </c>
      <c r="F1111" s="336">
        <v>6</v>
      </c>
      <c r="G1111" s="336" t="s">
        <v>3791</v>
      </c>
      <c r="H1111" s="383">
        <v>45279</v>
      </c>
      <c r="I1111" s="65" t="s">
        <v>73</v>
      </c>
      <c r="J1111" s="349" t="s">
        <v>33</v>
      </c>
      <c r="K1111" s="336">
        <f>IFERROR(VLOOKUP(J1111,Jueces!$A$1:$B$11,2,FALSE),"")</f>
        <v>4</v>
      </c>
      <c r="L1111" s="63" t="s">
        <v>809</v>
      </c>
      <c r="M1111" s="63" t="s">
        <v>2201</v>
      </c>
      <c r="N1111" s="63" t="s">
        <v>4874</v>
      </c>
      <c r="O1111" s="78" t="str">
        <f ca="1">IF(H1111&lt;&gt;"",IF(H1111&lt;=TODAY(),"SI","NO"),"LIMBO")</f>
        <v>SI</v>
      </c>
      <c r="P1111" s="78" t="str">
        <f>IF($P$1=H1111,"DIASOL", "DIANOSOL")</f>
        <v>DIANOSOL</v>
      </c>
      <c r="Q1111" s="63" t="s">
        <v>902</v>
      </c>
      <c r="R1111" s="63" t="str">
        <f>VLOOKUP($Q1111,Resultados!$A$1:$B$49,2,FALSE)</f>
        <v>Juicio Abreviado</v>
      </c>
      <c r="S1111" s="63" t="s">
        <v>1130</v>
      </c>
      <c r="T1111" s="81" t="str">
        <f>IF(G1111=$J$1,"SI","NO")</f>
        <v>NO</v>
      </c>
      <c r="U1111" s="81"/>
      <c r="V1111" s="7" t="str">
        <f ca="1">IF(color_Celda(E1111)=12106214,"ROSA",IF(color_Celda(E1111)=65535,"AMARILLO",IF(color_Celda(E1111)=5296274,"VERDE",IF(color_Celda(E1111)=16777215,"BLANCO","NO SE"))))</f>
        <v>ROSA</v>
      </c>
      <c r="W1111" s="63" t="s">
        <v>1558</v>
      </c>
      <c r="X1111" s="63" t="s">
        <v>4875</v>
      </c>
      <c r="Y1111" s="336"/>
      <c r="Z1111" s="72" t="s">
        <v>770</v>
      </c>
      <c r="AA1111" s="118" t="s">
        <v>1167</v>
      </c>
      <c r="AB1111" s="72" t="s">
        <v>1170</v>
      </c>
      <c r="AC1111" s="336"/>
    </row>
    <row r="1112" spans="1:29" ht="60" customHeight="1">
      <c r="A1112" s="336">
        <v>1093</v>
      </c>
      <c r="B1112" s="349">
        <v>45274</v>
      </c>
      <c r="C1112" s="568">
        <v>0.37152777777777773</v>
      </c>
      <c r="D1112" s="63" t="s">
        <v>3954</v>
      </c>
      <c r="E1112" s="355" t="s">
        <v>3973</v>
      </c>
      <c r="F1112" s="336">
        <v>3</v>
      </c>
      <c r="G1112" s="336" t="s">
        <v>2766</v>
      </c>
      <c r="H1112" s="383">
        <v>45279</v>
      </c>
      <c r="I1112" s="65" t="s">
        <v>73</v>
      </c>
      <c r="J1112" s="349" t="s">
        <v>1216</v>
      </c>
      <c r="K1112" s="336">
        <f>IFERROR(VLOOKUP(J1112,Jueces!$A$1:$B$11,2,FALSE),"")</f>
        <v>1</v>
      </c>
      <c r="L1112" s="63" t="s">
        <v>811</v>
      </c>
      <c r="M1112" s="63" t="s">
        <v>695</v>
      </c>
      <c r="N1112" s="63" t="s">
        <v>2569</v>
      </c>
      <c r="O1112" s="78" t="str">
        <f ca="1">IF(H1112&lt;&gt;"",IF(H1112&lt;=TODAY(),"SI","NO"),"LIMBO")</f>
        <v>SI</v>
      </c>
      <c r="P1112" s="78" t="str">
        <f>IF($P$1=H1112,"DIASOL", "DIANOSOL")</f>
        <v>DIANOSOL</v>
      </c>
      <c r="Q1112" s="63" t="s">
        <v>151</v>
      </c>
      <c r="R1112" s="63" t="str">
        <f>VLOOKUP($Q1112,Resultados!$A$1:$B$49,2,FALSE)</f>
        <v>Prisión Preventiva</v>
      </c>
      <c r="S1112" s="63" t="s">
        <v>1126</v>
      </c>
      <c r="T1112" s="81" t="str">
        <f>IF(G1112=$J$1,"SI","NO")</f>
        <v>NO</v>
      </c>
      <c r="U1112" s="81"/>
      <c r="V1112" s="7" t="str">
        <f ca="1">IF(color_Celda(E1112)=12106214,"ROSA",IF(color_Celda(E1112)=65535,"AMARILLO",IF(color_Celda(E1112)=5296274,"VERDE",IF(color_Celda(E1112)=16777215,"BLANCO","NO SE"))))</f>
        <v>ROSA</v>
      </c>
      <c r="W1112" s="63" t="s">
        <v>1185</v>
      </c>
      <c r="X1112" s="63" t="s">
        <v>4872</v>
      </c>
      <c r="Y1112" s="336"/>
      <c r="Z1112" s="72" t="s">
        <v>1039</v>
      </c>
      <c r="AA1112" s="118" t="s">
        <v>3379</v>
      </c>
      <c r="AB1112" s="72" t="s">
        <v>1169</v>
      </c>
      <c r="AC1112" s="336"/>
    </row>
    <row r="1113" spans="1:29" ht="60" customHeight="1">
      <c r="A1113" s="336">
        <v>1075</v>
      </c>
      <c r="B1113" s="349">
        <v>45259</v>
      </c>
      <c r="C1113" s="568">
        <v>0.33333333333333331</v>
      </c>
      <c r="D1113" s="63" t="s">
        <v>4311</v>
      </c>
      <c r="E1113" s="64" t="s">
        <v>4419</v>
      </c>
      <c r="F1113" s="336">
        <v>4</v>
      </c>
      <c r="G1113" s="336" t="s">
        <v>3324</v>
      </c>
      <c r="H1113" s="383">
        <v>45279</v>
      </c>
      <c r="I1113" s="65" t="s">
        <v>1083</v>
      </c>
      <c r="J1113" s="349" t="s">
        <v>1216</v>
      </c>
      <c r="K1113" s="336">
        <f>IFERROR(VLOOKUP(J1113,Jueces!$A$1:$B$11,2,FALSE),"")</f>
        <v>1</v>
      </c>
      <c r="L1113" s="63" t="s">
        <v>811</v>
      </c>
      <c r="M1113" s="63" t="s">
        <v>711</v>
      </c>
      <c r="N1113" s="63" t="s">
        <v>4873</v>
      </c>
      <c r="O1113" s="78" t="str">
        <f ca="1">IF(H1113&lt;&gt;"",IF(H1113&lt;=TODAY(),"SI","NO"),"LIMBO")</f>
        <v>SI</v>
      </c>
      <c r="P1113" s="78" t="str">
        <f>IF($P$1=H1113,"DIASOL", "DIANOSOL")</f>
        <v>DIANOSOL</v>
      </c>
      <c r="Q1113" s="63" t="s">
        <v>902</v>
      </c>
      <c r="R1113" s="63" t="str">
        <f>VLOOKUP($Q1113,Resultados!$A$1:$B$49,2,FALSE)</f>
        <v>Juicio Abreviado</v>
      </c>
      <c r="S1113" s="63" t="s">
        <v>1774</v>
      </c>
      <c r="T1113" s="81" t="str">
        <f>IF(G1113=$J$1,"SI","NO")</f>
        <v>NO</v>
      </c>
      <c r="U1113" s="81"/>
      <c r="V1113" s="7" t="str">
        <f ca="1">IF(color_Celda(E1113)=12106214,"ROSA",IF(color_Celda(E1113)=65535,"AMARILLO",IF(color_Celda(E1113)=5296274,"VERDE",IF(color_Celda(E1113)=16777215,"BLANCO","NO SE"))))</f>
        <v>ROSA</v>
      </c>
      <c r="W1113" s="63" t="s">
        <v>1396</v>
      </c>
      <c r="X1113" s="63" t="s">
        <v>4691</v>
      </c>
      <c r="Y1113" s="336"/>
      <c r="Z1113" s="72" t="s">
        <v>1039</v>
      </c>
      <c r="AA1113" s="118" t="s">
        <v>3378</v>
      </c>
      <c r="AB1113" s="72" t="s">
        <v>1169</v>
      </c>
      <c r="AC1113" s="336"/>
    </row>
    <row r="1114" spans="1:29" ht="60" customHeight="1">
      <c r="A1114" s="336">
        <v>1113</v>
      </c>
      <c r="B1114" s="349">
        <v>45264</v>
      </c>
      <c r="C1114" s="568">
        <v>0.53888888888888886</v>
      </c>
      <c r="D1114" s="63" t="s">
        <v>4433</v>
      </c>
      <c r="E1114" s="64" t="s">
        <v>4434</v>
      </c>
      <c r="F1114" s="336">
        <v>3</v>
      </c>
      <c r="G1114" s="63" t="s">
        <v>2752</v>
      </c>
      <c r="H1114" s="383">
        <v>45279</v>
      </c>
      <c r="I1114" s="65" t="s">
        <v>1083</v>
      </c>
      <c r="J1114" s="349" t="s">
        <v>1723</v>
      </c>
      <c r="K1114" s="63" t="s">
        <v>1982</v>
      </c>
      <c r="L1114" s="63" t="s">
        <v>812</v>
      </c>
      <c r="M1114" s="63" t="s">
        <v>3755</v>
      </c>
      <c r="N1114" s="205" t="s">
        <v>4878</v>
      </c>
      <c r="O1114" s="78" t="str">
        <f ca="1">IF(H1114&lt;&gt;"",IF(H1114&lt;=TODAY(),"SI","NO"),"LIMBO")</f>
        <v>SI</v>
      </c>
      <c r="P1114" s="78" t="str">
        <f>IF($P$1=H1114,"DIASOL", "DIANOSOL")</f>
        <v>DIANOSOL</v>
      </c>
      <c r="Q1114" s="63" t="s">
        <v>151</v>
      </c>
      <c r="R1114" s="63" t="s">
        <v>151</v>
      </c>
      <c r="S1114" s="63" t="s">
        <v>2935</v>
      </c>
      <c r="T1114" s="81" t="str">
        <f>IF(G1114=$J$1,"SI","NO")</f>
        <v>NO</v>
      </c>
      <c r="U1114" s="81"/>
      <c r="V1114" s="7" t="str">
        <f ca="1">IF(color_Celda(E1114)=12106214,"ROSA",IF(color_Celda(E1114)=65535,"AMARILLO",IF(color_Celda(E1114)=5296274,"VERDE",IF(color_Celda(E1114)=16777215,"BLANCO","NO SE"))))</f>
        <v>ROSA</v>
      </c>
      <c r="W1114" s="63" t="s">
        <v>1457</v>
      </c>
      <c r="X1114" s="63" t="s">
        <v>4875</v>
      </c>
      <c r="Y1114" s="336"/>
      <c r="Z1114" s="72" t="s">
        <v>4738</v>
      </c>
      <c r="AA1114" s="118" t="s">
        <v>3378</v>
      </c>
      <c r="AB1114" s="72" t="s">
        <v>3258</v>
      </c>
      <c r="AC1114" s="336"/>
    </row>
    <row r="1115" spans="1:29" ht="60" customHeight="1">
      <c r="A1115" s="336">
        <v>1124</v>
      </c>
      <c r="B1115" s="349">
        <v>45266</v>
      </c>
      <c r="C1115" s="568">
        <v>0.42986111111111108</v>
      </c>
      <c r="D1115" s="63" t="s">
        <v>4495</v>
      </c>
      <c r="E1115" s="64" t="s">
        <v>4496</v>
      </c>
      <c r="F1115" s="336">
        <v>6</v>
      </c>
      <c r="G1115" s="63" t="s">
        <v>2815</v>
      </c>
      <c r="H1115" s="383">
        <v>45279</v>
      </c>
      <c r="I1115" s="65" t="s">
        <v>1083</v>
      </c>
      <c r="J1115" s="65" t="s">
        <v>78</v>
      </c>
      <c r="K1115" s="336">
        <f>IFERROR(VLOOKUP(J1115,Jueces!$A$1:$B$11,2,FALSE),"")</f>
        <v>8</v>
      </c>
      <c r="L1115" s="63" t="s">
        <v>807</v>
      </c>
      <c r="M1115" s="7" t="s">
        <v>2201</v>
      </c>
      <c r="N1115" s="63" t="s">
        <v>577</v>
      </c>
      <c r="O1115" s="78" t="str">
        <f ca="1">IF(H1115&lt;&gt;"",IF(H1115&lt;=TODAY(),"SI","NO"),"LIMBO")</f>
        <v>SI</v>
      </c>
      <c r="P1115" s="78" t="str">
        <f>IF($P$1=H1115,"DIASOL", "DIANOSOL")</f>
        <v>DIANOSOL</v>
      </c>
      <c r="Q1115" s="63" t="s">
        <v>151</v>
      </c>
      <c r="R1115" s="63" t="str">
        <f>VLOOKUP($Q1115,Resultados!$A$1:$B$49,2,FALSE)</f>
        <v>Prisión Preventiva</v>
      </c>
      <c r="S1115" s="63" t="s">
        <v>1502</v>
      </c>
      <c r="T1115" s="81" t="str">
        <f>IF(G1115=$J$1,"SI","NO")</f>
        <v>NO</v>
      </c>
      <c r="U1115" s="81"/>
      <c r="V1115" s="7" t="str">
        <f ca="1">IF(color_Celda(E1115)=12106214,"ROSA",IF(color_Celda(E1115)=65535,"AMARILLO",IF(color_Celda(E1115)=5296274,"VERDE",IF(color_Celda(E1115)=16777215,"BLANCO","NO SE"))))</f>
        <v>ROSA</v>
      </c>
      <c r="W1115" s="63" t="s">
        <v>1793</v>
      </c>
      <c r="X1115" s="63" t="s">
        <v>4673</v>
      </c>
      <c r="Y1115" s="336"/>
      <c r="Z1115" s="72" t="s">
        <v>748</v>
      </c>
      <c r="AA1115" s="72" t="s">
        <v>2828</v>
      </c>
      <c r="AB1115" s="72" t="s">
        <v>1171</v>
      </c>
      <c r="AC1115" s="336"/>
    </row>
    <row r="1116" spans="1:29" ht="60" customHeight="1">
      <c r="A1116" s="336">
        <v>1129</v>
      </c>
      <c r="B1116" s="349">
        <v>45267</v>
      </c>
      <c r="C1116" s="568">
        <v>0.33333333333333331</v>
      </c>
      <c r="D1116" s="63" t="s">
        <v>4507</v>
      </c>
      <c r="E1116" s="64" t="s">
        <v>4589</v>
      </c>
      <c r="F1116" s="336">
        <v>5</v>
      </c>
      <c r="G1116" s="63" t="s">
        <v>3323</v>
      </c>
      <c r="H1116" s="383">
        <v>45279</v>
      </c>
      <c r="I1116" s="65" t="s">
        <v>1083</v>
      </c>
      <c r="J1116" s="65" t="s">
        <v>33</v>
      </c>
      <c r="K1116" s="336">
        <v>4</v>
      </c>
      <c r="L1116" s="63" t="s">
        <v>791</v>
      </c>
      <c r="M1116" s="63" t="s">
        <v>2107</v>
      </c>
      <c r="N1116" s="63" t="s">
        <v>4876</v>
      </c>
      <c r="O1116" s="78" t="str">
        <f ca="1">IF(H1116&lt;&gt;"",IF(H1116&lt;=TODAY(),"SI","NO"),"LIMBO")</f>
        <v>SI</v>
      </c>
      <c r="P1116" s="78" t="str">
        <f>IF($P$1=H1116,"DIASOL", "DIANOSOL")</f>
        <v>DIANOSOL</v>
      </c>
      <c r="Q1116" s="63" t="s">
        <v>902</v>
      </c>
      <c r="R1116" s="63" t="s">
        <v>100</v>
      </c>
      <c r="S1116" s="63" t="s">
        <v>1570</v>
      </c>
      <c r="T1116" s="81" t="str">
        <f>IF(G1116=$J$1,"SI","NO")</f>
        <v>NO</v>
      </c>
      <c r="U1116" s="81"/>
      <c r="V1116" s="7" t="str">
        <f ca="1">IF(color_Celda(E1116)=12106214,"ROSA",IF(color_Celda(E1116)=65535,"AMARILLO",IF(color_Celda(E1116)=5296274,"VERDE",IF(color_Celda(E1116)=16777215,"BLANCO","NO SE"))))</f>
        <v>ROSA</v>
      </c>
      <c r="W1116" s="63" t="s">
        <v>1007</v>
      </c>
      <c r="X1116" s="63" t="s">
        <v>4877</v>
      </c>
      <c r="Y1116" s="336"/>
      <c r="Z1116" s="72" t="s">
        <v>770</v>
      </c>
      <c r="AA1116" s="118" t="s">
        <v>2828</v>
      </c>
      <c r="AB1116" s="72" t="s">
        <v>1173</v>
      </c>
      <c r="AC1116" s="336"/>
    </row>
    <row r="1117" spans="1:29" ht="60" customHeight="1">
      <c r="A1117" s="336">
        <v>1160</v>
      </c>
      <c r="B1117" s="349">
        <v>45253</v>
      </c>
      <c r="C1117" s="568">
        <v>0.52152777777777781</v>
      </c>
      <c r="D1117" s="336" t="s">
        <v>4215</v>
      </c>
      <c r="E1117" s="355" t="s">
        <v>4216</v>
      </c>
      <c r="F1117" s="336">
        <v>4</v>
      </c>
      <c r="G1117" s="336" t="s">
        <v>1434</v>
      </c>
      <c r="H1117" s="383">
        <v>45280</v>
      </c>
      <c r="I1117" s="65" t="s">
        <v>1083</v>
      </c>
      <c r="J1117" s="349" t="s">
        <v>2925</v>
      </c>
      <c r="K1117" s="63" t="s">
        <v>1321</v>
      </c>
      <c r="L1117" s="63" t="s">
        <v>569</v>
      </c>
      <c r="M1117" s="63" t="s">
        <v>4116</v>
      </c>
      <c r="N1117" s="63" t="s">
        <v>4879</v>
      </c>
      <c r="O1117" s="78" t="str">
        <f ca="1">IF(H1117&lt;&gt;"",IF(H1117&lt;=TODAY(),"SI","NO"),"LIMBO")</f>
        <v>SI</v>
      </c>
      <c r="P1117" s="78" t="str">
        <f>IF($P$1=H1117,"DIASOL", "DIANOSOL")</f>
        <v>DIANOSOL</v>
      </c>
      <c r="Q1117" s="63" t="s">
        <v>902</v>
      </c>
      <c r="R1117" s="63" t="s">
        <v>100</v>
      </c>
      <c r="S1117" s="63" t="s">
        <v>1033</v>
      </c>
      <c r="T1117" s="81" t="str">
        <f>IF(G1117=$J$1,"SI","NO")</f>
        <v>NO</v>
      </c>
      <c r="U1117" s="81"/>
      <c r="V1117" s="7" t="str">
        <f ca="1">IF(color_Celda(E1117)=12106214,"ROSA",IF(color_Celda(E1117)=65535,"AMARILLO",IF(color_Celda(E1117)=5296274,"VERDE",IF(color_Celda(E1117)=16777215,"BLANCO","NO SE"))))</f>
        <v>ROSA</v>
      </c>
      <c r="W1117" s="63" t="s">
        <v>3101</v>
      </c>
      <c r="X1117" s="63" t="s">
        <v>4872</v>
      </c>
      <c r="Y1117" s="336"/>
      <c r="Z1117" s="63" t="s">
        <v>748</v>
      </c>
      <c r="AA1117" s="118"/>
      <c r="AB1117" s="63" t="s">
        <v>1173</v>
      </c>
      <c r="AC1117" s="336"/>
    </row>
    <row r="1118" spans="1:29" ht="60" customHeight="1">
      <c r="A1118" s="336">
        <v>1115</v>
      </c>
      <c r="B1118" s="349">
        <v>45265</v>
      </c>
      <c r="C1118" s="568">
        <v>0.33333333333333331</v>
      </c>
      <c r="D1118" s="325" t="s">
        <v>4440</v>
      </c>
      <c r="E1118" s="64" t="s">
        <v>4441</v>
      </c>
      <c r="F1118" s="336">
        <v>1</v>
      </c>
      <c r="G1118" s="63" t="s">
        <v>3324</v>
      </c>
      <c r="H1118" s="383">
        <v>45280</v>
      </c>
      <c r="I1118" s="65" t="s">
        <v>1083</v>
      </c>
      <c r="J1118" s="65" t="s">
        <v>31</v>
      </c>
      <c r="K1118" s="336">
        <f>IFERROR(VLOOKUP(J1118,Jueces!$A$1:$B$11,2,FALSE),"")</f>
        <v>2</v>
      </c>
      <c r="L1118" s="63" t="s">
        <v>569</v>
      </c>
      <c r="M1118" s="356" t="s">
        <v>4512</v>
      </c>
      <c r="N1118" s="63" t="s">
        <v>4882</v>
      </c>
      <c r="O1118" s="78" t="str">
        <f ca="1">IF(H1118&lt;&gt;"",IF(H1118&lt;=TODAY(),"SI","NO"),"LIMBO")</f>
        <v>SI</v>
      </c>
      <c r="P1118" s="78" t="str">
        <f>IF($P$1=H1118,"DIASOL", "DIANOSOL")</f>
        <v>DIANOSOL</v>
      </c>
      <c r="Q1118" s="63" t="s">
        <v>903</v>
      </c>
      <c r="R1118" s="63" t="s">
        <v>100</v>
      </c>
      <c r="S1118" s="63" t="s">
        <v>3244</v>
      </c>
      <c r="T1118" s="81" t="str">
        <f>IF(G1118=$J$1,"SI","NO")</f>
        <v>NO</v>
      </c>
      <c r="U1118" s="81"/>
      <c r="V1118" s="7" t="str">
        <f ca="1">IF(color_Celda(E1118)=12106214,"ROSA",IF(color_Celda(E1118)=65535,"AMARILLO",IF(color_Celda(E1118)=5296274,"VERDE",IF(color_Celda(E1118)=16777215,"BLANCO","NO SE"))))</f>
        <v>ROSA</v>
      </c>
      <c r="W1118" s="63" t="s">
        <v>3629</v>
      </c>
      <c r="X1118" s="63" t="s">
        <v>4691</v>
      </c>
      <c r="Y1118" s="336"/>
      <c r="Z1118" s="63" t="s">
        <v>3368</v>
      </c>
      <c r="AA1118" s="118"/>
      <c r="AB1118" s="63" t="s">
        <v>1169</v>
      </c>
      <c r="AC1118" s="336" t="s">
        <v>1792</v>
      </c>
    </row>
    <row r="1119" spans="1:29" ht="60" customHeight="1">
      <c r="A1119" s="336">
        <v>1048</v>
      </c>
      <c r="B1119" s="349">
        <v>45254</v>
      </c>
      <c r="C1119" s="568">
        <v>0.4291666666666667</v>
      </c>
      <c r="D1119" s="63" t="s">
        <v>4212</v>
      </c>
      <c r="E1119" s="64" t="s">
        <v>4424</v>
      </c>
      <c r="F1119" s="336">
        <v>4</v>
      </c>
      <c r="G1119" s="63" t="s">
        <v>3791</v>
      </c>
      <c r="H1119" s="383">
        <v>45280</v>
      </c>
      <c r="I1119" s="65" t="s">
        <v>1206</v>
      </c>
      <c r="J1119" s="349" t="s">
        <v>1216</v>
      </c>
      <c r="K1119" s="63" t="s">
        <v>1916</v>
      </c>
      <c r="L1119" s="63" t="s">
        <v>808</v>
      </c>
      <c r="M1119" s="63" t="s">
        <v>2201</v>
      </c>
      <c r="N1119" s="63" t="s">
        <v>4880</v>
      </c>
      <c r="O1119" s="78" t="str">
        <f ca="1">IF(H1119&lt;&gt;"",IF(H1119&lt;=TODAY(),"SI","NO"),"LIMBO")</f>
        <v>SI</v>
      </c>
      <c r="P1119" s="78" t="str">
        <f>IF($P$1=H1119,"DIASOL", "DIANOSOL")</f>
        <v>DIANOSOL</v>
      </c>
      <c r="Q1119" s="63" t="s">
        <v>897</v>
      </c>
      <c r="R1119" s="63" t="s">
        <v>900</v>
      </c>
      <c r="S1119" s="63" t="s">
        <v>2882</v>
      </c>
      <c r="T1119" s="81" t="str">
        <f>IF(G1119=$J$1,"SI","NO")</f>
        <v>NO</v>
      </c>
      <c r="U1119" s="81"/>
      <c r="V1119" s="7" t="str">
        <f ca="1">IF(color_Celda(E1119)=12106214,"ROSA",IF(color_Celda(E1119)=65535,"AMARILLO",IF(color_Celda(E1119)=5296274,"VERDE",IF(color_Celda(E1119)=16777215,"BLANCO","NO SE"))))</f>
        <v>ROSA</v>
      </c>
      <c r="W1119" s="63" t="s">
        <v>3629</v>
      </c>
      <c r="X1119" s="63" t="s">
        <v>4881</v>
      </c>
      <c r="Y1119" s="336"/>
      <c r="Z1119" s="63" t="s">
        <v>1038</v>
      </c>
      <c r="AA1119" s="118" t="s">
        <v>3379</v>
      </c>
      <c r="AB1119" s="63" t="s">
        <v>1170</v>
      </c>
      <c r="AC1119" s="336"/>
    </row>
    <row r="1120" spans="1:29" ht="60" customHeight="1">
      <c r="A1120" s="336">
        <v>1120</v>
      </c>
      <c r="B1120" s="349">
        <v>45265</v>
      </c>
      <c r="C1120" s="63" t="s">
        <v>4446</v>
      </c>
      <c r="D1120" s="63" t="s">
        <v>4447</v>
      </c>
      <c r="E1120" s="64" t="s">
        <v>4448</v>
      </c>
      <c r="F1120" s="336">
        <v>6</v>
      </c>
      <c r="G1120" s="63" t="s">
        <v>1433</v>
      </c>
      <c r="H1120" s="383">
        <v>45280</v>
      </c>
      <c r="I1120" s="65" t="s">
        <v>1206</v>
      </c>
      <c r="J1120" s="349" t="s">
        <v>78</v>
      </c>
      <c r="K1120" s="336">
        <f>IFERROR(VLOOKUP(J1120,Jueces!$A$1:$B$11,2,FALSE),"")</f>
        <v>8</v>
      </c>
      <c r="L1120" s="63" t="s">
        <v>811</v>
      </c>
      <c r="M1120" s="63" t="s">
        <v>1984</v>
      </c>
      <c r="N1120" s="63" t="s">
        <v>2550</v>
      </c>
      <c r="O1120" s="78" t="str">
        <f ca="1">IF(H1120&lt;&gt;"",IF(H1120&lt;=TODAY(),"SI","NO"),"LIMBO")</f>
        <v>SI</v>
      </c>
      <c r="P1120" s="78" t="str">
        <f>IF($P$1=H1120,"DIASOL", "DIANOSOL")</f>
        <v>DIANOSOL</v>
      </c>
      <c r="Q1120" s="63" t="s">
        <v>897</v>
      </c>
      <c r="R1120" s="63" t="str">
        <f>VLOOKUP($Q1120,Resultados!$A$1:$B$49,2,FALSE)</f>
        <v>Libertad</v>
      </c>
      <c r="S1120" s="63" t="s">
        <v>1332</v>
      </c>
      <c r="T1120" s="81" t="str">
        <f>IF(G1120=$J$1,"SI","NO")</f>
        <v>NO</v>
      </c>
      <c r="U1120" s="81"/>
      <c r="V1120" s="7" t="str">
        <f ca="1">IF(color_Celda(E1120)=12106214,"ROSA",IF(color_Celda(E1120)=65535,"AMARILLO",IF(color_Celda(E1120)=5296274,"VERDE",IF(color_Celda(E1120)=16777215,"BLANCO","NO SE"))))</f>
        <v>ROSA</v>
      </c>
      <c r="W1120" s="63" t="s">
        <v>1272</v>
      </c>
      <c r="X1120" s="63" t="s">
        <v>4644</v>
      </c>
      <c r="Y1120" s="336"/>
      <c r="Z1120" s="63" t="s">
        <v>770</v>
      </c>
      <c r="AA1120" s="118" t="s">
        <v>1167</v>
      </c>
      <c r="AB1120" s="63" t="s">
        <v>3258</v>
      </c>
      <c r="AC1120" s="336"/>
    </row>
    <row r="1121" spans="1:29" ht="60" customHeight="1">
      <c r="A1121" s="336">
        <v>1159</v>
      </c>
      <c r="B1121" s="349">
        <v>45275</v>
      </c>
      <c r="C1121" s="70">
        <v>0.33333333333333331</v>
      </c>
      <c r="D1121" s="336" t="s">
        <v>4312</v>
      </c>
      <c r="E1121" s="355" t="s">
        <v>4313</v>
      </c>
      <c r="F1121" s="336">
        <v>5</v>
      </c>
      <c r="G1121" s="63" t="s">
        <v>29</v>
      </c>
      <c r="H1121" s="383">
        <v>45280</v>
      </c>
      <c r="I1121" s="65" t="s">
        <v>1206</v>
      </c>
      <c r="J1121" s="65" t="s">
        <v>35</v>
      </c>
      <c r="K1121" s="63" t="s">
        <v>4604</v>
      </c>
      <c r="L1121" s="63" t="s">
        <v>812</v>
      </c>
      <c r="M1121" s="63" t="s">
        <v>1956</v>
      </c>
      <c r="N1121" s="63" t="s">
        <v>4883</v>
      </c>
      <c r="O1121" s="78" t="str">
        <f ca="1">IF(H1121&lt;&gt;"",IF(H1121&lt;=TODAY(),"SI","NO"),"LIMBO")</f>
        <v>SI</v>
      </c>
      <c r="P1121" s="78" t="str">
        <f>IF($P$1=H1121,"DIASOL", "DIANOSOL")</f>
        <v>DIANOSOL</v>
      </c>
      <c r="Q1121" s="63" t="s">
        <v>911</v>
      </c>
      <c r="R1121" s="63" t="s">
        <v>911</v>
      </c>
      <c r="S1121" s="63" t="s">
        <v>3514</v>
      </c>
      <c r="T1121" s="81" t="str">
        <f>IF(G1121=$J$1,"SI","NO")</f>
        <v>NO</v>
      </c>
      <c r="U1121" s="81"/>
      <c r="V1121" s="7" t="str">
        <f ca="1">IF(color_Celda(E1121)=12106214,"ROSA",IF(color_Celda(E1121)=65535,"AMARILLO",IF(color_Celda(E1121)=5296274,"VERDE",IF(color_Celda(E1121)=16777215,"BLANCO","NO SE"))))</f>
        <v>ROSA</v>
      </c>
      <c r="W1121" s="63" t="s">
        <v>3116</v>
      </c>
      <c r="X1121" s="63" t="s">
        <v>4884</v>
      </c>
      <c r="Y1121" s="336"/>
      <c r="Z1121" s="63" t="s">
        <v>748</v>
      </c>
      <c r="AA1121" s="118" t="s">
        <v>2828</v>
      </c>
      <c r="AB1121" s="63" t="s">
        <v>1171</v>
      </c>
      <c r="AC1121" s="336"/>
    </row>
    <row r="1122" spans="1:29" ht="60" customHeight="1">
      <c r="A1122" s="336">
        <v>1125</v>
      </c>
      <c r="B1122" s="349">
        <v>45266</v>
      </c>
      <c r="C1122" s="568">
        <v>0.41805555555555557</v>
      </c>
      <c r="D1122" s="63" t="s">
        <v>4497</v>
      </c>
      <c r="E1122" s="64" t="s">
        <v>4498</v>
      </c>
      <c r="F1122" s="336">
        <v>6</v>
      </c>
      <c r="G1122" s="336" t="s">
        <v>283</v>
      </c>
      <c r="H1122" s="383">
        <v>45280</v>
      </c>
      <c r="I1122" s="65" t="s">
        <v>3171</v>
      </c>
      <c r="J1122" s="349" t="s">
        <v>33</v>
      </c>
      <c r="K1122" s="336">
        <f>IFERROR(VLOOKUP(J1122,Jueces!$A$1:$B$11,2,FALSE),"")</f>
        <v>4</v>
      </c>
      <c r="L1122" s="63" t="s">
        <v>805</v>
      </c>
      <c r="M1122" s="63" t="s">
        <v>2201</v>
      </c>
      <c r="N1122" s="63" t="s">
        <v>2573</v>
      </c>
      <c r="O1122" s="78" t="str">
        <f ca="1">IF(H1122&lt;&gt;"",IF(H1122&lt;=TODAY(),"SI","NO"),"LIMBO")</f>
        <v>SI</v>
      </c>
      <c r="P1122" s="78" t="str">
        <f>IF($P$1=H1122,"DIASOL", "DIANOSOL")</f>
        <v>DIANOSOL</v>
      </c>
      <c r="Q1122" s="63" t="s">
        <v>902</v>
      </c>
      <c r="R1122" s="63" t="str">
        <f>VLOOKUP($Q1122,Resultados!$A$1:$B$49,2,FALSE)</f>
        <v>Juicio Abreviado</v>
      </c>
      <c r="S1122" s="63" t="s">
        <v>3203</v>
      </c>
      <c r="T1122" s="81" t="str">
        <f>IF(G1122=$J$1,"SI","NO")</f>
        <v>NO</v>
      </c>
      <c r="U1122" s="81"/>
      <c r="V1122" s="7" t="str">
        <f ca="1">IF(color_Celda(E1122)=12106214,"ROSA",IF(color_Celda(E1122)=65535,"AMARILLO",IF(color_Celda(E1122)=5296274,"VERDE",IF(color_Celda(E1122)=16777215,"BLANCO","NO SE"))))</f>
        <v>ROSA</v>
      </c>
      <c r="W1122" s="63" t="s">
        <v>3764</v>
      </c>
      <c r="X1122" s="63" t="s">
        <v>4644</v>
      </c>
      <c r="Y1122" s="336"/>
      <c r="Z1122" s="63" t="s">
        <v>770</v>
      </c>
      <c r="AA1122" s="118" t="s">
        <v>2869</v>
      </c>
      <c r="AB1122" s="63" t="s">
        <v>1170</v>
      </c>
      <c r="AC1122" s="336"/>
    </row>
    <row r="1123" spans="1:29" ht="60" customHeight="1">
      <c r="A1123" s="336">
        <v>1100</v>
      </c>
      <c r="B1123" s="349">
        <v>45264</v>
      </c>
      <c r="C1123" s="568">
        <v>0.40486111111111112</v>
      </c>
      <c r="D1123" s="63" t="s">
        <v>4397</v>
      </c>
      <c r="E1123" s="64" t="s">
        <v>4398</v>
      </c>
      <c r="F1123" s="336">
        <v>5</v>
      </c>
      <c r="G1123" s="336" t="s">
        <v>1433</v>
      </c>
      <c r="H1123" s="383">
        <v>45281</v>
      </c>
      <c r="I1123" s="65" t="s">
        <v>73</v>
      </c>
      <c r="J1123" s="349" t="s">
        <v>2925</v>
      </c>
      <c r="K1123" s="63" t="s">
        <v>1341</v>
      </c>
      <c r="L1123" s="63" t="s">
        <v>808</v>
      </c>
      <c r="M1123" s="7" t="s">
        <v>3755</v>
      </c>
      <c r="N1123" s="63" t="s">
        <v>4638</v>
      </c>
      <c r="O1123" s="78" t="str">
        <f ca="1">IF(H1123&lt;&gt;"",IF(H1123&lt;=TODAY(),"SI","NO"),"LIMBO")</f>
        <v>SI</v>
      </c>
      <c r="P1123" s="78" t="str">
        <f>IF($P$1=H1123,"DIASOL", "DIANOSOL")</f>
        <v>DIANOSOL</v>
      </c>
      <c r="Q1123" s="63" t="s">
        <v>151</v>
      </c>
      <c r="R1123" s="63" t="s">
        <v>151</v>
      </c>
      <c r="S1123" s="63" t="s">
        <v>1641</v>
      </c>
      <c r="T1123" s="81" t="str">
        <f>IF(G1123=$J$1,"SI","NO")</f>
        <v>NO</v>
      </c>
      <c r="U1123" s="81"/>
      <c r="V1123" s="7" t="str">
        <f ca="1">IF(color_Celda(E1123)=12106214,"ROSA",IF(color_Celda(E1123)=65535,"AMARILLO",IF(color_Celda(E1123)=5296274,"VERDE",IF(color_Celda(E1123)=16777215,"BLANCO","NO SE"))))</f>
        <v>ROSA</v>
      </c>
      <c r="W1123" s="63" t="s">
        <v>2688</v>
      </c>
      <c r="X1123" s="63" t="s">
        <v>4691</v>
      </c>
      <c r="Y1123" s="336"/>
      <c r="Z1123" s="63" t="s">
        <v>3368</v>
      </c>
      <c r="AA1123" s="118" t="s">
        <v>1167</v>
      </c>
      <c r="AB1123" s="63" t="s">
        <v>1169</v>
      </c>
      <c r="AC1123" s="336"/>
    </row>
    <row r="1124" spans="1:29" ht="60" customHeight="1">
      <c r="A1124" s="336">
        <v>1119</v>
      </c>
      <c r="B1124" s="349">
        <v>45266</v>
      </c>
      <c r="C1124" s="568">
        <v>0.40972222222222227</v>
      </c>
      <c r="D1124" s="63" t="s">
        <v>4457</v>
      </c>
      <c r="E1124" s="64" t="s">
        <v>4458</v>
      </c>
      <c r="F1124" s="336">
        <v>7</v>
      </c>
      <c r="G1124" s="336" t="s">
        <v>3791</v>
      </c>
      <c r="H1124" s="383">
        <v>45281</v>
      </c>
      <c r="I1124" s="65" t="s">
        <v>73</v>
      </c>
      <c r="J1124" s="349" t="s">
        <v>33</v>
      </c>
      <c r="K1124" s="336">
        <v>4</v>
      </c>
      <c r="L1124" s="63" t="s">
        <v>1067</v>
      </c>
      <c r="M1124" s="335" t="s">
        <v>2247</v>
      </c>
      <c r="N1124" s="63" t="s">
        <v>4885</v>
      </c>
      <c r="O1124" s="78" t="str">
        <f ca="1">IF(H1124&lt;&gt;"",IF(H1124&lt;=TODAY(),"SI","NO"),"LIMBO")</f>
        <v>SI</v>
      </c>
      <c r="P1124" s="78" t="str">
        <f>IF($P$1=H1124,"DIASOL", "DIANOSOL")</f>
        <v>DIANOSOL</v>
      </c>
      <c r="Q1124" s="63" t="s">
        <v>1010</v>
      </c>
      <c r="R1124" s="63" t="str">
        <f>VLOOKUP($Q1124,Resultados!$A$1:$B$49,2,FALSE)</f>
        <v>Suspendida</v>
      </c>
      <c r="S1124" s="63"/>
      <c r="T1124" s="81" t="str">
        <f>IF(G1124=$J$1,"SI","NO")</f>
        <v>NO</v>
      </c>
      <c r="U1124" s="81"/>
      <c r="V1124" s="7" t="str">
        <f ca="1">IF(color_Celda(E1124)=12106214,"ROSA",IF(color_Celda(E1124)=65535,"AMARILLO",IF(color_Celda(E1124)=5296274,"VERDE",IF(color_Celda(E1124)=16777215,"BLANCO","NO SE"))))</f>
        <v>ROSA</v>
      </c>
      <c r="W1124" s="336"/>
      <c r="X1124" s="336"/>
      <c r="Y1124" s="336"/>
      <c r="Z1124" s="63" t="s">
        <v>4241</v>
      </c>
      <c r="AA1124" s="118" t="s">
        <v>2869</v>
      </c>
      <c r="AB1124" s="63" t="s">
        <v>3258</v>
      </c>
      <c r="AC1124" s="336"/>
    </row>
    <row r="1125" spans="1:29" ht="60" customHeight="1">
      <c r="A1125" s="336">
        <v>1121</v>
      </c>
      <c r="B1125" s="349">
        <v>45266</v>
      </c>
      <c r="C1125" s="568">
        <v>0.37777777777777777</v>
      </c>
      <c r="D1125" s="63" t="s">
        <v>4459</v>
      </c>
      <c r="E1125" s="64" t="s">
        <v>4631</v>
      </c>
      <c r="F1125" s="336">
        <v>5</v>
      </c>
      <c r="G1125" s="336" t="s">
        <v>2766</v>
      </c>
      <c r="H1125" s="383">
        <v>45281</v>
      </c>
      <c r="I1125" s="65" t="s">
        <v>73</v>
      </c>
      <c r="J1125" s="349" t="s">
        <v>35</v>
      </c>
      <c r="K1125" s="336">
        <f>IFERROR(VLOOKUP(J1125,Jueces!$A$1:$B$11,2,FALSE),"")</f>
        <v>3</v>
      </c>
      <c r="L1125" s="63" t="s">
        <v>791</v>
      </c>
      <c r="M1125" s="356" t="s">
        <v>4460</v>
      </c>
      <c r="N1125" s="63" t="s">
        <v>4886</v>
      </c>
      <c r="O1125" s="78" t="str">
        <f ca="1">IF(H1125&lt;&gt;"",IF(H1125&lt;=TODAY(),"SI","NO"),"LIMBO")</f>
        <v>SI</v>
      </c>
      <c r="P1125" s="78" t="str">
        <f>IF($P$1=H1125,"DIASOL", "DIANOSOL")</f>
        <v>DIANOSOL</v>
      </c>
      <c r="Q1125" s="63" t="s">
        <v>911</v>
      </c>
      <c r="R1125" s="63" t="str">
        <f>VLOOKUP($Q1125,Resultados!$A$1:$B$49,2,FALSE)</f>
        <v>Prision domiciliaria</v>
      </c>
      <c r="S1125" s="63" t="s">
        <v>686</v>
      </c>
      <c r="T1125" s="81" t="str">
        <f>IF(G1125=$J$1,"SI","NO")</f>
        <v>NO</v>
      </c>
      <c r="U1125" s="81"/>
      <c r="V1125" s="7" t="str">
        <f ca="1">IF(color_Celda(E1125)=12106214,"ROSA",IF(color_Celda(E1125)=65535,"AMARILLO",IF(color_Celda(E1125)=5296274,"VERDE",IF(color_Celda(E1125)=16777215,"BLANCO","NO SE"))))</f>
        <v>ROSA</v>
      </c>
      <c r="W1125" s="63" t="s">
        <v>1002</v>
      </c>
      <c r="X1125" s="63" t="s">
        <v>4887</v>
      </c>
      <c r="Y1125" s="336"/>
      <c r="Z1125" s="63" t="s">
        <v>1038</v>
      </c>
      <c r="AA1125" s="118" t="s">
        <v>3379</v>
      </c>
      <c r="AB1125" s="63" t="s">
        <v>1173</v>
      </c>
      <c r="AC1125" s="336"/>
    </row>
    <row r="1126" spans="1:29" ht="60" customHeight="1">
      <c r="A1126" s="336">
        <v>1138</v>
      </c>
      <c r="B1126" s="349">
        <v>45271</v>
      </c>
      <c r="C1126" s="568">
        <v>0.4152777777777778</v>
      </c>
      <c r="D1126" s="375" t="s">
        <v>3606</v>
      </c>
      <c r="E1126" s="64" t="s">
        <v>4548</v>
      </c>
      <c r="F1126" s="336">
        <v>3</v>
      </c>
      <c r="G1126" s="63" t="s">
        <v>283</v>
      </c>
      <c r="H1126" s="383">
        <v>45281</v>
      </c>
      <c r="I1126" s="65" t="s">
        <v>73</v>
      </c>
      <c r="J1126" s="349" t="s">
        <v>2922</v>
      </c>
      <c r="K1126" s="63" t="s">
        <v>1982</v>
      </c>
      <c r="L1126" s="63" t="s">
        <v>809</v>
      </c>
      <c r="M1126" s="63" t="s">
        <v>694</v>
      </c>
      <c r="N1126" s="63" t="s">
        <v>4888</v>
      </c>
      <c r="O1126" s="78" t="str">
        <f ca="1">IF(H1126&lt;&gt;"",IF(H1126&lt;=TODAY(),"SI","NO"),"LIMBO")</f>
        <v>SI</v>
      </c>
      <c r="P1126" s="78" t="str">
        <f>IF($P$1=H1126,"DIASOL", "DIANOSOL")</f>
        <v>DIANOSOL</v>
      </c>
      <c r="Q1126" s="63" t="s">
        <v>151</v>
      </c>
      <c r="R1126" s="63" t="s">
        <v>151</v>
      </c>
      <c r="S1126" s="63" t="s">
        <v>1083</v>
      </c>
      <c r="T1126" s="81" t="str">
        <f>IF(G1126=$J$1,"SI","NO")</f>
        <v>NO</v>
      </c>
      <c r="U1126" s="81"/>
      <c r="V1126" s="7" t="str">
        <f ca="1">IF(color_Celda(E1126)=12106214,"ROSA",IF(color_Celda(E1126)=65535,"AMARILLO",IF(color_Celda(E1126)=5296274,"VERDE",IF(color_Celda(E1126)=16777215,"BLANCO","NO SE"))))</f>
        <v>ROSA</v>
      </c>
      <c r="W1126" s="63" t="s">
        <v>1206</v>
      </c>
      <c r="X1126" s="63" t="s">
        <v>4889</v>
      </c>
      <c r="Y1126" s="336"/>
      <c r="Z1126" s="63" t="s">
        <v>770</v>
      </c>
      <c r="AA1126" s="118" t="s">
        <v>3378</v>
      </c>
      <c r="AB1126" s="63" t="s">
        <v>1171</v>
      </c>
      <c r="AC1126" s="336" t="s">
        <v>1792</v>
      </c>
    </row>
    <row r="1127" spans="1:29" ht="60" customHeight="1">
      <c r="A1127" s="336">
        <v>1163</v>
      </c>
      <c r="B1127" s="349">
        <v>45273</v>
      </c>
      <c r="C1127" s="568">
        <v>0.45833333333333331</v>
      </c>
      <c r="D1127" s="63" t="s">
        <v>4610</v>
      </c>
      <c r="E1127" s="64" t="s">
        <v>4668</v>
      </c>
      <c r="F1127" s="336">
        <v>5</v>
      </c>
      <c r="G1127" s="63" t="s">
        <v>3323</v>
      </c>
      <c r="H1127" s="383">
        <v>45281</v>
      </c>
      <c r="I1127" s="65" t="s">
        <v>73</v>
      </c>
      <c r="J1127" s="65" t="s">
        <v>31</v>
      </c>
      <c r="K1127" s="336">
        <f>IFERROR(VLOOKUP(J1127,Jueces!$A$1:$B$11,2,FALSE),"")</f>
        <v>2</v>
      </c>
      <c r="L1127" s="63" t="s">
        <v>811</v>
      </c>
      <c r="M1127" s="335" t="s">
        <v>1281</v>
      </c>
      <c r="N1127" s="63" t="s">
        <v>2550</v>
      </c>
      <c r="O1127" s="78" t="str">
        <f ca="1">IF(H1127&lt;&gt;"",IF(H1127&lt;=TODAY(),"SI","NO"),"LIMBO")</f>
        <v>SI</v>
      </c>
      <c r="P1127" s="78" t="str">
        <f>IF($P$1=H1127,"DIASOL", "DIANOSOL")</f>
        <v>DIANOSOL</v>
      </c>
      <c r="Q1127" s="63" t="s">
        <v>897</v>
      </c>
      <c r="R1127" s="63" t="str">
        <f>VLOOKUP($Q1127,Resultados!$A$1:$B$49,2,FALSE)</f>
        <v>Libertad</v>
      </c>
      <c r="S1127" s="63" t="s">
        <v>3094</v>
      </c>
      <c r="T1127" s="81" t="str">
        <f>IF(G1127=$J$1,"SI","NO")</f>
        <v>NO</v>
      </c>
      <c r="U1127" s="81"/>
      <c r="V1127" s="7" t="str">
        <f ca="1">IF(color_Celda(E1127)=12106214,"ROSA",IF(color_Celda(E1127)=65535,"AMARILLO",IF(color_Celda(E1127)=5296274,"VERDE",IF(color_Celda(E1127)=16777215,"BLANCO","NO SE"))))</f>
        <v>ROSA</v>
      </c>
      <c r="W1127" s="63" t="s">
        <v>1227</v>
      </c>
      <c r="X1127" s="63" t="s">
        <v>4683</v>
      </c>
      <c r="Y1127" s="336"/>
      <c r="Z1127" s="63" t="s">
        <v>748</v>
      </c>
      <c r="AA1127" s="118" t="s">
        <v>1167</v>
      </c>
      <c r="AB1127" s="63" t="s">
        <v>1170</v>
      </c>
      <c r="AC1127" s="336"/>
    </row>
    <row r="1128" spans="1:29" ht="60" customHeight="1">
      <c r="A1128" s="336">
        <v>1117</v>
      </c>
      <c r="B1128" s="349">
        <v>45266</v>
      </c>
      <c r="C1128" s="568">
        <v>0.40972222222222227</v>
      </c>
      <c r="D1128" s="63" t="s">
        <v>4454</v>
      </c>
      <c r="E1128" s="64" t="s">
        <v>4455</v>
      </c>
      <c r="F1128" s="336">
        <v>7</v>
      </c>
      <c r="G1128" s="63" t="s">
        <v>3324</v>
      </c>
      <c r="H1128" s="383">
        <v>45281</v>
      </c>
      <c r="I1128" s="65" t="s">
        <v>1083</v>
      </c>
      <c r="J1128" s="349" t="s">
        <v>78</v>
      </c>
      <c r="K1128" s="336">
        <f>IFERROR(VLOOKUP(J1128,Jueces!$A$1:$B$11,2,FALSE),"")</f>
        <v>8</v>
      </c>
      <c r="L1128" s="63" t="s">
        <v>582</v>
      </c>
      <c r="M1128" s="335" t="s">
        <v>4456</v>
      </c>
      <c r="N1128" s="336" t="s">
        <v>4892</v>
      </c>
      <c r="O1128" s="78" t="str">
        <f ca="1">IF(H1128&lt;&gt;"",IF(H1128&lt;=TODAY(),"SI","NO"),"LIMBO")</f>
        <v>SI</v>
      </c>
      <c r="P1128" s="78" t="str">
        <f>IF($P$1=H1128,"DIASOL", "DIANOSOL")</f>
        <v>DIANOSOL</v>
      </c>
      <c r="Q1128" s="63" t="s">
        <v>902</v>
      </c>
      <c r="R1128" s="63" t="str">
        <f>VLOOKUP($Q1128,Resultados!$A$1:$B$49,2,FALSE)</f>
        <v>Juicio Abreviado</v>
      </c>
      <c r="S1128" s="63" t="s">
        <v>1530</v>
      </c>
      <c r="T1128" s="81" t="str">
        <f>IF(G1128=$J$1,"SI","NO")</f>
        <v>NO</v>
      </c>
      <c r="U1128" s="81"/>
      <c r="V1128" s="7" t="str">
        <f ca="1">IF(color_Celda(E1128)=12106214,"ROSA",IF(color_Celda(E1128)=65535,"AMARILLO",IF(color_Celda(E1128)=5296274,"VERDE",IF(color_Celda(E1128)=16777215,"BLANCO","NO SE"))))</f>
        <v>ROSA</v>
      </c>
      <c r="W1128" s="63" t="s">
        <v>3360</v>
      </c>
      <c r="X1128" s="63" t="s">
        <v>4889</v>
      </c>
      <c r="Y1128" s="336"/>
      <c r="Z1128" s="63" t="s">
        <v>770</v>
      </c>
      <c r="AA1128" s="336"/>
      <c r="AB1128" s="63" t="s">
        <v>1169</v>
      </c>
      <c r="AC1128" s="336"/>
    </row>
    <row r="1129" spans="1:29" ht="60" customHeight="1">
      <c r="A1129" s="336">
        <v>1122</v>
      </c>
      <c r="B1129" s="349">
        <v>45266</v>
      </c>
      <c r="C1129" s="568">
        <v>0.45347222222222222</v>
      </c>
      <c r="D1129" s="63" t="s">
        <v>4493</v>
      </c>
      <c r="E1129" s="64" t="s">
        <v>4494</v>
      </c>
      <c r="F1129" s="336">
        <v>6</v>
      </c>
      <c r="G1129" s="63" t="s">
        <v>2815</v>
      </c>
      <c r="H1129" s="383">
        <v>45281</v>
      </c>
      <c r="I1129" s="65" t="s">
        <v>1083</v>
      </c>
      <c r="J1129" s="349" t="s">
        <v>2925</v>
      </c>
      <c r="K1129" s="63" t="s">
        <v>1341</v>
      </c>
      <c r="L1129" s="63" t="s">
        <v>802</v>
      </c>
      <c r="M1129" s="63" t="s">
        <v>725</v>
      </c>
      <c r="N1129" s="63" t="s">
        <v>4890</v>
      </c>
      <c r="O1129" s="78" t="str">
        <f ca="1">IF(H1129&lt;&gt;"",IF(H1129&lt;=TODAY(),"SI","NO"),"LIMBO")</f>
        <v>SI</v>
      </c>
      <c r="P1129" s="78" t="str">
        <f>IF($P$1=H1129,"DIASOL", "DIANOSOL")</f>
        <v>DIANOSOL</v>
      </c>
      <c r="Q1129" s="63" t="s">
        <v>902</v>
      </c>
      <c r="R1129" s="63" t="str">
        <f>VLOOKUP($Q1129,Resultados!$A$1:$B$49,2,FALSE)</f>
        <v>Juicio Abreviado</v>
      </c>
      <c r="S1129" s="63" t="s">
        <v>1239</v>
      </c>
      <c r="T1129" s="81" t="str">
        <f>IF(G1129=$J$1,"SI","NO")</f>
        <v>NO</v>
      </c>
      <c r="U1129" s="81"/>
      <c r="V1129" s="7" t="str">
        <f ca="1">IF(color_Celda(E1129)=12106214,"ROSA",IF(color_Celda(E1129)=65535,"AMARILLO",IF(color_Celda(E1129)=5296274,"VERDE",IF(color_Celda(E1129)=16777215,"BLANCO","NO SE"))))</f>
        <v>ROSA</v>
      </c>
      <c r="W1129" s="63" t="s">
        <v>1248</v>
      </c>
      <c r="X1129" s="63" t="s">
        <v>4891</v>
      </c>
      <c r="Y1129" s="336"/>
      <c r="Z1129" s="63" t="s">
        <v>3368</v>
      </c>
      <c r="AA1129" s="118" t="s">
        <v>1167</v>
      </c>
      <c r="AB1129" s="63" t="s">
        <v>3258</v>
      </c>
      <c r="AC1129" s="336"/>
    </row>
    <row r="1130" spans="1:29" ht="60" customHeight="1">
      <c r="A1130" s="336">
        <v>1132</v>
      </c>
      <c r="B1130" s="349">
        <v>45267</v>
      </c>
      <c r="C1130" s="63" t="s">
        <v>1298</v>
      </c>
      <c r="D1130" s="63" t="s">
        <v>4513</v>
      </c>
      <c r="E1130" s="64" t="s">
        <v>4514</v>
      </c>
      <c r="F1130" s="336">
        <v>5</v>
      </c>
      <c r="G1130" s="63" t="s">
        <v>29</v>
      </c>
      <c r="H1130" s="383">
        <v>45281</v>
      </c>
      <c r="I1130" s="65" t="s">
        <v>547</v>
      </c>
      <c r="J1130" s="65" t="s">
        <v>35</v>
      </c>
      <c r="K1130" s="336">
        <f>IFERROR(VLOOKUP(J1130,Jueces!$A$1:$B$11,2,FALSE),"")</f>
        <v>3</v>
      </c>
      <c r="L1130" s="63" t="s">
        <v>805</v>
      </c>
      <c r="M1130" s="63" t="s">
        <v>2201</v>
      </c>
      <c r="N1130" s="63" t="s">
        <v>4893</v>
      </c>
      <c r="O1130" s="78" t="str">
        <f ca="1">IF(H1130&lt;&gt;"",IF(H1130&lt;=TODAY(),"SI","NO"),"LIMBO")</f>
        <v>SI</v>
      </c>
      <c r="P1130" s="78" t="str">
        <f>IF($P$1=H1130,"DIASOL", "DIANOSOL")</f>
        <v>DIANOSOL</v>
      </c>
      <c r="Q1130" s="63" t="s">
        <v>902</v>
      </c>
      <c r="R1130" s="63" t="str">
        <f>VLOOKUP($Q1130,Resultados!$A$1:$B$49,2,FALSE)</f>
        <v>Juicio Abreviado</v>
      </c>
      <c r="S1130" s="63" t="s">
        <v>4475</v>
      </c>
      <c r="T1130" s="81" t="str">
        <f>IF(G1130=$J$1,"SI","NO")</f>
        <v>NO</v>
      </c>
      <c r="U1130" s="81"/>
      <c r="V1130" s="7" t="str">
        <f ca="1">IF(color_Celda(E1130)=12106214,"ROSA",IF(color_Celda(E1130)=65535,"AMARILLO",IF(color_Celda(E1130)=5296274,"VERDE",IF(color_Celda(E1130)=16777215,"BLANCO","NO SE"))))</f>
        <v>ROSA</v>
      </c>
      <c r="W1130" s="63" t="s">
        <v>3628</v>
      </c>
      <c r="X1130" s="63" t="s">
        <v>4683</v>
      </c>
      <c r="Y1130" s="336"/>
      <c r="Z1130" s="63" t="s">
        <v>748</v>
      </c>
      <c r="AA1130" s="118" t="s">
        <v>4561</v>
      </c>
      <c r="AB1130" s="63" t="s">
        <v>1171</v>
      </c>
      <c r="AC1130" s="336"/>
    </row>
    <row r="1131" spans="1:29" ht="60" customHeight="1">
      <c r="A1131" s="336">
        <v>1135</v>
      </c>
      <c r="B1131" s="349">
        <v>45271</v>
      </c>
      <c r="C1131" s="568">
        <v>0.33333333333333331</v>
      </c>
      <c r="D1131" s="63" t="s">
        <v>4540</v>
      </c>
      <c r="E1131" s="64" t="s">
        <v>4546</v>
      </c>
      <c r="F1131" s="336">
        <v>5</v>
      </c>
      <c r="G1131" s="63" t="s">
        <v>2752</v>
      </c>
      <c r="H1131" s="383">
        <v>45282</v>
      </c>
      <c r="I1131" s="65" t="s">
        <v>73</v>
      </c>
      <c r="J1131" s="65" t="s">
        <v>33</v>
      </c>
      <c r="K1131" s="336">
        <f>IFERROR(VLOOKUP(J1131,Jueces!$A$1:$B$11,2,FALSE),"")</f>
        <v>4</v>
      </c>
      <c r="L1131" s="63" t="s">
        <v>807</v>
      </c>
      <c r="M1131" s="63" t="s">
        <v>2201</v>
      </c>
      <c r="N1131" s="63" t="s">
        <v>4893</v>
      </c>
      <c r="O1131" s="78" t="str">
        <f ca="1">IF(H1131&lt;&gt;"",IF(H1131&lt;=TODAY(),"SI","NO"),"LIMBO")</f>
        <v>SI</v>
      </c>
      <c r="P1131" s="78" t="str">
        <f>IF($P$1=H1131,"DIASOL", "DIANOSOL")</f>
        <v>DIANOSOL</v>
      </c>
      <c r="Q1131" s="63" t="s">
        <v>902</v>
      </c>
      <c r="R1131" s="63" t="str">
        <f>VLOOKUP($Q1131,Resultados!$A$1:$B$49,2,FALSE)</f>
        <v>Juicio Abreviado</v>
      </c>
      <c r="S1131" s="63" t="s">
        <v>1183</v>
      </c>
      <c r="T1131" s="81" t="str">
        <f>IF(G1131=$J$1,"SI","NO")</f>
        <v>NO</v>
      </c>
      <c r="U1131" s="81"/>
      <c r="V1131" s="7" t="str">
        <f ca="1">IF(color_Celda(E1131)=12106214,"ROSA",IF(color_Celda(E1131)=65535,"AMARILLO",IF(color_Celda(E1131)=5296274,"VERDE",IF(color_Celda(E1131)=16777215,"BLANCO","NO SE"))))</f>
        <v>ROSA</v>
      </c>
      <c r="W1131" s="63" t="s">
        <v>1336</v>
      </c>
      <c r="X1131" s="63" t="s">
        <v>4895</v>
      </c>
      <c r="Y1131" s="336"/>
      <c r="Z1131" s="336"/>
      <c r="AA1131" s="118" t="s">
        <v>2828</v>
      </c>
      <c r="AB1131" s="63" t="s">
        <v>1173</v>
      </c>
      <c r="AC1131" s="336"/>
    </row>
    <row r="1132" spans="1:29" ht="60" customHeight="1">
      <c r="A1132" s="336">
        <v>1137</v>
      </c>
      <c r="B1132" s="349">
        <v>45271</v>
      </c>
      <c r="C1132" s="568">
        <v>0.33333333333333331</v>
      </c>
      <c r="D1132" s="63" t="s">
        <v>4542</v>
      </c>
      <c r="E1132" s="64" t="s">
        <v>4740</v>
      </c>
      <c r="F1132" s="336">
        <v>5</v>
      </c>
      <c r="G1132" s="63" t="s">
        <v>29</v>
      </c>
      <c r="H1132" s="383">
        <v>45282</v>
      </c>
      <c r="I1132" s="65" t="s">
        <v>73</v>
      </c>
      <c r="J1132" s="65" t="s">
        <v>78</v>
      </c>
      <c r="K1132" s="336">
        <f>IFERROR(VLOOKUP(J1132,Jueces!$A$1:$B$11,2,FALSE),"")</f>
        <v>8</v>
      </c>
      <c r="L1132" s="63" t="s">
        <v>791</v>
      </c>
      <c r="M1132" s="63" t="s">
        <v>1956</v>
      </c>
      <c r="N1132" s="63" t="s">
        <v>4896</v>
      </c>
      <c r="O1132" s="78" t="str">
        <f ca="1">IF(H1132&lt;&gt;"",IF(H1132&lt;=TODAY(),"SI","NO"),"LIMBO")</f>
        <v>SI</v>
      </c>
      <c r="P1132" s="78" t="str">
        <f>IF($P$1=H1132,"DIASOL", "DIANOSOL")</f>
        <v>DIANOSOL</v>
      </c>
      <c r="Q1132" s="63" t="s">
        <v>902</v>
      </c>
      <c r="R1132" s="63" t="str">
        <f>VLOOKUP($Q1132,Resultados!$A$1:$B$49,2,FALSE)</f>
        <v>Juicio Abreviado</v>
      </c>
      <c r="S1132" s="63" t="s">
        <v>1604</v>
      </c>
      <c r="T1132" s="81" t="str">
        <f>IF(G1132=$J$1,"SI","NO")</f>
        <v>NO</v>
      </c>
      <c r="U1132" s="81"/>
      <c r="V1132" s="7" t="str">
        <f ca="1">IF(color_Celda(E1132)=12106214,"ROSA",IF(color_Celda(E1132)=65535,"AMARILLO",IF(color_Celda(E1132)=5296274,"VERDE",IF(color_Celda(E1132)=16777215,"BLANCO","NO SE"))))</f>
        <v>ROSA</v>
      </c>
      <c r="W1132" s="63" t="s">
        <v>1119</v>
      </c>
      <c r="X1132" s="63" t="s">
        <v>4889</v>
      </c>
      <c r="Y1132" s="336"/>
      <c r="Z1132" s="336"/>
      <c r="AA1132" s="118" t="s">
        <v>3378</v>
      </c>
      <c r="AB1132" s="63" t="s">
        <v>1170</v>
      </c>
      <c r="AC1132" s="336"/>
    </row>
    <row r="1133" spans="1:29" ht="60" customHeight="1">
      <c r="A1133" s="336">
        <v>1139</v>
      </c>
      <c r="B1133" s="349">
        <v>45271</v>
      </c>
      <c r="C1133" s="568">
        <v>0.47222222222222227</v>
      </c>
      <c r="D1133" s="63" t="s">
        <v>4549</v>
      </c>
      <c r="E1133" s="64" t="s">
        <v>4550</v>
      </c>
      <c r="F1133" s="336">
        <v>5</v>
      </c>
      <c r="G1133" s="63" t="s">
        <v>283</v>
      </c>
      <c r="H1133" s="383">
        <v>45282</v>
      </c>
      <c r="I1133" s="65" t="s">
        <v>73</v>
      </c>
      <c r="J1133" s="65" t="s">
        <v>35</v>
      </c>
      <c r="K1133" s="336">
        <f>IFERROR(VLOOKUP(J1133,Jueces!$A$1:$B$11,2,FALSE),"")</f>
        <v>3</v>
      </c>
      <c r="L1133" s="63" t="s">
        <v>2077</v>
      </c>
      <c r="M1133" s="335" t="s">
        <v>2247</v>
      </c>
      <c r="N1133" s="63" t="s">
        <v>1821</v>
      </c>
      <c r="O1133" s="78" t="str">
        <f ca="1">IF(H1133&lt;&gt;"",IF(H1133&lt;=TODAY(),"SI","NO"),"LIMBO")</f>
        <v>SI</v>
      </c>
      <c r="P1133" s="78" t="str">
        <f>IF($P$1=H1133,"DIASOL", "DIANOSOL")</f>
        <v>DIANOSOL</v>
      </c>
      <c r="Q1133" s="63" t="s">
        <v>151</v>
      </c>
      <c r="R1133" s="63" t="str">
        <f>VLOOKUP($Q1133,Resultados!$A$1:$B$49,2,FALSE)</f>
        <v>Prisión Preventiva</v>
      </c>
      <c r="S1133" s="63" t="s">
        <v>2238</v>
      </c>
      <c r="T1133" s="81" t="str">
        <f>IF(G1133=$J$1,"SI","NO")</f>
        <v>NO</v>
      </c>
      <c r="U1133" s="81"/>
      <c r="V1133" s="7" t="str">
        <f ca="1">IF(color_Celda(E1133)=12106214,"ROSA",IF(color_Celda(E1133)=65535,"AMARILLO",IF(color_Celda(E1133)=5296274,"VERDE",IF(color_Celda(E1133)=16777215,"BLANCO","NO SE"))))</f>
        <v>ROSA</v>
      </c>
      <c r="W1133" s="63" t="s">
        <v>1298</v>
      </c>
      <c r="X1133" s="63" t="s">
        <v>4898</v>
      </c>
      <c r="Y1133" s="336"/>
      <c r="Z1133" s="336"/>
      <c r="AA1133" s="118" t="s">
        <v>2869</v>
      </c>
      <c r="AB1133" s="63" t="s">
        <v>1169</v>
      </c>
      <c r="AC1133" s="336"/>
    </row>
    <row r="1134" spans="1:29" ht="60" customHeight="1">
      <c r="A1134" s="336">
        <v>1143</v>
      </c>
      <c r="B1134" s="349">
        <v>45271</v>
      </c>
      <c r="C1134" s="568">
        <v>0.5229166666666667</v>
      </c>
      <c r="D1134" s="63" t="s">
        <v>4555</v>
      </c>
      <c r="E1134" s="64" t="s">
        <v>4556</v>
      </c>
      <c r="F1134" s="336">
        <v>6</v>
      </c>
      <c r="G1134" s="63" t="s">
        <v>1434</v>
      </c>
      <c r="H1134" s="383">
        <v>45282</v>
      </c>
      <c r="I1134" s="65" t="s">
        <v>749</v>
      </c>
      <c r="J1134" s="349" t="s">
        <v>1221</v>
      </c>
      <c r="K1134" s="63">
        <v>6</v>
      </c>
      <c r="L1134" s="63" t="s">
        <v>805</v>
      </c>
      <c r="M1134" s="63" t="s">
        <v>725</v>
      </c>
      <c r="N1134" s="336" t="s">
        <v>4897</v>
      </c>
      <c r="O1134" s="78" t="str">
        <f ca="1">IF(H1134&lt;&gt;"",IF(H1134&lt;=TODAY(),"SI","NO"),"LIMBO")</f>
        <v>SI</v>
      </c>
      <c r="P1134" s="78" t="str">
        <f>IF($P$1=H1134,"DIASOL", "DIANOSOL")</f>
        <v>DIANOSOL</v>
      </c>
      <c r="Q1134" s="63" t="s">
        <v>1892</v>
      </c>
      <c r="R1134" s="63" t="s">
        <v>1892</v>
      </c>
      <c r="S1134" s="63" t="s">
        <v>1419</v>
      </c>
      <c r="T1134" s="81" t="str">
        <f>IF(G1134=$J$1,"SI","NO")</f>
        <v>NO</v>
      </c>
      <c r="U1134" s="81"/>
      <c r="V1134" s="7" t="str">
        <f ca="1">IF(color_Celda(E1134)=12106214,"ROSA",IF(color_Celda(E1134)=65535,"AMARILLO",IF(color_Celda(E1134)=5296274,"VERDE",IF(color_Celda(E1134)=16777215,"BLANCO","NO SE"))))</f>
        <v>ROSA</v>
      </c>
      <c r="W1134" s="63" t="s">
        <v>1131</v>
      </c>
      <c r="X1134" s="63" t="s">
        <v>4644</v>
      </c>
      <c r="Y1134" s="336"/>
      <c r="Z1134" s="336"/>
      <c r="AA1134" s="118" t="s">
        <v>1167</v>
      </c>
      <c r="AB1134" s="63" t="s">
        <v>3258</v>
      </c>
      <c r="AC1134" s="336"/>
    </row>
    <row r="1135" spans="1:29" ht="60" customHeight="1">
      <c r="A1135" s="336">
        <v>1127</v>
      </c>
      <c r="B1135" s="349">
        <v>45266</v>
      </c>
      <c r="C1135" s="568">
        <v>0.52222222222222225</v>
      </c>
      <c r="D1135" s="63" t="s">
        <v>4505</v>
      </c>
      <c r="E1135" s="64" t="s">
        <v>4506</v>
      </c>
      <c r="F1135" s="336">
        <v>2</v>
      </c>
      <c r="G1135" s="63" t="s">
        <v>3324</v>
      </c>
      <c r="H1135" s="383">
        <v>45282</v>
      </c>
      <c r="I1135" s="65" t="s">
        <v>1083</v>
      </c>
      <c r="J1135" s="65" t="s">
        <v>78</v>
      </c>
      <c r="K1135" s="336">
        <f>IFERROR(VLOOKUP(J1135,Jueces!$A$1:$B$11,2,FALSE),"")</f>
        <v>8</v>
      </c>
      <c r="L1135" s="63" t="s">
        <v>800</v>
      </c>
      <c r="M1135" s="356" t="s">
        <v>4515</v>
      </c>
      <c r="N1135" s="63" t="s">
        <v>4899</v>
      </c>
      <c r="O1135" s="78" t="str">
        <f ca="1">IF(H1135&lt;&gt;"",IF(H1135&lt;=TODAY(),"SI","NO"),"LIMBO")</f>
        <v>SI</v>
      </c>
      <c r="P1135" s="78" t="str">
        <f>IF($P$1=H1135,"DIASOL", "DIANOSOL")</f>
        <v>DIANOSOL</v>
      </c>
      <c r="Q1135" s="63" t="s">
        <v>151</v>
      </c>
      <c r="R1135" s="63" t="str">
        <f>VLOOKUP($Q1135,Resultados!$A$1:$B$49,2,FALSE)</f>
        <v>Prisión Preventiva</v>
      </c>
      <c r="S1135" s="63" t="s">
        <v>76</v>
      </c>
      <c r="T1135" s="81" t="str">
        <f>IF(G1135=$J$1,"SI","NO")</f>
        <v>NO</v>
      </c>
      <c r="U1135" s="81"/>
      <c r="V1135" s="7" t="str">
        <f ca="1">IF(color_Celda(E1135)=12106214,"ROSA",IF(color_Celda(E1135)=65535,"AMARILLO",IF(color_Celda(E1135)=5296274,"VERDE",IF(color_Celda(E1135)=16777215,"BLANCO","NO SE"))))</f>
        <v>ROSA</v>
      </c>
      <c r="W1135" s="63" t="s">
        <v>1501</v>
      </c>
      <c r="X1135" s="63" t="s">
        <v>4900</v>
      </c>
      <c r="Y1135" s="336"/>
      <c r="Z1135" s="336"/>
      <c r="AA1135" s="118" t="s">
        <v>2828</v>
      </c>
      <c r="AB1135" s="63" t="s">
        <v>1171</v>
      </c>
      <c r="AC1135" s="336"/>
    </row>
    <row r="1136" spans="1:29" ht="60" customHeight="1">
      <c r="A1136" s="336">
        <v>1136</v>
      </c>
      <c r="B1136" s="349">
        <v>45271</v>
      </c>
      <c r="C1136" s="568">
        <v>0.33333333333333331</v>
      </c>
      <c r="D1136" s="63" t="s">
        <v>4541</v>
      </c>
      <c r="E1136" s="64" t="s">
        <v>4547</v>
      </c>
      <c r="F1136" s="336">
        <v>6</v>
      </c>
      <c r="G1136" s="63" t="s">
        <v>2815</v>
      </c>
      <c r="H1136" s="383">
        <v>45282</v>
      </c>
      <c r="I1136" s="65" t="s">
        <v>1083</v>
      </c>
      <c r="J1136" s="65" t="s">
        <v>1216</v>
      </c>
      <c r="K1136" s="336">
        <f>IFERROR(VLOOKUP(J1136,Jueces!$A$1:$B$11,2,FALSE),"")</f>
        <v>1</v>
      </c>
      <c r="L1136" s="63" t="s">
        <v>798</v>
      </c>
      <c r="M1136" s="63" t="s">
        <v>2201</v>
      </c>
      <c r="N1136" s="63" t="s">
        <v>4902</v>
      </c>
      <c r="O1136" s="78" t="str">
        <f ca="1">IF(H1136&lt;&gt;"",IF(H1136&lt;=TODAY(),"SI","NO"),"LIMBO")</f>
        <v>SI</v>
      </c>
      <c r="P1136" s="78" t="str">
        <f>IF($P$1=H1136,"DIASOL", "DIANOSOL")</f>
        <v>DIANOSOL</v>
      </c>
      <c r="Q1136" s="63" t="s">
        <v>903</v>
      </c>
      <c r="R1136" s="63" t="str">
        <f>VLOOKUP($Q1136,Resultados!$A$1:$B$49,2,FALSE)</f>
        <v>Juicio Abreviado</v>
      </c>
      <c r="S1136" s="63" t="s">
        <v>1442</v>
      </c>
      <c r="T1136" s="81" t="str">
        <f>IF(G1136=$J$1,"SI","NO")</f>
        <v>NO</v>
      </c>
      <c r="U1136" s="81"/>
      <c r="V1136" s="7" t="str">
        <f ca="1">IF(color_Celda(E1136)=12106214,"ROSA",IF(color_Celda(E1136)=65535,"AMARILLO",IF(color_Celda(E1136)=5296274,"VERDE",IF(color_Celda(E1136)=16777215,"BLANCO","NO SE"))))</f>
        <v>ROSA</v>
      </c>
      <c r="W1136" s="63" t="s">
        <v>3157</v>
      </c>
      <c r="X1136" s="63" t="s">
        <v>4903</v>
      </c>
      <c r="Y1136" s="336"/>
      <c r="Z1136" s="336"/>
      <c r="AA1136" s="118" t="s">
        <v>3379</v>
      </c>
      <c r="AB1136" s="63" t="s">
        <v>1173</v>
      </c>
      <c r="AC1136" s="336"/>
    </row>
    <row r="1137" spans="1:29" ht="60" customHeight="1">
      <c r="A1137" s="336">
        <v>1142</v>
      </c>
      <c r="B1137" s="349">
        <v>45271</v>
      </c>
      <c r="C1137" s="568">
        <v>0.51597222222222217</v>
      </c>
      <c r="D1137" s="63" t="s">
        <v>4559</v>
      </c>
      <c r="E1137" s="64" t="s">
        <v>4554</v>
      </c>
      <c r="F1137" s="336">
        <v>6</v>
      </c>
      <c r="G1137" s="63" t="s">
        <v>1433</v>
      </c>
      <c r="H1137" s="383">
        <v>45282</v>
      </c>
      <c r="I1137" s="65" t="s">
        <v>1083</v>
      </c>
      <c r="J1137" s="65" t="s">
        <v>33</v>
      </c>
      <c r="K1137" s="336">
        <f>IFERROR(VLOOKUP(J1137,Jueces!$A$1:$B$11,2,FALSE),"")</f>
        <v>4</v>
      </c>
      <c r="L1137" s="63" t="s">
        <v>789</v>
      </c>
      <c r="M1137" s="63" t="s">
        <v>725</v>
      </c>
      <c r="N1137" s="63" t="s">
        <v>4901</v>
      </c>
      <c r="O1137" s="78" t="str">
        <f ca="1">IF(H1137&lt;&gt;"",IF(H1137&lt;=TODAY(),"SI","NO"),"LIMBO")</f>
        <v>SI</v>
      </c>
      <c r="P1137" s="78" t="str">
        <f>IF($P$1=H1137,"DIASOL", "DIANOSOL")</f>
        <v>DIANOSOL</v>
      </c>
      <c r="Q1137" s="63" t="s">
        <v>903</v>
      </c>
      <c r="R1137" s="63" t="str">
        <f>VLOOKUP($Q1137,Resultados!$A$1:$B$49,2,FALSE)</f>
        <v>Juicio Abreviado</v>
      </c>
      <c r="S1137" s="63" t="s">
        <v>1126</v>
      </c>
      <c r="T1137" s="81" t="str">
        <f>IF(G1137=$J$1,"SI","NO")</f>
        <v>NO</v>
      </c>
      <c r="U1137" s="81"/>
      <c r="V1137" s="7" t="str">
        <f ca="1">IF(color_Celda(E1137)=12106214,"ROSA",IF(color_Celda(E1137)=65535,"AMARILLO",IF(color_Celda(E1137)=5296274,"VERDE",IF(color_Celda(E1137)=16777215,"BLANCO","NO SE"))))</f>
        <v>ROSA</v>
      </c>
      <c r="W1137" s="63" t="s">
        <v>3360</v>
      </c>
      <c r="X1137" s="63" t="s">
        <v>4895</v>
      </c>
      <c r="Y1137" s="336"/>
      <c r="Z1137" s="336"/>
      <c r="AA1137" s="118" t="s">
        <v>2828</v>
      </c>
      <c r="AB1137" s="63" t="s">
        <v>1169</v>
      </c>
      <c r="AC1137" s="336"/>
    </row>
    <row r="1138" spans="1:29" ht="60" customHeight="1">
      <c r="A1138" s="336">
        <v>1111</v>
      </c>
      <c r="B1138" s="349">
        <v>45265</v>
      </c>
      <c r="C1138" s="568">
        <v>0.48333333333333334</v>
      </c>
      <c r="D1138" s="63" t="s">
        <v>4438</v>
      </c>
      <c r="E1138" s="64" t="s">
        <v>4439</v>
      </c>
      <c r="F1138" s="336">
        <v>5</v>
      </c>
      <c r="G1138" s="336" t="s">
        <v>3323</v>
      </c>
      <c r="H1138" s="383">
        <v>45282</v>
      </c>
      <c r="I1138" s="65" t="s">
        <v>1206</v>
      </c>
      <c r="J1138" s="349" t="s">
        <v>35</v>
      </c>
      <c r="K1138" s="336">
        <f>IFERROR(VLOOKUP(J1138,Jueces!$A$1:$B$11,2,FALSE),"")</f>
        <v>3</v>
      </c>
      <c r="L1138" s="63" t="s">
        <v>799</v>
      </c>
      <c r="M1138" s="335" t="s">
        <v>3209</v>
      </c>
      <c r="N1138" s="63" t="s">
        <v>2550</v>
      </c>
      <c r="O1138" s="78" t="str">
        <f ca="1">IF(H1138&lt;&gt;"",IF(H1138&lt;=TODAY(),"SI","NO"),"LIMBO")</f>
        <v>SI</v>
      </c>
      <c r="P1138" s="78" t="str">
        <f>IF($P$1=H1138,"DIASOL", "DIANOSOL")</f>
        <v>DIANOSOL</v>
      </c>
      <c r="Q1138" s="63" t="s">
        <v>897</v>
      </c>
      <c r="R1138" s="63" t="str">
        <f>VLOOKUP($Q1138,Resultados!$A$1:$B$49,2,FALSE)</f>
        <v>Libertad</v>
      </c>
      <c r="S1138" s="63" t="s">
        <v>1793</v>
      </c>
      <c r="T1138" s="81" t="str">
        <f>IF(G1138=$J$1,"SI","NO")</f>
        <v>NO</v>
      </c>
      <c r="U1138" s="81"/>
      <c r="V1138" s="7" t="str">
        <f ca="1">IF(color_Celda(E1138)=12106214,"ROSA",IF(color_Celda(E1138)=65535,"AMARILLO",IF(color_Celda(E1138)=5296274,"VERDE",IF(color_Celda(E1138)=16777215,"BLANCO","NO SE"))))</f>
        <v>ROSA</v>
      </c>
      <c r="W1138" s="63" t="s">
        <v>1796</v>
      </c>
      <c r="X1138" s="63" t="s">
        <v>4891</v>
      </c>
      <c r="Y1138" s="336"/>
      <c r="Z1138" s="336"/>
      <c r="AA1138" s="118" t="s">
        <v>3379</v>
      </c>
      <c r="AB1138" s="63" t="s">
        <v>3258</v>
      </c>
      <c r="AC1138" s="336"/>
    </row>
    <row r="1139" spans="1:29" ht="60" customHeight="1">
      <c r="A1139" s="336">
        <v>1145</v>
      </c>
      <c r="B1139" s="349">
        <v>45278</v>
      </c>
      <c r="C1139" s="568">
        <v>0.49444444444444446</v>
      </c>
      <c r="D1139" s="336" t="s">
        <v>2901</v>
      </c>
      <c r="E1139" s="355" t="s">
        <v>4377</v>
      </c>
      <c r="F1139" s="336">
        <v>1</v>
      </c>
      <c r="G1139" s="336" t="s">
        <v>43</v>
      </c>
      <c r="H1139" s="383">
        <v>45282</v>
      </c>
      <c r="I1139" s="65" t="s">
        <v>1206</v>
      </c>
      <c r="J1139" s="65" t="s">
        <v>1216</v>
      </c>
      <c r="K1139" s="63" t="s">
        <v>4057</v>
      </c>
      <c r="L1139" s="63" t="s">
        <v>582</v>
      </c>
      <c r="M1139" s="63" t="s">
        <v>711</v>
      </c>
      <c r="N1139" s="63" t="s">
        <v>4904</v>
      </c>
      <c r="O1139" s="78" t="str">
        <f ca="1">IF(H1139&lt;&gt;"",IF(H1139&lt;=TODAY(),"SI","NO"),"LIMBO")</f>
        <v>SI</v>
      </c>
      <c r="P1139" s="78" t="str">
        <f>IF($P$1=H1139,"DIASOL", "DIANOSOL")</f>
        <v>DIANOSOL</v>
      </c>
      <c r="Q1139" s="63" t="s">
        <v>151</v>
      </c>
      <c r="R1139" s="63" t="str">
        <f>VLOOKUP($Q1139,Resultados!$A$1:$B$49,2,FALSE)</f>
        <v>Prisión Preventiva</v>
      </c>
      <c r="S1139" s="63" t="s">
        <v>1442</v>
      </c>
      <c r="T1139" s="81" t="str">
        <f>IF(G1139=$J$1,"SI","NO")</f>
        <v>NO</v>
      </c>
      <c r="U1139" s="81"/>
      <c r="V1139" s="7" t="str">
        <f ca="1">IF(color_Celda(E1139)=12106214,"ROSA",IF(color_Celda(E1139)=65535,"AMARILLO",IF(color_Celda(E1139)=5296274,"VERDE",IF(color_Celda(E1139)=16777215,"BLANCO","NO SE"))))</f>
        <v>ROSA</v>
      </c>
      <c r="W1139" s="63" t="s">
        <v>3157</v>
      </c>
      <c r="X1139" s="63" t="s">
        <v>4891</v>
      </c>
      <c r="Y1139" s="336"/>
      <c r="Z1139" s="336"/>
      <c r="AA1139" s="63"/>
      <c r="AB1139" s="63" t="s">
        <v>1171</v>
      </c>
      <c r="AC1139" s="336"/>
    </row>
    <row r="1140" spans="1:29" ht="60" customHeight="1">
      <c r="A1140" s="336">
        <v>1234</v>
      </c>
      <c r="B1140" s="349">
        <v>45240</v>
      </c>
      <c r="C1140" s="568">
        <v>0.37152777777777773</v>
      </c>
      <c r="D1140" s="336" t="s">
        <v>3954</v>
      </c>
      <c r="E1140" s="355" t="s">
        <v>3973</v>
      </c>
      <c r="F1140" s="336">
        <v>3</v>
      </c>
      <c r="G1140" s="336" t="s">
        <v>2766</v>
      </c>
      <c r="H1140" s="383">
        <v>45282</v>
      </c>
      <c r="I1140" s="65" t="s">
        <v>77</v>
      </c>
      <c r="J1140" s="349" t="s">
        <v>1216</v>
      </c>
      <c r="K1140" s="63" t="s">
        <v>4851</v>
      </c>
      <c r="L1140" s="63" t="s">
        <v>811</v>
      </c>
      <c r="M1140" s="63" t="s">
        <v>695</v>
      </c>
      <c r="N1140" s="63" t="s">
        <v>4905</v>
      </c>
      <c r="O1140" s="78" t="str">
        <f ca="1">IF(H1140&lt;&gt;"",IF(H1140&lt;=TODAY(),"SI","NO"),"LIMBO")</f>
        <v>SI</v>
      </c>
      <c r="P1140" s="78" t="str">
        <f>IF($P$1=H1140,"DIASOL", "DIANOSOL")</f>
        <v>DIANOSOL</v>
      </c>
      <c r="Q1140" s="63" t="s">
        <v>903</v>
      </c>
      <c r="R1140" s="63" t="s">
        <v>100</v>
      </c>
      <c r="S1140" s="63" t="s">
        <v>3226</v>
      </c>
      <c r="T1140" s="81" t="str">
        <f>IF(G1140=$J$1,"SI","NO")</f>
        <v>NO</v>
      </c>
      <c r="U1140" s="81"/>
      <c r="V1140" s="7" t="str">
        <f ca="1">IF(color_Celda(E1140)=12106214,"ROSA",IF(color_Celda(E1140)=65535,"AMARILLO",IF(color_Celda(E1140)=5296274,"VERDE",IF(color_Celda(E1140)=16777215,"BLANCO","NO SE"))))</f>
        <v>ROSA</v>
      </c>
      <c r="W1140" s="63" t="s">
        <v>3626</v>
      </c>
      <c r="X1140" s="63" t="s">
        <v>4875</v>
      </c>
      <c r="Y1140" s="336"/>
      <c r="Z1140" s="336"/>
      <c r="AA1140" s="336"/>
      <c r="AB1140" s="336"/>
      <c r="AC1140" s="336"/>
    </row>
    <row r="1141" spans="1:29" ht="60" customHeight="1">
      <c r="A1141" s="336">
        <v>1104</v>
      </c>
      <c r="B1141" s="349">
        <v>45266</v>
      </c>
      <c r="C1141" s="568">
        <v>0.33333333333333331</v>
      </c>
      <c r="D1141" s="63" t="s">
        <v>4405</v>
      </c>
      <c r="E1141" s="64" t="s">
        <v>4406</v>
      </c>
      <c r="F1141" s="336">
        <v>4</v>
      </c>
      <c r="G1141" s="336" t="s">
        <v>3791</v>
      </c>
      <c r="H1141" s="383">
        <v>45286</v>
      </c>
      <c r="I1141" s="65" t="s">
        <v>73</v>
      </c>
      <c r="J1141" s="349" t="s">
        <v>33</v>
      </c>
      <c r="K1141" s="336">
        <f>IFERROR(VLOOKUP(J1141,Jueces!$A$1:$B$11,2,FALSE),"")</f>
        <v>4</v>
      </c>
      <c r="L1141" s="63" t="s">
        <v>2077</v>
      </c>
      <c r="M1141" s="63" t="s">
        <v>4966</v>
      </c>
      <c r="N1141" s="205" t="s">
        <v>4967</v>
      </c>
      <c r="O1141" s="78" t="str">
        <f ca="1">IF(H1141&lt;&gt;"",IF(H1141&lt;=TODAY(),"SI","NO"),"LIMBO")</f>
        <v>SI</v>
      </c>
      <c r="P1141" s="78" t="str">
        <f>IF($P$1=H1141,"DIASOL", "DIANOSOL")</f>
        <v>DIANOSOL</v>
      </c>
      <c r="Q1141" s="63" t="s">
        <v>151</v>
      </c>
      <c r="R1141" s="63" t="str">
        <f>VLOOKUP($Q1141,Resultados!$A$1:$B$49,2,FALSE)</f>
        <v>Prisión Preventiva</v>
      </c>
      <c r="S1141" s="63" t="s">
        <v>1291</v>
      </c>
      <c r="T1141" s="81" t="str">
        <f>IF(G1141=$J$1,"SI","NO")</f>
        <v>NO</v>
      </c>
      <c r="U1141" s="81"/>
      <c r="V1141" s="7" t="str">
        <f ca="1">IF(color_Celda(E1141)=12106214,"ROSA",IF(color_Celda(E1141)=65535,"AMARILLO",IF(color_Celda(E1141)=5296274,"VERDE",IF(color_Celda(E1141)=16777215,"BLANCO","NO SE"))))</f>
        <v>ROSA</v>
      </c>
      <c r="W1141" s="63" t="s">
        <v>1491</v>
      </c>
      <c r="X1141" s="63" t="s">
        <v>4968</v>
      </c>
      <c r="Y1141" s="336"/>
      <c r="Z1141" s="63" t="s">
        <v>1038</v>
      </c>
      <c r="AA1141" s="118" t="s">
        <v>1167</v>
      </c>
      <c r="AB1141" s="63" t="s">
        <v>1173</v>
      </c>
      <c r="AC1141" s="336"/>
    </row>
    <row r="1142" spans="1:29" ht="60" customHeight="1">
      <c r="A1142" s="336">
        <v>1114</v>
      </c>
      <c r="B1142" s="349">
        <v>45266</v>
      </c>
      <c r="C1142" s="568">
        <v>0.45902777777777781</v>
      </c>
      <c r="D1142" s="63" t="s">
        <v>4452</v>
      </c>
      <c r="E1142" s="64" t="s">
        <v>4453</v>
      </c>
      <c r="F1142" s="336">
        <v>5</v>
      </c>
      <c r="G1142" s="336" t="s">
        <v>29</v>
      </c>
      <c r="H1142" s="383">
        <v>45286</v>
      </c>
      <c r="I1142" s="65" t="s">
        <v>73</v>
      </c>
      <c r="J1142" s="349" t="s">
        <v>78</v>
      </c>
      <c r="K1142" s="336">
        <f>IFERROR(VLOOKUP(J1142,Jueces!$A$1:$B$11,2,FALSE),"")</f>
        <v>8</v>
      </c>
      <c r="L1142" s="63" t="s">
        <v>808</v>
      </c>
      <c r="M1142" s="63" t="s">
        <v>2353</v>
      </c>
      <c r="N1142" s="205" t="s">
        <v>4969</v>
      </c>
      <c r="O1142" s="78" t="str">
        <f ca="1">IF(H1142&lt;&gt;"",IF(H1142&lt;=TODAY(),"SI","NO"),"LIMBO")</f>
        <v>SI</v>
      </c>
      <c r="P1142" s="78" t="str">
        <f>IF($P$1=H1142,"DIASOL", "DIANOSOL")</f>
        <v>DIANOSOL</v>
      </c>
      <c r="Q1142" s="63" t="s">
        <v>903</v>
      </c>
      <c r="R1142" s="63" t="str">
        <f>VLOOKUP($Q1142,Resultados!$A$1:$B$49,2,FALSE)</f>
        <v>Juicio Abreviado</v>
      </c>
      <c r="S1142" s="63" t="s">
        <v>686</v>
      </c>
      <c r="T1142" s="81" t="str">
        <f>IF(G1142=$J$1,"SI","NO")</f>
        <v>NO</v>
      </c>
      <c r="U1142" s="81"/>
      <c r="V1142" s="7" t="str">
        <f ca="1">IF(color_Celda(E1142)=12106214,"ROSA",IF(color_Celda(E1142)=65535,"AMARILLO",IF(color_Celda(E1142)=5296274,"VERDE",IF(color_Celda(E1142)=16777215,"BLANCO","NO SE"))))</f>
        <v>ROSA</v>
      </c>
      <c r="W1142" s="63" t="s">
        <v>1083</v>
      </c>
      <c r="X1142" s="63" t="s">
        <v>4163</v>
      </c>
      <c r="Y1142" s="336"/>
      <c r="Z1142" s="63" t="s">
        <v>770</v>
      </c>
      <c r="AA1142" s="118" t="s">
        <v>3379</v>
      </c>
      <c r="AB1142" s="63" t="s">
        <v>1169</v>
      </c>
      <c r="AC1142" s="336"/>
    </row>
    <row r="1143" spans="1:29" ht="60" customHeight="1">
      <c r="A1143" s="336">
        <v>1130</v>
      </c>
      <c r="B1143" s="349">
        <v>45267</v>
      </c>
      <c r="C1143" s="568">
        <v>0.33333333333333331</v>
      </c>
      <c r="D1143" s="63" t="s">
        <v>4508</v>
      </c>
      <c r="E1143" s="64" t="s">
        <v>4586</v>
      </c>
      <c r="F1143" s="336">
        <v>5</v>
      </c>
      <c r="G1143" s="336" t="s">
        <v>3324</v>
      </c>
      <c r="H1143" s="383">
        <v>45286</v>
      </c>
      <c r="I1143" s="65" t="s">
        <v>73</v>
      </c>
      <c r="J1143" s="349" t="s">
        <v>31</v>
      </c>
      <c r="K1143" s="336">
        <f>IFERROR(VLOOKUP(J1143,Jueces!$A$1:$B$11,2,FALSE),"")</f>
        <v>2</v>
      </c>
      <c r="L1143" s="63" t="s">
        <v>806</v>
      </c>
      <c r="M1143" s="335" t="s">
        <v>1639</v>
      </c>
      <c r="N1143" s="205" t="s">
        <v>2832</v>
      </c>
      <c r="O1143" s="78" t="str">
        <f ca="1">IF(H1143&lt;&gt;"",IF(H1143&lt;=TODAY(),"SI","NO"),"LIMBO")</f>
        <v>SI</v>
      </c>
      <c r="P1143" s="78" t="str">
        <f>IF($P$1=H1143,"DIASOL", "DIANOSOL")</f>
        <v>DIANOSOL</v>
      </c>
      <c r="Q1143" s="63" t="s">
        <v>902</v>
      </c>
      <c r="R1143" s="63" t="str">
        <f>VLOOKUP($Q1143,Resultados!$A$1:$B$49,2,FALSE)</f>
        <v>Juicio Abreviado</v>
      </c>
      <c r="S1143" s="63" t="s">
        <v>1641</v>
      </c>
      <c r="T1143" s="81" t="str">
        <f>IF(G1143=$J$1,"SI","NO")</f>
        <v>NO</v>
      </c>
      <c r="U1143" s="81"/>
      <c r="V1143" s="7" t="str">
        <f ca="1">IF(color_Celda(E1143)=12106214,"ROSA",IF(color_Celda(E1143)=65535,"AMARILLO",IF(color_Celda(E1143)=5296274,"VERDE",IF(color_Celda(E1143)=16777215,"BLANCO","NO SE"))))</f>
        <v>ROSA</v>
      </c>
      <c r="W1143" s="63" t="s">
        <v>1031</v>
      </c>
      <c r="X1143" s="63" t="s">
        <v>1757</v>
      </c>
      <c r="Y1143" s="336"/>
      <c r="Z1143" s="63" t="s">
        <v>3368</v>
      </c>
      <c r="AA1143" s="118" t="s">
        <v>2869</v>
      </c>
      <c r="AB1143" s="63" t="s">
        <v>1171</v>
      </c>
      <c r="AC1143" s="336"/>
    </row>
    <row r="1144" spans="1:29" ht="60" customHeight="1">
      <c r="A1144" s="336">
        <v>1134</v>
      </c>
      <c r="B1144" s="65">
        <v>45267</v>
      </c>
      <c r="C1144" s="568">
        <v>0.52708333333333335</v>
      </c>
      <c r="D1144" s="63" t="s">
        <v>4538</v>
      </c>
      <c r="E1144" s="64" t="s">
        <v>4539</v>
      </c>
      <c r="F1144" s="336">
        <v>4</v>
      </c>
      <c r="G1144" s="63" t="s">
        <v>3323</v>
      </c>
      <c r="H1144" s="383">
        <v>45286</v>
      </c>
      <c r="I1144" s="65" t="s">
        <v>73</v>
      </c>
      <c r="J1144" s="349" t="s">
        <v>35</v>
      </c>
      <c r="K1144" s="336">
        <f>IFERROR(VLOOKUP(J1144,Jueces!$A$1:$B$11,2,FALSE),"")</f>
        <v>3</v>
      </c>
      <c r="L1144" s="63" t="s">
        <v>805</v>
      </c>
      <c r="M1144" s="63" t="s">
        <v>2549</v>
      </c>
      <c r="N1144" s="205" t="s">
        <v>4964</v>
      </c>
      <c r="O1144" s="78" t="str">
        <f ca="1">IF(H1144&lt;&gt;"",IF(H1144&lt;=TODAY(),"SI","NO"),"LIMBO")</f>
        <v>SI</v>
      </c>
      <c r="P1144" s="78" t="str">
        <f>IF($P$1=H1144,"DIASOL", "DIANOSOL")</f>
        <v>DIANOSOL</v>
      </c>
      <c r="Q1144" s="63" t="s">
        <v>902</v>
      </c>
      <c r="R1144" s="63" t="str">
        <f>VLOOKUP($Q1144,Resultados!$A$1:$B$49,2,FALSE)</f>
        <v>Juicio Abreviado</v>
      </c>
      <c r="S1144" s="63" t="s">
        <v>1576</v>
      </c>
      <c r="T1144" s="81" t="str">
        <f>IF(G1144=$J$1,"SI","NO")</f>
        <v>NO</v>
      </c>
      <c r="U1144" s="81"/>
      <c r="V1144" s="7" t="str">
        <f ca="1">IF(color_Celda(E1144)=12106214,"ROSA",IF(color_Celda(E1144)=65535,"AMARILLO",IF(color_Celda(E1144)=5296274,"VERDE",IF(color_Celda(E1144)=16777215,"BLANCO","NO SE"))))</f>
        <v>ROSA</v>
      </c>
      <c r="W1144" s="63" t="s">
        <v>1031</v>
      </c>
      <c r="X1144" s="63" t="s">
        <v>4965</v>
      </c>
      <c r="Y1144" s="336"/>
      <c r="Z1144" s="63" t="s">
        <v>748</v>
      </c>
      <c r="AA1144" s="118" t="s">
        <v>3378</v>
      </c>
      <c r="AB1144" s="63" t="s">
        <v>1173</v>
      </c>
      <c r="AC1144" s="336"/>
    </row>
    <row r="1145" spans="1:29" ht="60" customHeight="1">
      <c r="A1145" s="336">
        <v>1102</v>
      </c>
      <c r="B1145" s="349">
        <v>45264</v>
      </c>
      <c r="C1145" s="63" t="s">
        <v>4401</v>
      </c>
      <c r="D1145" s="63" t="s">
        <v>4402</v>
      </c>
      <c r="E1145" s="64" t="s">
        <v>4403</v>
      </c>
      <c r="F1145" s="336">
        <v>5</v>
      </c>
      <c r="G1145" s="63" t="s">
        <v>1433</v>
      </c>
      <c r="H1145" s="383">
        <v>45286</v>
      </c>
      <c r="I1145" s="65" t="s">
        <v>1083</v>
      </c>
      <c r="J1145" s="65" t="s">
        <v>31</v>
      </c>
      <c r="K1145" s="336">
        <f>IFERROR(VLOOKUP(J1145,Jueces!$A$1:$B$11,2,FALSE),"")</f>
        <v>2</v>
      </c>
      <c r="L1145" s="63" t="s">
        <v>2077</v>
      </c>
      <c r="M1145" s="7" t="s">
        <v>2107</v>
      </c>
      <c r="N1145" s="205" t="s">
        <v>4970</v>
      </c>
      <c r="O1145" s="78" t="str">
        <f ca="1">IF(H1145&lt;&gt;"",IF(H1145&lt;=TODAY(),"SI","NO"),"LIMBO")</f>
        <v>SI</v>
      </c>
      <c r="P1145" s="78" t="str">
        <f>IF($P$1=H1145,"DIASOL", "DIANOSOL")</f>
        <v>DIANOSOL</v>
      </c>
      <c r="Q1145" s="63" t="s">
        <v>151</v>
      </c>
      <c r="R1145" s="63" t="str">
        <f>VLOOKUP($Q1145,Resultados!$A$1:$B$49,2,FALSE)</f>
        <v>Prisión Preventiva</v>
      </c>
      <c r="S1145" s="63" t="s">
        <v>1275</v>
      </c>
      <c r="T1145" s="81" t="str">
        <f>IF(G1145=$J$1,"SI","NO")</f>
        <v>NO</v>
      </c>
      <c r="U1145" s="81"/>
      <c r="V1145" s="7" t="str">
        <f ca="1">IF(color_Celda(E1145)=12106214,"ROSA",IF(color_Celda(E1145)=65535,"AMARILLO",IF(color_Celda(E1145)=5296274,"VERDE",IF(color_Celda(E1145)=16777215,"BLANCO","NO SE"))))</f>
        <v>ROSA</v>
      </c>
      <c r="W1145" s="63" t="s">
        <v>1562</v>
      </c>
      <c r="X1145" s="63" t="s">
        <v>4971</v>
      </c>
      <c r="Y1145" s="336"/>
      <c r="Z1145" s="63" t="s">
        <v>3368</v>
      </c>
      <c r="AA1145" s="118" t="s">
        <v>2828</v>
      </c>
      <c r="AB1145" s="63" t="s">
        <v>1169</v>
      </c>
      <c r="AC1145" s="336"/>
    </row>
    <row r="1146" spans="1:29" ht="60" customHeight="1">
      <c r="A1146" s="336">
        <v>1131</v>
      </c>
      <c r="B1146" s="349">
        <v>45267</v>
      </c>
      <c r="C1146" s="568">
        <v>0.33333333333333331</v>
      </c>
      <c r="D1146" s="63" t="s">
        <v>4509</v>
      </c>
      <c r="E1146" s="64" t="s">
        <v>4510</v>
      </c>
      <c r="F1146" s="336">
        <v>5</v>
      </c>
      <c r="G1146" s="336" t="s">
        <v>2752</v>
      </c>
      <c r="H1146" s="383">
        <v>45286</v>
      </c>
      <c r="I1146" s="65" t="s">
        <v>1083</v>
      </c>
      <c r="J1146" s="349" t="s">
        <v>78</v>
      </c>
      <c r="K1146" s="336">
        <f>IFERROR(VLOOKUP(J1146,Jueces!$A$1:$B$11,2,FALSE),"")</f>
        <v>8</v>
      </c>
      <c r="L1146" s="63" t="s">
        <v>802</v>
      </c>
      <c r="M1146" s="63" t="s">
        <v>4972</v>
      </c>
      <c r="N1146" s="205" t="s">
        <v>4973</v>
      </c>
      <c r="O1146" s="78" t="str">
        <f ca="1">IF(H1146&lt;&gt;"",IF(H1146&lt;=TODAY(),"SI","NO"),"LIMBO")</f>
        <v>SI</v>
      </c>
      <c r="P1146" s="78" t="str">
        <f>IF($P$1=H1146,"DIASOL", "DIANOSOL")</f>
        <v>DIANOSOL</v>
      </c>
      <c r="Q1146" s="63" t="s">
        <v>151</v>
      </c>
      <c r="R1146" s="63" t="str">
        <f>VLOOKUP($Q1146,Resultados!$A$1:$B$49,2,FALSE)</f>
        <v>Prisión Preventiva</v>
      </c>
      <c r="S1146" s="63" t="s">
        <v>1033</v>
      </c>
      <c r="T1146" s="81" t="str">
        <f>IF(G1146=$J$1,"SI","NO")</f>
        <v>NO</v>
      </c>
      <c r="U1146" s="81"/>
      <c r="V1146" s="7" t="str">
        <f ca="1">IF(color_Celda(E1146)=12106214,"ROSA",IF(color_Celda(E1146)=65535,"AMARILLO",IF(color_Celda(E1146)=5296274,"VERDE",IF(color_Celda(E1146)=16777215,"BLANCO","NO SE"))))</f>
        <v>ROSA</v>
      </c>
      <c r="W1146" s="568">
        <v>0.41805555555555557</v>
      </c>
      <c r="X1146" s="63" t="s">
        <v>4974</v>
      </c>
      <c r="Y1146" s="336"/>
      <c r="Z1146" s="63" t="s">
        <v>770</v>
      </c>
      <c r="AA1146" s="118" t="s">
        <v>2869</v>
      </c>
      <c r="AB1146" s="63" t="s">
        <v>1171</v>
      </c>
      <c r="AC1146" s="336"/>
    </row>
    <row r="1147" spans="1:29" ht="60" customHeight="1">
      <c r="A1147" s="336">
        <v>1150</v>
      </c>
      <c r="B1147" s="349">
        <v>45272</v>
      </c>
      <c r="C1147" s="568">
        <v>0.5</v>
      </c>
      <c r="D1147" s="336" t="s">
        <v>3945</v>
      </c>
      <c r="E1147" s="355" t="s">
        <v>3946</v>
      </c>
      <c r="F1147" s="336">
        <v>2</v>
      </c>
      <c r="G1147" s="336" t="s">
        <v>568</v>
      </c>
      <c r="H1147" s="383">
        <v>45286</v>
      </c>
      <c r="I1147" s="65" t="s">
        <v>1083</v>
      </c>
      <c r="J1147" s="349" t="s">
        <v>35</v>
      </c>
      <c r="K1147" s="336">
        <f>IFERROR(VLOOKUP(J1147,Jueces!$A$1:$B$11,2,FALSE),"")</f>
        <v>3</v>
      </c>
      <c r="L1147" s="63" t="s">
        <v>2092</v>
      </c>
      <c r="M1147" s="63" t="s">
        <v>3977</v>
      </c>
      <c r="N1147" s="63" t="s">
        <v>4975</v>
      </c>
      <c r="O1147" s="78" t="str">
        <f ca="1">IF(H1147&lt;&gt;"",IF(H1147&lt;=TODAY(),"SI","NO"),"LIMBO")</f>
        <v>SI</v>
      </c>
      <c r="P1147" s="78" t="str">
        <f>IF($P$1=H1147,"DIASOL", "DIANOSOL")</f>
        <v>DIANOSOL</v>
      </c>
      <c r="Q1147" s="63" t="s">
        <v>151</v>
      </c>
      <c r="R1147" s="63" t="str">
        <f>VLOOKUP($Q1147,Resultados!$A$1:$B$49,2,FALSE)</f>
        <v>Prisión Preventiva</v>
      </c>
      <c r="S1147" s="70">
        <v>0.39861111111111108</v>
      </c>
      <c r="T1147" s="81" t="str">
        <f>IF(G1147=$J$1,"SI","NO")</f>
        <v>NO</v>
      </c>
      <c r="U1147" s="81"/>
      <c r="V1147" s="7" t="str">
        <f ca="1">IF(color_Celda(E1147)=12106214,"ROSA",IF(color_Celda(E1147)=65535,"AMARILLO",IF(color_Celda(E1147)=5296274,"VERDE",IF(color_Celda(E1147)=16777215,"BLANCO","NO SE"))))</f>
        <v>ROSA</v>
      </c>
      <c r="W1147" s="63" t="s">
        <v>3514</v>
      </c>
      <c r="X1147" s="536" t="s">
        <v>4976</v>
      </c>
      <c r="Y1147" s="336"/>
      <c r="Z1147" s="63" t="s">
        <v>748</v>
      </c>
      <c r="AA1147" s="118" t="s">
        <v>3379</v>
      </c>
      <c r="AB1147" s="63" t="s">
        <v>1171</v>
      </c>
      <c r="AC1147" s="336"/>
    </row>
    <row r="1148" spans="1:29" ht="60" customHeight="1">
      <c r="A1148" s="336">
        <v>1155</v>
      </c>
      <c r="B1148" s="349">
        <v>45272</v>
      </c>
      <c r="C1148" s="568">
        <v>0.53125</v>
      </c>
      <c r="D1148" s="325" t="s">
        <v>4597</v>
      </c>
      <c r="E1148" s="64" t="s">
        <v>4598</v>
      </c>
      <c r="F1148" s="336">
        <v>6</v>
      </c>
      <c r="G1148" s="336" t="s">
        <v>2815</v>
      </c>
      <c r="H1148" s="383">
        <v>45286</v>
      </c>
      <c r="I1148" s="65" t="s">
        <v>1083</v>
      </c>
      <c r="J1148" s="65" t="s">
        <v>1216</v>
      </c>
      <c r="K1148" s="336">
        <v>7</v>
      </c>
      <c r="L1148" s="63" t="s">
        <v>2076</v>
      </c>
      <c r="M1148" s="335" t="s">
        <v>4621</v>
      </c>
      <c r="N1148" s="205" t="s">
        <v>1744</v>
      </c>
      <c r="O1148" s="78" t="str">
        <f ca="1">IF(H1148&lt;&gt;"",IF(H1148&lt;=TODAY(),"SI","NO"),"LIMBO")</f>
        <v>SI</v>
      </c>
      <c r="P1148" s="78" t="str">
        <f>IF($P$1=H1148,"DIASOL", "DIANOSOL")</f>
        <v>DIANOSOL</v>
      </c>
      <c r="Q1148" s="63" t="s">
        <v>151</v>
      </c>
      <c r="R1148" s="63" t="str">
        <f>VLOOKUP($Q1148,Resultados!$A$1:$B$49,2,FALSE)</f>
        <v>Prisión Preventiva</v>
      </c>
      <c r="S1148" s="63" t="s">
        <v>1240</v>
      </c>
      <c r="T1148" s="81" t="str">
        <f>IF(G1148=$J$1,"SI","NO")</f>
        <v>NO</v>
      </c>
      <c r="U1148" s="81"/>
      <c r="V1148" s="7" t="str">
        <f ca="1">IF(color_Celda(E1148)=12106214,"ROSA",IF(color_Celda(E1148)=65535,"AMARILLO",IF(color_Celda(E1148)=5296274,"VERDE",IF(color_Celda(E1148)=16777215,"BLANCO","NO SE"))))</f>
        <v>ROSA</v>
      </c>
      <c r="W1148" s="63" t="s">
        <v>4446</v>
      </c>
      <c r="X1148" s="336"/>
      <c r="Y1148" s="336"/>
      <c r="Z1148" s="63" t="s">
        <v>743</v>
      </c>
      <c r="AA1148" s="118" t="s">
        <v>1167</v>
      </c>
      <c r="AB1148" s="63" t="s">
        <v>1173</v>
      </c>
      <c r="AC1148" s="336" t="s">
        <v>1792</v>
      </c>
    </row>
    <row r="1149" spans="1:29" ht="60" customHeight="1">
      <c r="A1149" s="336">
        <v>1176</v>
      </c>
      <c r="B1149" s="349">
        <v>45278</v>
      </c>
      <c r="C1149" s="70">
        <v>0.33333333333333331</v>
      </c>
      <c r="D1149" s="336" t="s">
        <v>4135</v>
      </c>
      <c r="E1149" s="355" t="s">
        <v>4136</v>
      </c>
      <c r="F1149" s="336">
        <v>4</v>
      </c>
      <c r="G1149" s="336" t="s">
        <v>1435</v>
      </c>
      <c r="H1149" s="383">
        <v>45286</v>
      </c>
      <c r="I1149" s="65" t="s">
        <v>1442</v>
      </c>
      <c r="J1149" s="349" t="s">
        <v>33</v>
      </c>
      <c r="K1149" s="336">
        <f>IFERROR(VLOOKUP(J1149,Jueces!$A$1:$B$11,2,FALSE),"")</f>
        <v>4</v>
      </c>
      <c r="L1149" s="63" t="s">
        <v>2092</v>
      </c>
      <c r="M1149" s="63" t="s">
        <v>4674</v>
      </c>
      <c r="N1149" s="205" t="s">
        <v>4978</v>
      </c>
      <c r="O1149" s="78" t="str">
        <f ca="1">IF(H1149&lt;&gt;"",IF(H1149&lt;=TODAY(),"SI","NO"),"LIMBO")</f>
        <v>SI</v>
      </c>
      <c r="P1149" s="78" t="str">
        <f>IF($P$1=H1149,"DIASOL", "DIANOSOL")</f>
        <v>DIANOSOL</v>
      </c>
      <c r="Q1149" s="63" t="s">
        <v>897</v>
      </c>
      <c r="R1149" s="63" t="str">
        <f>VLOOKUP($Q1149,Resultados!$A$1:$B$49,2,FALSE)</f>
        <v>Libertad</v>
      </c>
      <c r="S1149" s="63" t="s">
        <v>2575</v>
      </c>
      <c r="T1149" s="81" t="str">
        <f>IF(G1149=$J$1,"SI","NO")</f>
        <v>SI</v>
      </c>
      <c r="U1149" s="81"/>
      <c r="V1149" s="7" t="str">
        <f ca="1">IF(color_Celda(E1149)=12106214,"ROSA",IF(color_Celda(E1149)=65535,"AMARILLO",IF(color_Celda(E1149)=5296274,"VERDE",IF(color_Celda(E1149)=16777215,"BLANCO","NO SE"))))</f>
        <v>ROSA</v>
      </c>
      <c r="W1149" s="63" t="s">
        <v>4572</v>
      </c>
      <c r="X1149" s="63" t="s">
        <v>4979</v>
      </c>
      <c r="Y1149" s="336"/>
      <c r="Z1149" s="63" t="s">
        <v>748</v>
      </c>
      <c r="AA1149" s="118" t="s">
        <v>2828</v>
      </c>
      <c r="AB1149" s="63" t="s">
        <v>1169</v>
      </c>
      <c r="AC1149" s="336"/>
    </row>
    <row r="1150" spans="1:29" ht="60" customHeight="1">
      <c r="A1150" s="63">
        <v>1233</v>
      </c>
      <c r="B1150" s="65">
        <v>45201</v>
      </c>
      <c r="C1150" s="63" t="s">
        <v>2739</v>
      </c>
      <c r="D1150" s="63" t="s">
        <v>3106</v>
      </c>
      <c r="E1150" s="64" t="s">
        <v>3107</v>
      </c>
      <c r="F1150" s="63">
        <v>1</v>
      </c>
      <c r="G1150" s="63" t="s">
        <v>43</v>
      </c>
      <c r="H1150" s="208">
        <v>45287</v>
      </c>
      <c r="I1150" s="65" t="s">
        <v>73</v>
      </c>
      <c r="J1150" s="65" t="s">
        <v>1216</v>
      </c>
      <c r="K1150" s="63">
        <v>1</v>
      </c>
      <c r="L1150" s="63" t="s">
        <v>810</v>
      </c>
      <c r="M1150" s="63" t="s">
        <v>712</v>
      </c>
      <c r="N1150" s="63" t="s">
        <v>4982</v>
      </c>
      <c r="O1150" s="78" t="str">
        <f ca="1">IF(H1150&lt;&gt;"",IF(H1150&lt;=TODAY(),"SI","NO"),"LIMBO")</f>
        <v>SI</v>
      </c>
      <c r="P1150" s="78" t="str">
        <f>IF($P$1=H1150,"DIASOL", "DIANOSOL")</f>
        <v>DIANOSOL</v>
      </c>
      <c r="Q1150" s="63" t="s">
        <v>911</v>
      </c>
      <c r="R1150" s="63" t="s">
        <v>911</v>
      </c>
      <c r="S1150" s="63" t="s">
        <v>1491</v>
      </c>
      <c r="T1150" s="81" t="str">
        <f>IF(G1150=$J$1,"SI","NO")</f>
        <v>NO</v>
      </c>
      <c r="U1150" s="81"/>
      <c r="V1150" s="7" t="str">
        <f ca="1">IF(color_Celda(E1150)=12106214,"ROSA",IF(color_Celda(E1150)=65535,"AMARILLO",IF(color_Celda(E1150)=5296274,"VERDE",IF(color_Celda(E1150)=16777215,"BLANCO","NO SE"))))</f>
        <v>ROSA</v>
      </c>
      <c r="W1150" s="63" t="s">
        <v>1033</v>
      </c>
      <c r="X1150" s="63" t="s">
        <v>4983</v>
      </c>
      <c r="Y1150" s="63"/>
      <c r="Z1150" s="304" t="s">
        <v>748</v>
      </c>
      <c r="AA1150" s="304" t="s">
        <v>1165</v>
      </c>
      <c r="AB1150" s="304" t="s">
        <v>1171</v>
      </c>
      <c r="AC1150" s="336"/>
    </row>
    <row r="1151" spans="1:29" ht="60" customHeight="1">
      <c r="A1151" s="336">
        <v>1175</v>
      </c>
      <c r="B1151" s="349">
        <v>45252</v>
      </c>
      <c r="C1151" s="568">
        <v>0.43888888888888888</v>
      </c>
      <c r="D1151" s="336" t="s">
        <v>4188</v>
      </c>
      <c r="E1151" s="64" t="s">
        <v>4699</v>
      </c>
      <c r="F1151" s="336">
        <v>3</v>
      </c>
      <c r="G1151" s="336" t="s">
        <v>1435</v>
      </c>
      <c r="H1151" s="383">
        <v>45287</v>
      </c>
      <c r="I1151" s="65" t="s">
        <v>73</v>
      </c>
      <c r="J1151" s="349" t="s">
        <v>33</v>
      </c>
      <c r="K1151" s="336">
        <f>IFERROR(VLOOKUP(J1151,Jueces!$A$1:$B$11,2,FALSE),"")</f>
        <v>4</v>
      </c>
      <c r="L1151" s="63" t="s">
        <v>688</v>
      </c>
      <c r="M1151" s="63" t="s">
        <v>723</v>
      </c>
      <c r="N1151" s="63" t="s">
        <v>4981</v>
      </c>
      <c r="O1151" s="78" t="str">
        <f ca="1">IF(H1151&lt;&gt;"",IF(H1151&lt;=TODAY(),"SI","NO"),"LIMBO")</f>
        <v>SI</v>
      </c>
      <c r="P1151" s="78" t="str">
        <f>IF($P$1=H1151,"DIASOL", "DIANOSOL")</f>
        <v>DIANOSOL</v>
      </c>
      <c r="Q1151" s="63" t="s">
        <v>151</v>
      </c>
      <c r="R1151" s="63" t="str">
        <f>VLOOKUP($Q1151,Resultados!$A$1:$B$49,2,FALSE)</f>
        <v>Prisión Preventiva</v>
      </c>
      <c r="S1151" s="63" t="s">
        <v>2689</v>
      </c>
      <c r="T1151" s="81" t="str">
        <f>IF(G1151=$J$1,"SI","NO")</f>
        <v>SI</v>
      </c>
      <c r="U1151" s="81"/>
      <c r="V1151" s="7" t="str">
        <f ca="1">IF(color_Celda(E1151)=12106214,"ROSA",IF(color_Celda(E1151)=65535,"AMARILLO",IF(color_Celda(E1151)=5296274,"VERDE",IF(color_Celda(E1151)=16777215,"BLANCO","NO SE"))))</f>
        <v>ROSA</v>
      </c>
      <c r="W1151" s="63" t="s">
        <v>1239</v>
      </c>
      <c r="X1151" s="336"/>
      <c r="Y1151" s="336"/>
      <c r="Z1151" s="63" t="s">
        <v>3368</v>
      </c>
      <c r="AA1151" s="118" t="s">
        <v>3379</v>
      </c>
      <c r="AB1151" s="63" t="s">
        <v>1169</v>
      </c>
      <c r="AC1151" s="336"/>
    </row>
    <row r="1152" spans="1:29" ht="60" customHeight="1">
      <c r="A1152" s="336">
        <v>1133</v>
      </c>
      <c r="B1152" s="349">
        <v>45267</v>
      </c>
      <c r="C1152" s="568">
        <v>0.51736111111111105</v>
      </c>
      <c r="D1152" s="63" t="s">
        <v>4516</v>
      </c>
      <c r="E1152" s="64" t="s">
        <v>4517</v>
      </c>
      <c r="F1152" s="336">
        <v>6</v>
      </c>
      <c r="G1152" s="63" t="s">
        <v>1433</v>
      </c>
      <c r="H1152" s="383">
        <v>45287</v>
      </c>
      <c r="I1152" s="65" t="s">
        <v>73</v>
      </c>
      <c r="J1152" s="65" t="s">
        <v>35</v>
      </c>
      <c r="K1152" s="336">
        <f>IFERROR(VLOOKUP(J1152,Jueces!$A$1:$B$11,2,FALSE),"")</f>
        <v>3</v>
      </c>
      <c r="L1152" s="63" t="s">
        <v>2092</v>
      </c>
      <c r="M1152" s="389" t="s">
        <v>2124</v>
      </c>
      <c r="N1152" s="63" t="s">
        <v>1744</v>
      </c>
      <c r="O1152" s="78" t="str">
        <f ca="1">IF(H1152&lt;&gt;"",IF(H1152&lt;=TODAY(),"SI","NO"),"LIMBO")</f>
        <v>SI</v>
      </c>
      <c r="P1152" s="78" t="str">
        <f>IF($P$1=H1152,"DIASOL", "DIANOSOL")</f>
        <v>DIANOSOL</v>
      </c>
      <c r="Q1152" s="63" t="s">
        <v>151</v>
      </c>
      <c r="R1152" s="63" t="str">
        <f>VLOOKUP($Q1152,Resultados!$A$1:$B$49,2,FALSE)</f>
        <v>Prisión Preventiva</v>
      </c>
      <c r="S1152" s="63" t="s">
        <v>749</v>
      </c>
      <c r="T1152" s="81" t="str">
        <f>IF(G1152=$J$1,"SI","NO")</f>
        <v>NO</v>
      </c>
      <c r="U1152" s="81"/>
      <c r="V1152" s="7" t="str">
        <f ca="1">IF(color_Celda(E1152)=12106214,"ROSA",IF(color_Celda(E1152)=65535,"AMARILLO",IF(color_Celda(E1152)=5296274,"VERDE",IF(color_Celda(E1152)=16777215,"BLANCO","NO SE"))))</f>
        <v>ROSA</v>
      </c>
      <c r="W1152" s="63" t="s">
        <v>76</v>
      </c>
      <c r="X1152" s="63" t="s">
        <v>4987</v>
      </c>
      <c r="Y1152" s="336"/>
      <c r="Z1152" s="336" t="s">
        <v>770</v>
      </c>
      <c r="AA1152" s="118" t="s">
        <v>3378</v>
      </c>
      <c r="AB1152" s="63" t="s">
        <v>1173</v>
      </c>
      <c r="AC1152" s="336"/>
    </row>
    <row r="1153" spans="1:29" ht="60" customHeight="1">
      <c r="A1153" s="336">
        <v>1156</v>
      </c>
      <c r="B1153" s="349">
        <v>45272</v>
      </c>
      <c r="C1153" s="568">
        <v>0.53125</v>
      </c>
      <c r="D1153" s="63" t="s">
        <v>4599</v>
      </c>
      <c r="E1153" s="64" t="s">
        <v>4600</v>
      </c>
      <c r="F1153" s="336">
        <v>6</v>
      </c>
      <c r="G1153" s="336" t="s">
        <v>3791</v>
      </c>
      <c r="H1153" s="383">
        <v>45287</v>
      </c>
      <c r="I1153" s="65" t="s">
        <v>73</v>
      </c>
      <c r="J1153" s="349" t="s">
        <v>31</v>
      </c>
      <c r="K1153" s="336">
        <v>2</v>
      </c>
      <c r="L1153" s="63" t="s">
        <v>798</v>
      </c>
      <c r="M1153" s="63" t="s">
        <v>725</v>
      </c>
      <c r="N1153" s="205" t="s">
        <v>4980</v>
      </c>
      <c r="O1153" s="78" t="str">
        <f ca="1">IF(H1153&lt;&gt;"",IF(H1153&lt;=TODAY(),"SI","NO"),"LIMBO")</f>
        <v>SI</v>
      </c>
      <c r="P1153" s="78" t="str">
        <f>IF($P$1=H1153,"DIASOL", "DIANOSOL")</f>
        <v>DIANOSOL</v>
      </c>
      <c r="Q1153" s="63" t="s">
        <v>903</v>
      </c>
      <c r="R1153" s="63" t="str">
        <f>VLOOKUP($Q1153,Resultados!$A$1:$B$49,2,FALSE)</f>
        <v>Juicio Abreviado</v>
      </c>
      <c r="S1153" s="63" t="s">
        <v>1328</v>
      </c>
      <c r="T1153" s="81" t="str">
        <f>IF(G1153=$J$1,"SI","NO")</f>
        <v>NO</v>
      </c>
      <c r="U1153" s="81"/>
      <c r="V1153" s="7" t="str">
        <f ca="1">IF(color_Celda(E1153)=12106214,"ROSA",IF(color_Celda(E1153)=65535,"AMARILLO",IF(color_Celda(E1153)=5296274,"VERDE",IF(color_Celda(E1153)=16777215,"BLANCO","NO SE"))))</f>
        <v>ROSA</v>
      </c>
      <c r="W1153" s="63" t="s">
        <v>1006</v>
      </c>
      <c r="X1153" s="63" t="s">
        <v>1498</v>
      </c>
      <c r="Y1153" s="336"/>
      <c r="Z1153" s="336" t="s">
        <v>1038</v>
      </c>
      <c r="AA1153" s="118" t="s">
        <v>2828</v>
      </c>
      <c r="AB1153" s="63" t="s">
        <v>1170</v>
      </c>
      <c r="AC1153" s="336"/>
    </row>
    <row r="1154" spans="1:29" ht="60" customHeight="1">
      <c r="A1154" s="336">
        <v>1128</v>
      </c>
      <c r="B1154" s="349">
        <v>45267</v>
      </c>
      <c r="C1154" s="568">
        <v>0.33333333333333331</v>
      </c>
      <c r="D1154" s="336" t="s">
        <v>3690</v>
      </c>
      <c r="E1154" s="355" t="s">
        <v>3691</v>
      </c>
      <c r="F1154" s="336">
        <v>3</v>
      </c>
      <c r="G1154" s="336" t="s">
        <v>3323</v>
      </c>
      <c r="H1154" s="383">
        <v>45287</v>
      </c>
      <c r="I1154" s="65" t="s">
        <v>749</v>
      </c>
      <c r="J1154" s="349" t="s">
        <v>1221</v>
      </c>
      <c r="K1154" s="336">
        <f>IFERROR(VLOOKUP(J1154,Jueces!$A$1:$B$11,2,FALSE),"")</f>
        <v>6</v>
      </c>
      <c r="L1154" s="63" t="s">
        <v>1647</v>
      </c>
      <c r="M1154" s="63" t="s">
        <v>3725</v>
      </c>
      <c r="N1154" s="205" t="s">
        <v>4990</v>
      </c>
      <c r="O1154" s="78" t="str">
        <f ca="1">IF(H1154&lt;&gt;"",IF(H1154&lt;=TODAY(),"SI","NO"),"LIMBO")</f>
        <v>SI</v>
      </c>
      <c r="P1154" s="78" t="str">
        <f>IF($P$1=H1154,"DIASOL", "DIANOSOL")</f>
        <v>DIANOSOL</v>
      </c>
      <c r="Q1154" s="63" t="s">
        <v>911</v>
      </c>
      <c r="R1154" s="63" t="str">
        <f>VLOOKUP($Q1154,Resultados!$A$1:$B$49,2,FALSE)</f>
        <v>Prision domiciliaria</v>
      </c>
      <c r="S1154" s="63" t="s">
        <v>1183</v>
      </c>
      <c r="T1154" s="81" t="str">
        <f>IF(G1154=$J$1,"SI","NO")</f>
        <v>NO</v>
      </c>
      <c r="U1154" s="81"/>
      <c r="V1154" s="7" t="str">
        <f ca="1">IF(color_Celda(E1154)=12106214,"ROSA",IF(color_Celda(E1154)=65535,"AMARILLO",IF(color_Celda(E1154)=5296274,"VERDE",IF(color_Celda(E1154)=16777215,"BLANCO","NO SE"))))</f>
        <v>ROSA</v>
      </c>
      <c r="W1154" s="63" t="s">
        <v>1502</v>
      </c>
      <c r="X1154" s="7" t="s">
        <v>4991</v>
      </c>
      <c r="Y1154" s="336"/>
      <c r="Z1154" s="336" t="s">
        <v>743</v>
      </c>
      <c r="AA1154" s="118" t="s">
        <v>1167</v>
      </c>
      <c r="AB1154" s="63" t="s">
        <v>1173</v>
      </c>
      <c r="AC1154" s="336"/>
    </row>
    <row r="1155" spans="1:29" ht="60" customHeight="1">
      <c r="A1155" s="336">
        <v>1141</v>
      </c>
      <c r="B1155" s="349">
        <v>45271</v>
      </c>
      <c r="C1155" s="568">
        <v>0.50972222222222219</v>
      </c>
      <c r="D1155" s="63" t="s">
        <v>4552</v>
      </c>
      <c r="E1155" s="64" t="s">
        <v>4553</v>
      </c>
      <c r="F1155" s="336">
        <v>5</v>
      </c>
      <c r="G1155" s="63" t="s">
        <v>3324</v>
      </c>
      <c r="H1155" s="383">
        <v>45287</v>
      </c>
      <c r="I1155" s="65" t="s">
        <v>1083</v>
      </c>
      <c r="J1155" s="65" t="s">
        <v>78</v>
      </c>
      <c r="K1155" s="336">
        <f>IFERROR(VLOOKUP(J1155,Jueces!$A$1:$B$11,2,FALSE),"")</f>
        <v>8</v>
      </c>
      <c r="L1155" s="63" t="s">
        <v>808</v>
      </c>
      <c r="M1155" s="63" t="s">
        <v>2107</v>
      </c>
      <c r="N1155" s="205" t="s">
        <v>4977</v>
      </c>
      <c r="O1155" s="78" t="str">
        <f ca="1">IF(H1155&lt;&gt;"",IF(H1155&lt;=TODAY(),"SI","NO"),"LIMBO")</f>
        <v>SI</v>
      </c>
      <c r="P1155" s="78" t="str">
        <f>IF($P$1=H1155,"DIASOL", "DIANOSOL")</f>
        <v>DIANOSOL</v>
      </c>
      <c r="Q1155" s="63" t="s">
        <v>897</v>
      </c>
      <c r="R1155" s="63" t="str">
        <f>VLOOKUP($Q1155,Resultados!$A$1:$B$49,2,FALSE)</f>
        <v>Libertad</v>
      </c>
      <c r="S1155" s="63" t="s">
        <v>4988</v>
      </c>
      <c r="T1155" s="81" t="str">
        <f>IF(G1155=$J$1,"SI","NO")</f>
        <v>NO</v>
      </c>
      <c r="U1155" s="81"/>
      <c r="V1155" s="7" t="str">
        <f ca="1">IF(color_Celda(E1155)=12106214,"ROSA",IF(color_Celda(E1155)=65535,"AMARILLO",IF(color_Celda(E1155)=5296274,"VERDE",IF(color_Celda(E1155)=16777215,"BLANCO","NO SE"))))</f>
        <v>ROSA</v>
      </c>
      <c r="W1155" s="63" t="s">
        <v>3363</v>
      </c>
      <c r="X1155" s="390" t="s">
        <v>4989</v>
      </c>
      <c r="Y1155" s="336"/>
      <c r="Z1155" s="336" t="s">
        <v>770</v>
      </c>
      <c r="AA1155" s="118" t="s">
        <v>1167</v>
      </c>
      <c r="AB1155" s="63" t="s">
        <v>1170</v>
      </c>
      <c r="AC1155" s="336"/>
    </row>
    <row r="1156" spans="1:29" ht="60" customHeight="1">
      <c r="A1156" s="336">
        <v>1153</v>
      </c>
      <c r="B1156" s="349">
        <v>45272</v>
      </c>
      <c r="C1156" s="568">
        <v>0.53125</v>
      </c>
      <c r="D1156" s="63" t="s">
        <v>4593</v>
      </c>
      <c r="E1156" s="64" t="s">
        <v>4594</v>
      </c>
      <c r="F1156" s="336">
        <v>6</v>
      </c>
      <c r="G1156" s="336" t="s">
        <v>568</v>
      </c>
      <c r="H1156" s="383">
        <v>45287</v>
      </c>
      <c r="I1156" s="65" t="s">
        <v>1083</v>
      </c>
      <c r="J1156" s="349" t="s">
        <v>1216</v>
      </c>
      <c r="K1156" s="336">
        <f>IFERROR(VLOOKUP(J1156,Jueces!$A$1:$B$11,2,FALSE),"")</f>
        <v>1</v>
      </c>
      <c r="L1156" s="63" t="s">
        <v>809</v>
      </c>
      <c r="M1156" s="63" t="s">
        <v>725</v>
      </c>
      <c r="N1156" s="205" t="s">
        <v>4977</v>
      </c>
      <c r="O1156" s="78" t="str">
        <f ca="1">IF(H1156&lt;&gt;"",IF(H1156&lt;=TODAY(),"SI","NO"),"LIMBO")</f>
        <v>SI</v>
      </c>
      <c r="P1156" s="78" t="str">
        <f>IF($P$1=H1156,"DIASOL", "DIANOSOL")</f>
        <v>DIANOSOL</v>
      </c>
      <c r="Q1156" s="63" t="s">
        <v>897</v>
      </c>
      <c r="R1156" s="63" t="str">
        <f>VLOOKUP($Q1156,Resultados!$A$1:$B$49,2,FALSE)</f>
        <v>Libertad</v>
      </c>
      <c r="S1156" s="63" t="s">
        <v>3157</v>
      </c>
      <c r="T1156" s="81" t="str">
        <f>IF(G1156=$J$1,"SI","NO")</f>
        <v>NO</v>
      </c>
      <c r="U1156" s="81"/>
      <c r="V1156" s="7" t="str">
        <f ca="1">IF(color_Celda(E1156)=12106214,"ROSA",IF(color_Celda(E1156)=65535,"AMARILLO",IF(color_Celda(E1156)=5296274,"VERDE",IF(color_Celda(E1156)=16777215,"BLANCO","NO SE"))))</f>
        <v>ROSA</v>
      </c>
      <c r="W1156" s="63" t="s">
        <v>3232</v>
      </c>
      <c r="X1156" s="63" t="s">
        <v>4984</v>
      </c>
      <c r="Y1156" s="336"/>
      <c r="Z1156" s="336" t="s">
        <v>748</v>
      </c>
      <c r="AA1156" s="118" t="s">
        <v>3379</v>
      </c>
      <c r="AB1156" s="63" t="s">
        <v>1169</v>
      </c>
      <c r="AC1156" s="336"/>
    </row>
    <row r="1157" spans="1:29" ht="60" customHeight="1">
      <c r="A1157" s="336">
        <v>1140</v>
      </c>
      <c r="B1157" s="349">
        <v>45271</v>
      </c>
      <c r="C1157" s="568">
        <v>0.47083333333333338</v>
      </c>
      <c r="D1157" s="63" t="s">
        <v>6274</v>
      </c>
      <c r="E1157" s="64" t="s">
        <v>4551</v>
      </c>
      <c r="F1157" s="336">
        <v>5</v>
      </c>
      <c r="G1157" s="336" t="s">
        <v>2766</v>
      </c>
      <c r="H1157" s="383">
        <v>45287</v>
      </c>
      <c r="I1157" s="65" t="s">
        <v>1206</v>
      </c>
      <c r="J1157" s="349" t="s">
        <v>1216</v>
      </c>
      <c r="K1157" s="336">
        <f>IFERROR(VLOOKUP(J1157,Jueces!$A$1:$B$11,2,FALSE),"")</f>
        <v>1</v>
      </c>
      <c r="L1157" s="63" t="s">
        <v>508</v>
      </c>
      <c r="M1157" s="335" t="s">
        <v>1426</v>
      </c>
      <c r="N1157" s="63" t="s">
        <v>4894</v>
      </c>
      <c r="O1157" s="78" t="str">
        <f ca="1">IF(H1157&lt;&gt;"",IF(H1157&lt;=TODAY(),"SI","NO"),"LIMBO")</f>
        <v>SI</v>
      </c>
      <c r="P1157" s="78" t="str">
        <f>IF($P$1=H1157,"DIASOL", "DIANOSOL")</f>
        <v>DIANOSOL</v>
      </c>
      <c r="Q1157" s="63" t="s">
        <v>151</v>
      </c>
      <c r="R1157" s="63" t="str">
        <f>VLOOKUP($Q1157,Resultados!$A$1:$B$49,2,FALSE)</f>
        <v>Prisión Preventiva</v>
      </c>
      <c r="S1157" s="63" t="s">
        <v>1236</v>
      </c>
      <c r="T1157" s="81" t="str">
        <f>IF(G1157=$J$1,"SI","NO")</f>
        <v>NO</v>
      </c>
      <c r="U1157" s="81"/>
      <c r="V1157" s="7" t="str">
        <f ca="1">IF(color_Celda(E1157)=12106214,"ROSA",IF(color_Celda(E1157)=65535,"AMARILLO",IF(color_Celda(E1157)=5296274,"VERDE",IF(color_Celda(E1157)=16777215,"BLANCO","NO SE"))))</f>
        <v>ROSA</v>
      </c>
      <c r="W1157" s="63" t="s">
        <v>3527</v>
      </c>
      <c r="X1157" s="536" t="s">
        <v>4989</v>
      </c>
      <c r="Y1157" s="336"/>
      <c r="Z1157" s="336" t="s">
        <v>748</v>
      </c>
      <c r="AA1157" s="118" t="s">
        <v>3378</v>
      </c>
      <c r="AB1157" s="63" t="s">
        <v>1171</v>
      </c>
      <c r="AC1157" s="336"/>
    </row>
    <row r="1158" spans="1:29" ht="60" customHeight="1">
      <c r="A1158" s="336">
        <v>1157</v>
      </c>
      <c r="B1158" s="65">
        <v>45272</v>
      </c>
      <c r="C1158" s="568">
        <v>0.53125</v>
      </c>
      <c r="D1158" s="63" t="s">
        <v>4601</v>
      </c>
      <c r="E1158" s="64" t="s">
        <v>4602</v>
      </c>
      <c r="F1158" s="336">
        <v>6</v>
      </c>
      <c r="G1158" s="336" t="s">
        <v>2752</v>
      </c>
      <c r="H1158" s="383">
        <v>45287</v>
      </c>
      <c r="I1158" s="65" t="s">
        <v>1206</v>
      </c>
      <c r="J1158" s="349" t="s">
        <v>33</v>
      </c>
      <c r="K1158" s="336">
        <v>4</v>
      </c>
      <c r="L1158" s="63" t="s">
        <v>811</v>
      </c>
      <c r="M1158" s="63" t="s">
        <v>725</v>
      </c>
      <c r="N1158" s="205" t="s">
        <v>4985</v>
      </c>
      <c r="O1158" s="78" t="str">
        <f ca="1">IF(H1158&lt;&gt;"",IF(H1158&lt;=TODAY(),"SI","NO"),"LIMBO")</f>
        <v>SI</v>
      </c>
      <c r="P1158" s="78" t="str">
        <f>IF($P$1=H1158,"DIASOL", "DIANOSOL")</f>
        <v>DIANOSOL</v>
      </c>
      <c r="Q1158" s="63" t="s">
        <v>902</v>
      </c>
      <c r="R1158" s="63" t="str">
        <f>VLOOKUP($Q1158,Resultados!$A$1:$B$49,2,FALSE)</f>
        <v>Juicio Abreviado</v>
      </c>
      <c r="S1158" s="63" t="s">
        <v>1774</v>
      </c>
      <c r="T1158" s="81" t="str">
        <f>IF(G1158=$J$1,"SI","NO")</f>
        <v>NO</v>
      </c>
      <c r="U1158" s="81"/>
      <c r="V1158" s="7" t="str">
        <f ca="1">IF(color_Celda(E1158)=12106214,"ROSA",IF(color_Celda(E1158)=65535,"AMARILLO",IF(color_Celda(E1158)=5296274,"VERDE",IF(color_Celda(E1158)=16777215,"BLANCO","NO SE"))))</f>
        <v>ROSA</v>
      </c>
      <c r="W1158" s="63" t="s">
        <v>3465</v>
      </c>
      <c r="X1158" s="63" t="s">
        <v>1883</v>
      </c>
      <c r="Y1158" s="336"/>
      <c r="Z1158" s="63" t="s">
        <v>3368</v>
      </c>
      <c r="AA1158" s="118" t="s">
        <v>2869</v>
      </c>
      <c r="AB1158" s="63" t="s">
        <v>1173</v>
      </c>
      <c r="AC1158" s="336"/>
    </row>
    <row r="1159" spans="1:29" ht="60" customHeight="1">
      <c r="A1159" s="336">
        <v>1199</v>
      </c>
      <c r="B1159" s="349">
        <v>45282</v>
      </c>
      <c r="C1159" s="70">
        <v>0.33333333333333331</v>
      </c>
      <c r="D1159" s="336" t="s">
        <v>4194</v>
      </c>
      <c r="E1159" s="355" t="s">
        <v>4543</v>
      </c>
      <c r="F1159" s="336">
        <v>4</v>
      </c>
      <c r="G1159" s="63" t="s">
        <v>2815</v>
      </c>
      <c r="H1159" s="383">
        <v>45287</v>
      </c>
      <c r="I1159" s="65" t="s">
        <v>77</v>
      </c>
      <c r="J1159" s="65" t="s">
        <v>31</v>
      </c>
      <c r="K1159" s="336">
        <f>IFERROR(VLOOKUP(J1159,Jueces!$A$1:$B$11,2,FALSE),"")</f>
        <v>2</v>
      </c>
      <c r="L1159" s="63" t="s">
        <v>806</v>
      </c>
      <c r="M1159" s="63" t="s">
        <v>1866</v>
      </c>
      <c r="N1159" s="205" t="s">
        <v>4986</v>
      </c>
      <c r="O1159" s="78" t="str">
        <f ca="1">IF(H1159&lt;&gt;"",IF(H1159&lt;=TODAY(),"SI","NO"),"LIMBO")</f>
        <v>SI</v>
      </c>
      <c r="P1159" s="78" t="str">
        <f>IF($P$1=H1159,"DIASOL", "DIANOSOL")</f>
        <v>DIANOSOL</v>
      </c>
      <c r="Q1159" s="63" t="s">
        <v>902</v>
      </c>
      <c r="R1159" s="63" t="str">
        <f>VLOOKUP($Q1159,Resultados!$A$1:$B$49,2,FALSE)</f>
        <v>Juicio Abreviado</v>
      </c>
      <c r="S1159" s="63" t="s">
        <v>1237</v>
      </c>
      <c r="T1159" s="81" t="str">
        <f>IF(G1159=$J$1,"SI","NO")</f>
        <v>NO</v>
      </c>
      <c r="U1159" s="81"/>
      <c r="V1159" s="7" t="str">
        <f ca="1">IF(color_Celda(E1159)=12106214,"ROSA",IF(color_Celda(E1159)=65535,"AMARILLO",IF(color_Celda(E1159)=5296274,"VERDE",IF(color_Celda(E1159)=16777215,"BLANCO","NO SE"))))</f>
        <v>ROSA</v>
      </c>
      <c r="W1159" s="63" t="s">
        <v>4387</v>
      </c>
      <c r="X1159" s="336"/>
      <c r="Y1159" s="336"/>
      <c r="Z1159" s="336" t="s">
        <v>770</v>
      </c>
      <c r="AA1159" s="63" t="s">
        <v>2869</v>
      </c>
      <c r="AB1159" s="63" t="s">
        <v>1170</v>
      </c>
      <c r="AC1159" s="336"/>
    </row>
    <row r="1160" spans="1:29" ht="60" customHeight="1">
      <c r="A1160" s="336">
        <v>1154</v>
      </c>
      <c r="B1160" s="349">
        <v>45272</v>
      </c>
      <c r="C1160" s="568">
        <v>0.53125</v>
      </c>
      <c r="D1160" s="63" t="s">
        <v>4595</v>
      </c>
      <c r="E1160" s="64" t="s">
        <v>4596</v>
      </c>
      <c r="F1160" s="336">
        <v>6</v>
      </c>
      <c r="G1160" s="336" t="s">
        <v>3324</v>
      </c>
      <c r="H1160" s="383">
        <v>45288</v>
      </c>
      <c r="I1160" s="65" t="s">
        <v>73</v>
      </c>
      <c r="J1160" s="349" t="s">
        <v>35</v>
      </c>
      <c r="K1160" s="336">
        <f>IFERROR(VLOOKUP(J1160,Jueces!$A$1:$B$11,2,FALSE),"")</f>
        <v>3</v>
      </c>
      <c r="L1160" s="63" t="s">
        <v>807</v>
      </c>
      <c r="M1160" s="63" t="s">
        <v>725</v>
      </c>
      <c r="N1160" s="205" t="s">
        <v>4177</v>
      </c>
      <c r="O1160" s="78" t="str">
        <f ca="1">IF(H1160&lt;&gt;"",IF(H1160&lt;=TODAY(),"SI","NO"),"LIMBO")</f>
        <v>SI</v>
      </c>
      <c r="P1160" s="78" t="str">
        <f>IF($P$1=H1160,"DIASOL", "DIANOSOL")</f>
        <v>DIANOSOL</v>
      </c>
      <c r="Q1160" s="63" t="s">
        <v>902</v>
      </c>
      <c r="R1160" s="63" t="str">
        <f>VLOOKUP($Q1160,Resultados!$A$1:$B$49,2,FALSE)</f>
        <v>Juicio Abreviado</v>
      </c>
      <c r="S1160" s="63" t="s">
        <v>3097</v>
      </c>
      <c r="T1160" s="81" t="str">
        <f>IF(G1160=$J$1,"SI","NO")</f>
        <v>NO</v>
      </c>
      <c r="U1160" s="81"/>
      <c r="V1160" s="7" t="str">
        <f ca="1">IF(color_Celda(E1160)=12106214,"ROSA",IF(color_Celda(E1160)=65535,"AMARILLO",IF(color_Celda(E1160)=5296274,"VERDE",IF(color_Celda(E1160)=16777215,"BLANCO","NO SE"))))</f>
        <v>ROSA</v>
      </c>
      <c r="W1160" s="63" t="s">
        <v>1604</v>
      </c>
      <c r="X1160" s="63" t="s">
        <v>1746</v>
      </c>
      <c r="Y1160" s="336"/>
      <c r="Z1160" s="63" t="s">
        <v>1038</v>
      </c>
      <c r="AA1160" s="118" t="s">
        <v>2828</v>
      </c>
      <c r="AB1160" s="63" t="s">
        <v>1171</v>
      </c>
      <c r="AC1160" s="336"/>
    </row>
    <row r="1161" spans="1:29" ht="60" customHeight="1">
      <c r="A1161" s="336">
        <v>1152</v>
      </c>
      <c r="B1161" s="349">
        <v>45273</v>
      </c>
      <c r="C1161" s="568">
        <v>0.35972222222222222</v>
      </c>
      <c r="D1161" s="63" t="s">
        <v>4590</v>
      </c>
      <c r="E1161" s="64" t="s">
        <v>4591</v>
      </c>
      <c r="F1161" s="336">
        <v>5</v>
      </c>
      <c r="G1161" s="336" t="s">
        <v>1435</v>
      </c>
      <c r="H1161" s="383">
        <v>45288</v>
      </c>
      <c r="I1161" s="65" t="s">
        <v>73</v>
      </c>
      <c r="J1161" s="349" t="s">
        <v>4931</v>
      </c>
      <c r="K1161" s="63" t="s">
        <v>2285</v>
      </c>
      <c r="L1161" s="63" t="s">
        <v>508</v>
      </c>
      <c r="M1161" s="373" t="s">
        <v>4592</v>
      </c>
      <c r="N1161" s="205" t="s">
        <v>4994</v>
      </c>
      <c r="O1161" s="78" t="str">
        <f ca="1">IF(H1161&lt;&gt;"",IF(H1161&lt;=TODAY(),"SI","NO"),"LIMBO")</f>
        <v>SI</v>
      </c>
      <c r="P1161" s="78" t="str">
        <f>IF($P$1=H1161,"DIASOL", "DIANOSOL")</f>
        <v>DIANOSOL</v>
      </c>
      <c r="Q1161" s="63" t="s">
        <v>911</v>
      </c>
      <c r="R1161" s="63" t="str">
        <f>VLOOKUP($Q1161,Resultados!$A$1:$B$49,2,FALSE)</f>
        <v>Prision domiciliaria</v>
      </c>
      <c r="S1161" s="63" t="s">
        <v>1231</v>
      </c>
      <c r="T1161" s="81" t="str">
        <f>IF(G1161=$J$1,"SI","NO")</f>
        <v>SI</v>
      </c>
      <c r="U1161" s="81"/>
      <c r="V1161" s="7" t="str">
        <f ca="1">IF(color_Celda(E1161)=12106214,"ROSA",IF(color_Celda(E1161)=65535,"AMARILLO",IF(color_Celda(E1161)=5296274,"VERDE",IF(color_Celda(E1161)=16777215,"BLANCO","NO SE"))))</f>
        <v>ROSA</v>
      </c>
      <c r="W1161" s="63" t="s">
        <v>2685</v>
      </c>
      <c r="X1161" s="336"/>
      <c r="Y1161" s="336"/>
      <c r="Z1161" s="63" t="s">
        <v>743</v>
      </c>
      <c r="AA1161" s="118" t="s">
        <v>1167</v>
      </c>
      <c r="AB1161" s="63" t="s">
        <v>1170</v>
      </c>
      <c r="AC1161" s="336"/>
    </row>
    <row r="1162" spans="1:29" ht="60" customHeight="1">
      <c r="A1162" s="336">
        <v>1148</v>
      </c>
      <c r="B1162" s="349">
        <v>45282</v>
      </c>
      <c r="C1162" s="568">
        <v>0.33333333333333331</v>
      </c>
      <c r="D1162" s="63" t="s">
        <v>4564</v>
      </c>
      <c r="E1162" s="64" t="s">
        <v>4565</v>
      </c>
      <c r="F1162" s="336">
        <v>5</v>
      </c>
      <c r="G1162" s="336" t="s">
        <v>3791</v>
      </c>
      <c r="H1162" s="383">
        <v>45288</v>
      </c>
      <c r="I1162" s="65" t="s">
        <v>73</v>
      </c>
      <c r="J1162" s="349" t="s">
        <v>78</v>
      </c>
      <c r="K1162" s="336">
        <f>IFERROR(VLOOKUP(J1162,Jueces!$A$1:$B$11,2,FALSE),"")</f>
        <v>8</v>
      </c>
      <c r="L1162" s="63" t="s">
        <v>806</v>
      </c>
      <c r="M1162" s="63" t="s">
        <v>4958</v>
      </c>
      <c r="N1162" s="63" t="s">
        <v>4992</v>
      </c>
      <c r="O1162" s="78" t="str">
        <f ca="1">IF(H1162&lt;&gt;"",IF(H1162&lt;=TODAY(),"SI","NO"),"LIMBO")</f>
        <v>SI</v>
      </c>
      <c r="P1162" s="78" t="str">
        <f>IF($P$1=H1162,"DIASOL", "DIANOSOL")</f>
        <v>DIANOSOL</v>
      </c>
      <c r="Q1162" s="63" t="s">
        <v>910</v>
      </c>
      <c r="R1162" s="63" t="str">
        <f>VLOOKUP($Q1162,Resultados!$A$1:$B$49,2,FALSE)</f>
        <v>Suspendida</v>
      </c>
      <c r="S1162" s="63" t="s">
        <v>749</v>
      </c>
      <c r="T1162" s="81" t="str">
        <f>IF(G1162=$J$1,"SI","NO")</f>
        <v>NO</v>
      </c>
      <c r="U1162" s="81"/>
      <c r="V1162" s="7" t="str">
        <f ca="1">IF(color_Celda(E1162)=12106214,"ROSA",IF(color_Celda(E1162)=65535,"AMARILLO",IF(color_Celda(E1162)=5296274,"VERDE",IF(color_Celda(E1162)=16777215,"BLANCO","NO SE"))))</f>
        <v>ROSA</v>
      </c>
      <c r="W1162" s="63" t="s">
        <v>1083</v>
      </c>
      <c r="X1162" s="63" t="s">
        <v>4993</v>
      </c>
      <c r="Y1162" s="336"/>
      <c r="Z1162" s="63" t="s">
        <v>770</v>
      </c>
      <c r="AA1162" s="118" t="s">
        <v>3379</v>
      </c>
      <c r="AB1162" s="63" t="s">
        <v>1169</v>
      </c>
      <c r="AC1162" s="336"/>
    </row>
    <row r="1163" spans="1:29" ht="60" customHeight="1">
      <c r="A1163" s="336">
        <v>1158</v>
      </c>
      <c r="B1163" s="349">
        <v>45282</v>
      </c>
      <c r="C1163" s="70" t="s">
        <v>5011</v>
      </c>
      <c r="D1163" s="336" t="s">
        <v>3419</v>
      </c>
      <c r="E1163" s="64" t="s">
        <v>4603</v>
      </c>
      <c r="F1163" s="336">
        <v>1</v>
      </c>
      <c r="G1163" s="336" t="s">
        <v>1433</v>
      </c>
      <c r="H1163" s="383">
        <v>45288</v>
      </c>
      <c r="I1163" s="65" t="s">
        <v>73</v>
      </c>
      <c r="J1163" s="349" t="s">
        <v>31</v>
      </c>
      <c r="K1163" s="336">
        <f>IFERROR(VLOOKUP(J1163,Jueces!$A$1:$B$11,2,FALSE),"")</f>
        <v>2</v>
      </c>
      <c r="L1163" s="63" t="s">
        <v>810</v>
      </c>
      <c r="M1163" s="63" t="s">
        <v>783</v>
      </c>
      <c r="N1163" s="63" t="s">
        <v>5005</v>
      </c>
      <c r="O1163" s="206" t="str">
        <f ca="1">IF(H1163&lt;&gt;"",IF(H1163&lt;=TODAY(),"SI","NO"),"LIMBO")</f>
        <v>SI</v>
      </c>
      <c r="P1163" s="206" t="str">
        <f>IF($P$1=H1163,"DIASOL", "DIANOSOL")</f>
        <v>DIANOSOL</v>
      </c>
      <c r="Q1163" s="63" t="s">
        <v>910</v>
      </c>
      <c r="R1163" s="63" t="str">
        <f>VLOOKUP($Q1163,Resultados!$A$1:$B$49,2,FALSE)</f>
        <v>Suspendida</v>
      </c>
      <c r="S1163" s="63"/>
      <c r="T1163" s="267" t="str">
        <f>IF(G1163=$J$1,"SI","NO")</f>
        <v>NO</v>
      </c>
      <c r="U1163" s="267"/>
      <c r="V1163" s="7" t="str">
        <f ca="1">IF(color_Celda(E1163)=12106214,"ROSA",IF(color_Celda(E1163)=65535,"AMARILLO",IF(color_Celda(E1163)=5296274,"VERDE",IF(color_Celda(E1163)=16777215,"BLANCO","NO SE"))))</f>
        <v>ROSA</v>
      </c>
      <c r="W1163" s="336"/>
      <c r="X1163" s="336"/>
      <c r="Y1163" s="336"/>
      <c r="Z1163" s="63" t="s">
        <v>3368</v>
      </c>
      <c r="AA1163" s="118" t="s">
        <v>2869</v>
      </c>
      <c r="AB1163" s="63" t="s">
        <v>1173</v>
      </c>
      <c r="AC1163" s="336"/>
    </row>
    <row r="1164" spans="1:29" ht="60" customHeight="1">
      <c r="A1164" s="336">
        <v>1165</v>
      </c>
      <c r="B1164" s="349">
        <v>45273</v>
      </c>
      <c r="C1164" s="568">
        <v>0.52222222222222225</v>
      </c>
      <c r="D1164" s="63" t="s">
        <v>4612</v>
      </c>
      <c r="E1164" s="64" t="s">
        <v>4618</v>
      </c>
      <c r="F1164" s="336">
        <v>6</v>
      </c>
      <c r="G1164" s="336" t="s">
        <v>2752</v>
      </c>
      <c r="H1164" s="383">
        <v>45288</v>
      </c>
      <c r="I1164" s="65" t="s">
        <v>1083</v>
      </c>
      <c r="J1164" s="349" t="s">
        <v>1216</v>
      </c>
      <c r="K1164" s="336">
        <f>IFERROR(VLOOKUP(J1164,Jueces!$A$1:$B$11,2,FALSE),"")</f>
        <v>1</v>
      </c>
      <c r="L1164" s="63" t="s">
        <v>811</v>
      </c>
      <c r="M1164" s="63" t="s">
        <v>723</v>
      </c>
      <c r="N1164" s="205" t="s">
        <v>4995</v>
      </c>
      <c r="O1164" s="78" t="str">
        <f ca="1">IF(H1164&lt;&gt;"",IF(H1164&lt;=TODAY(),"SI","NO"),"LIMBO")</f>
        <v>SI</v>
      </c>
      <c r="P1164" s="78" t="str">
        <f>IF($P$1=H1164,"DIASOL", "DIANOSOL")</f>
        <v>DIANOSOL</v>
      </c>
      <c r="Q1164" s="63" t="s">
        <v>902</v>
      </c>
      <c r="R1164" s="63" t="str">
        <f>VLOOKUP($Q1164,Resultados!$A$1:$B$49,2,FALSE)</f>
        <v>Juicio Abreviado</v>
      </c>
      <c r="S1164" s="63" t="s">
        <v>3244</v>
      </c>
      <c r="T1164" s="81" t="str">
        <f>IF(G1164=$J$1,"SI","NO")</f>
        <v>NO</v>
      </c>
      <c r="U1164" s="81"/>
      <c r="V1164" s="7" t="str">
        <f ca="1">IF(color_Celda(E1164)=12106214,"ROSA",IF(color_Celda(E1164)=65535,"AMARILLO",IF(color_Celda(E1164)=5296274,"VERDE",IF(color_Celda(E1164)=16777215,"BLANCO","NO SE"))))</f>
        <v>ROSA</v>
      </c>
      <c r="W1164" s="63" t="s">
        <v>2663</v>
      </c>
      <c r="X1164" s="536" t="s">
        <v>4996</v>
      </c>
      <c r="Y1164" s="336"/>
      <c r="Z1164" s="63" t="s">
        <v>748</v>
      </c>
      <c r="AA1164" s="118" t="s">
        <v>3378</v>
      </c>
      <c r="AB1164" s="63" t="s">
        <v>1169</v>
      </c>
      <c r="AC1164" s="336"/>
    </row>
    <row r="1165" spans="1:29" ht="60" customHeight="1">
      <c r="A1165" s="336">
        <v>1242</v>
      </c>
      <c r="B1165" s="349">
        <v>45282</v>
      </c>
      <c r="C1165" s="568">
        <v>0.54166666666666663</v>
      </c>
      <c r="D1165" s="63" t="s">
        <v>4906</v>
      </c>
      <c r="E1165" s="64" t="s">
        <v>4907</v>
      </c>
      <c r="F1165" s="336">
        <v>6</v>
      </c>
      <c r="G1165" s="336" t="s">
        <v>1433</v>
      </c>
      <c r="H1165" s="383">
        <v>45288</v>
      </c>
      <c r="I1165" s="65" t="s">
        <v>4930</v>
      </c>
      <c r="J1165" s="349" t="s">
        <v>1216</v>
      </c>
      <c r="K1165" s="336">
        <f>IFERROR(VLOOKUP(J1165,Jueces!$A$1:$B$11,2,FALSE),"")</f>
        <v>1</v>
      </c>
      <c r="L1165" s="63" t="s">
        <v>4795</v>
      </c>
      <c r="M1165" s="411" t="s">
        <v>2103</v>
      </c>
      <c r="N1165" s="63" t="s">
        <v>5004</v>
      </c>
      <c r="O1165" s="63" t="str">
        <f ca="1">IF(H1165&lt;&gt;"",IF(H1165&lt;=TODAY(),"SI","NO"),"LIMBO")</f>
        <v>SI</v>
      </c>
      <c r="P1165" s="63" t="str">
        <f>IF($P$1=H1165,"DIASOL", "DIANOSOL")</f>
        <v>DIANOSOL</v>
      </c>
      <c r="Q1165" s="63" t="s">
        <v>903</v>
      </c>
      <c r="R1165" s="63" t="str">
        <f>VLOOKUP($Q1165,Resultados!$A$1:$B$49,2,FALSE)</f>
        <v>Juicio Abreviado</v>
      </c>
      <c r="S1165" s="63" t="s">
        <v>1766</v>
      </c>
      <c r="T1165" s="72" t="str">
        <f>IF(G1165=$J$1,"SI","NO")</f>
        <v>NO</v>
      </c>
      <c r="U1165" s="72"/>
      <c r="V1165" s="7" t="str">
        <f ca="1">IF(color_Celda(E1165)=12106214,"ROSA",IF(color_Celda(E1165)=65535,"AMARILLO",IF(color_Celda(E1165)=5296274,"VERDE",IF(color_Celda(E1165)=16777215,"BLANCO","NO SE"))))</f>
        <v>ROSA</v>
      </c>
      <c r="W1165" s="63" t="s">
        <v>5003</v>
      </c>
      <c r="X1165" s="336"/>
      <c r="Y1165" s="336"/>
      <c r="Z1165" s="63" t="s">
        <v>3368</v>
      </c>
      <c r="AA1165" s="336"/>
      <c r="AB1165" s="63" t="s">
        <v>1171</v>
      </c>
      <c r="AC1165" s="336"/>
    </row>
    <row r="1166" spans="1:29" ht="60" customHeight="1">
      <c r="A1166" s="336">
        <v>1146</v>
      </c>
      <c r="B1166" s="349">
        <v>45272</v>
      </c>
      <c r="C1166" s="568">
        <v>0.33333333333333331</v>
      </c>
      <c r="D1166" s="63" t="s">
        <v>3944</v>
      </c>
      <c r="E1166" s="64" t="s">
        <v>4560</v>
      </c>
      <c r="F1166" s="336">
        <v>1</v>
      </c>
      <c r="G1166" s="336" t="s">
        <v>3791</v>
      </c>
      <c r="H1166" s="383">
        <v>45289</v>
      </c>
      <c r="I1166" s="65" t="s">
        <v>73</v>
      </c>
      <c r="J1166" s="349" t="s">
        <v>31</v>
      </c>
      <c r="K1166" s="336">
        <f>IFERROR(VLOOKUP(J1166,Jueces!$A$1:$B$11,2,FALSE),"")</f>
        <v>2</v>
      </c>
      <c r="L1166" s="63" t="s">
        <v>569</v>
      </c>
      <c r="M1166" s="335" t="s">
        <v>3729</v>
      </c>
      <c r="N1166" s="63" t="s">
        <v>5014</v>
      </c>
      <c r="O1166" s="78" t="str">
        <f ca="1">IF(H1166&lt;&gt;"",IF(H1166&lt;=TODAY(),"SI","NO"),"LIMBO")</f>
        <v>SI</v>
      </c>
      <c r="P1166" s="78" t="str">
        <f>IF($P$1=H1166,"DIASOL", "DIANOSOL")</f>
        <v>DIANOSOL</v>
      </c>
      <c r="Q1166" s="63" t="s">
        <v>911</v>
      </c>
      <c r="R1166" s="63" t="s">
        <v>911</v>
      </c>
      <c r="S1166" s="63" t="s">
        <v>1604</v>
      </c>
      <c r="T1166" s="81" t="str">
        <f>IF(G1166=$J$1,"SI","NO")</f>
        <v>NO</v>
      </c>
      <c r="U1166" s="81"/>
      <c r="V1166" s="7" t="str">
        <f ca="1">IF(color_Celda(E1166)=12106214,"ROSA",IF(color_Celda(E1166)=65535,"AMARILLO",IF(color_Celda(E1166)=5296274,"VERDE",IF(color_Celda(E1166)=16777215,"BLANCO","NO SE"))))</f>
        <v>ROSA</v>
      </c>
      <c r="W1166" s="63" t="s">
        <v>1083</v>
      </c>
      <c r="X1166" s="63" t="s">
        <v>4644</v>
      </c>
      <c r="Y1166" s="336"/>
      <c r="Z1166" s="72" t="s">
        <v>770</v>
      </c>
      <c r="AA1166" s="72"/>
      <c r="AB1166" s="72" t="s">
        <v>1169</v>
      </c>
      <c r="AC1166" s="336"/>
    </row>
    <row r="1167" spans="1:29" ht="60" customHeight="1">
      <c r="A1167" s="336">
        <v>1112</v>
      </c>
      <c r="B1167" s="349">
        <v>45282</v>
      </c>
      <c r="C1167" s="70">
        <v>0.33333333333333331</v>
      </c>
      <c r="D1167" s="336" t="s">
        <v>3924</v>
      </c>
      <c r="E1167" s="355" t="s">
        <v>3925</v>
      </c>
      <c r="F1167" s="336">
        <v>1</v>
      </c>
      <c r="G1167" s="336" t="s">
        <v>3323</v>
      </c>
      <c r="H1167" s="383">
        <v>45289</v>
      </c>
      <c r="I1167" s="65" t="s">
        <v>73</v>
      </c>
      <c r="J1167" s="65" t="s">
        <v>33</v>
      </c>
      <c r="K1167" s="336">
        <f>IFERROR(VLOOKUP(J1167,Jueces!$A$1:$B$11,2,FALSE),"")</f>
        <v>4</v>
      </c>
      <c r="L1167" s="63" t="s">
        <v>1067</v>
      </c>
      <c r="M1167" s="63" t="s">
        <v>3381</v>
      </c>
      <c r="N1167" s="205" t="s">
        <v>5012</v>
      </c>
      <c r="O1167" s="78" t="str">
        <f ca="1">IF(H1167&lt;&gt;"",IF(H1167&lt;=TODAY(),"SI","NO"),"LIMBO")</f>
        <v>SI</v>
      </c>
      <c r="P1167" s="78" t="str">
        <f>IF($P$1=H1167,"DIASOL", "DIANOSOL")</f>
        <v>DIANOSOL</v>
      </c>
      <c r="Q1167" s="63" t="s">
        <v>909</v>
      </c>
      <c r="R1167" s="63" t="str">
        <f>VLOOKUP($Q1167,Resultados!$A$1:$B$49,2,FALSE)</f>
        <v>Suspendida</v>
      </c>
      <c r="S1167" s="63"/>
      <c r="T1167" s="81" t="str">
        <f>IF(G1167=$J$1,"SI","NO")</f>
        <v>NO</v>
      </c>
      <c r="U1167" s="81"/>
      <c r="V1167" s="7" t="str">
        <f ca="1">IF(color_Celda(E1167)=12106214,"ROSA",IF(color_Celda(E1167)=65535,"AMARILLO",IF(color_Celda(E1167)=5296274,"VERDE",IF(color_Celda(E1167)=16777215,"BLANCO","NO SE"))))</f>
        <v>ROSA</v>
      </c>
      <c r="W1167" s="336"/>
      <c r="X1167" s="336"/>
      <c r="Y1167" s="336"/>
      <c r="Z1167" s="72" t="s">
        <v>748</v>
      </c>
      <c r="AA1167" s="118" t="s">
        <v>3379</v>
      </c>
      <c r="AB1167" s="72" t="s">
        <v>1170</v>
      </c>
      <c r="AC1167" s="336"/>
    </row>
    <row r="1168" spans="1:29" ht="60" customHeight="1">
      <c r="A1168" s="336">
        <v>1167</v>
      </c>
      <c r="B1168" s="349">
        <v>45273</v>
      </c>
      <c r="C1168" s="70">
        <v>0.48541666666666666</v>
      </c>
      <c r="D1168" s="63" t="s">
        <v>4614</v>
      </c>
      <c r="E1168" s="64" t="s">
        <v>4615</v>
      </c>
      <c r="F1168" s="336">
        <v>6</v>
      </c>
      <c r="G1168" s="336" t="s">
        <v>2752</v>
      </c>
      <c r="H1168" s="383">
        <v>45289</v>
      </c>
      <c r="I1168" s="65" t="s">
        <v>749</v>
      </c>
      <c r="J1168" s="349" t="s">
        <v>1221</v>
      </c>
      <c r="K1168" s="336">
        <f>IFERROR(VLOOKUP(J1168,Jueces!$A$1:$B$11,2,FALSE),"")</f>
        <v>6</v>
      </c>
      <c r="L1168" s="63" t="s">
        <v>807</v>
      </c>
      <c r="M1168" s="63" t="s">
        <v>723</v>
      </c>
      <c r="N1168" s="63" t="s">
        <v>5013</v>
      </c>
      <c r="O1168" s="78" t="str">
        <f ca="1">IF(H1168&lt;&gt;"",IF(H1168&lt;=TODAY(),"SI","NO"),"LIMBO")</f>
        <v>SI</v>
      </c>
      <c r="P1168" s="78" t="str">
        <f>IF($P$1=H1168,"DIASOL", "DIANOSOL")</f>
        <v>DIANOSOL</v>
      </c>
      <c r="Q1168" s="63" t="s">
        <v>902</v>
      </c>
      <c r="R1168" s="63" t="s">
        <v>100</v>
      </c>
      <c r="S1168" s="63" t="s">
        <v>2689</v>
      </c>
      <c r="T1168" s="81" t="str">
        <f>IF(G1168=$J$1,"SI","NO")</f>
        <v>NO</v>
      </c>
      <c r="U1168" s="81"/>
      <c r="V1168" s="7" t="str">
        <f ca="1">IF(color_Celda(E1168)=12106214,"ROSA",IF(color_Celda(E1168)=65535,"AMARILLO",IF(color_Celda(E1168)=5296274,"VERDE",IF(color_Celda(E1168)=16777215,"BLANCO","NO SE"))))</f>
        <v>ROSA</v>
      </c>
      <c r="W1168" s="63" t="s">
        <v>1419</v>
      </c>
      <c r="X1168" s="336"/>
      <c r="Y1168" s="336"/>
      <c r="Z1168" s="72" t="s">
        <v>743</v>
      </c>
      <c r="AA1168" s="118" t="s">
        <v>2869</v>
      </c>
      <c r="AB1168" s="72" t="s">
        <v>1171</v>
      </c>
      <c r="AC1168" s="336"/>
    </row>
    <row r="1169" spans="1:29" ht="60" customHeight="1">
      <c r="A1169" s="336">
        <v>1166</v>
      </c>
      <c r="B1169" s="349">
        <v>45273</v>
      </c>
      <c r="C1169" s="568">
        <v>0.49722222222222223</v>
      </c>
      <c r="D1169" s="63" t="s">
        <v>4613</v>
      </c>
      <c r="E1169" s="64" t="s">
        <v>4619</v>
      </c>
      <c r="F1169" s="336">
        <v>6</v>
      </c>
      <c r="G1169" s="336" t="s">
        <v>3324</v>
      </c>
      <c r="H1169" s="383">
        <v>45289</v>
      </c>
      <c r="I1169" s="65" t="s">
        <v>1083</v>
      </c>
      <c r="J1169" s="349" t="s">
        <v>1216</v>
      </c>
      <c r="K1169" s="336">
        <f>IFERROR(VLOOKUP(J1169,Jueces!$A$1:$B$11,2,FALSE),"")</f>
        <v>1</v>
      </c>
      <c r="L1169" s="63" t="s">
        <v>810</v>
      </c>
      <c r="M1169" s="63" t="s">
        <v>723</v>
      </c>
      <c r="N1169" s="63" t="s">
        <v>5015</v>
      </c>
      <c r="O1169" s="78" t="str">
        <f ca="1">IF(H1169&lt;&gt;"",IF(H1169&lt;=TODAY(),"SI","NO"),"LIMBO")</f>
        <v>SI</v>
      </c>
      <c r="P1169" s="78" t="str">
        <f>IF($P$1=H1169,"DIASOL", "DIANOSOL")</f>
        <v>DIANOSOL</v>
      </c>
      <c r="Q1169" s="63" t="s">
        <v>903</v>
      </c>
      <c r="R1169" s="63" t="str">
        <f>VLOOKUP($Q1169,Resultados!$A$1:$B$49,2,FALSE)</f>
        <v>Juicio Abreviado</v>
      </c>
      <c r="S1169" s="63" t="s">
        <v>1120</v>
      </c>
      <c r="T1169" s="81" t="str">
        <f>IF(G1169=$J$1,"SI","NO")</f>
        <v>NO</v>
      </c>
      <c r="U1169" s="81"/>
      <c r="V1169" s="7" t="str">
        <f ca="1">IF(color_Celda(E1169)=12106214,"ROSA",IF(color_Celda(E1169)=65535,"AMARILLO",IF(color_Celda(E1169)=5296274,"VERDE",IF(color_Celda(E1169)=16777215,"BLANCO","NO SE"))))</f>
        <v>ROSA</v>
      </c>
      <c r="W1169" s="63" t="s">
        <v>1121</v>
      </c>
      <c r="X1169" s="63" t="s">
        <v>5016</v>
      </c>
      <c r="Y1169" s="336"/>
      <c r="Z1169" s="72" t="s">
        <v>770</v>
      </c>
      <c r="AA1169" s="118" t="s">
        <v>1167</v>
      </c>
      <c r="AB1169" s="72" t="s">
        <v>1170</v>
      </c>
      <c r="AC1169" s="336"/>
    </row>
    <row r="1170" spans="1:29" ht="60" customHeight="1">
      <c r="A1170" s="336">
        <v>1168</v>
      </c>
      <c r="B1170" s="349">
        <v>45273</v>
      </c>
      <c r="C1170" s="568">
        <v>0.45763888888888887</v>
      </c>
      <c r="D1170" s="63" t="s">
        <v>4616</v>
      </c>
      <c r="E1170" s="64" t="s">
        <v>4617</v>
      </c>
      <c r="F1170" s="336">
        <v>5</v>
      </c>
      <c r="G1170" s="336" t="s">
        <v>1433</v>
      </c>
      <c r="H1170" s="383">
        <v>45289</v>
      </c>
      <c r="I1170" s="65" t="s">
        <v>1083</v>
      </c>
      <c r="J1170" s="349" t="s">
        <v>35</v>
      </c>
      <c r="K1170" s="336">
        <v>3</v>
      </c>
      <c r="L1170" s="63" t="s">
        <v>1067</v>
      </c>
      <c r="M1170" s="373" t="s">
        <v>4620</v>
      </c>
      <c r="N1170" s="387" t="s">
        <v>5018</v>
      </c>
      <c r="O1170" s="78" t="str">
        <f ca="1">IF(H1170&lt;&gt;"",IF(H1170&lt;=TODAY(),"SI","NO"),"LIMBO")</f>
        <v>SI</v>
      </c>
      <c r="P1170" s="78" t="str">
        <f>IF($P$1=H1170,"DIASOL", "DIANOSOL")</f>
        <v>DIANOSOL</v>
      </c>
      <c r="Q1170" s="63" t="s">
        <v>911</v>
      </c>
      <c r="R1170" s="63" t="str">
        <f>VLOOKUP($Q1170,Resultados!$A$1:$B$49,2,FALSE)</f>
        <v>Prision domiciliaria</v>
      </c>
      <c r="S1170" s="63" t="s">
        <v>2688</v>
      </c>
      <c r="T1170" s="81" t="str">
        <f>IF(G1170=$J$1,"SI","NO")</f>
        <v>NO</v>
      </c>
      <c r="U1170" s="81"/>
      <c r="V1170" s="7" t="str">
        <f ca="1">IF(color_Celda(E1170)=12106214,"ROSA",IF(color_Celda(E1170)=65535,"AMARILLO",IF(color_Celda(E1170)=5296274,"VERDE",IF(color_Celda(E1170)=16777215,"BLANCO","NO SE"))))</f>
        <v>ROSA</v>
      </c>
      <c r="W1170" s="63" t="s">
        <v>1584</v>
      </c>
      <c r="X1170" s="63" t="s">
        <v>5019</v>
      </c>
      <c r="Y1170" s="336"/>
      <c r="Z1170" s="72" t="s">
        <v>1038</v>
      </c>
      <c r="AA1170" s="118" t="s">
        <v>2828</v>
      </c>
      <c r="AB1170" s="72" t="s">
        <v>1169</v>
      </c>
      <c r="AC1170" s="336"/>
    </row>
    <row r="1171" spans="1:29" ht="60" customHeight="1">
      <c r="A1171" s="336">
        <v>1213</v>
      </c>
      <c r="B1171" s="349">
        <v>45280</v>
      </c>
      <c r="C1171" s="568">
        <v>0.54166666666666663</v>
      </c>
      <c r="D1171" s="63" t="s">
        <v>4812</v>
      </c>
      <c r="E1171" s="64" t="s">
        <v>4813</v>
      </c>
      <c r="F1171" s="336">
        <v>6</v>
      </c>
      <c r="G1171" s="63" t="s">
        <v>3639</v>
      </c>
      <c r="H1171" s="383">
        <v>45289</v>
      </c>
      <c r="I1171" s="65" t="s">
        <v>1083</v>
      </c>
      <c r="J1171" s="65" t="s">
        <v>78</v>
      </c>
      <c r="K1171" s="336">
        <f>IFERROR(VLOOKUP(J1171,Jueces!$A$1:$B$11,2,FALSE),"")</f>
        <v>8</v>
      </c>
      <c r="L1171" s="63" t="s">
        <v>4778</v>
      </c>
      <c r="M1171" s="335" t="s">
        <v>1283</v>
      </c>
      <c r="N1171" s="412" t="s">
        <v>5017</v>
      </c>
      <c r="O1171" s="78" t="str">
        <f ca="1">IF(H1171&lt;&gt;"",IF(H1171&lt;=TODAY(),"SI","NO"),"LIMBO")</f>
        <v>SI</v>
      </c>
      <c r="P1171" s="78" t="str">
        <f>IF($P$1=H1171,"DIASOL", "DIANOSOL")</f>
        <v>DIANOSOL</v>
      </c>
      <c r="Q1171" s="63" t="s">
        <v>897</v>
      </c>
      <c r="R1171" s="63" t="str">
        <f>VLOOKUP($Q1171,Resultados!$A$1:$B$49,2,FALSE)</f>
        <v>Libertad</v>
      </c>
      <c r="S1171" s="63" t="s">
        <v>2688</v>
      </c>
      <c r="T1171" s="81" t="str">
        <f>IF(G1171=$J$1,"SI","NO")</f>
        <v>NO</v>
      </c>
      <c r="U1171" s="81"/>
      <c r="V1171" s="7" t="str">
        <f ca="1">IF(color_Celda(E1171)=12106214,"ROSA",IF(color_Celda(E1171)=65535,"AMARILLO",IF(color_Celda(E1171)=5296274,"VERDE",IF(color_Celda(E1171)=16777215,"BLANCO","NO SE"))))</f>
        <v>ROSA</v>
      </c>
      <c r="W1171" s="63" t="s">
        <v>3358</v>
      </c>
      <c r="X1171" s="63" t="s">
        <v>4644</v>
      </c>
      <c r="Y1171" s="336"/>
      <c r="Z1171" s="72" t="s">
        <v>748</v>
      </c>
      <c r="AA1171" s="72" t="s">
        <v>3379</v>
      </c>
      <c r="AB1171" s="72" t="s">
        <v>1171</v>
      </c>
      <c r="AC1171" s="336"/>
    </row>
    <row r="1172" spans="1:29" ht="60" customHeight="1">
      <c r="A1172" s="336">
        <v>1126</v>
      </c>
      <c r="B1172" s="349">
        <v>45266</v>
      </c>
      <c r="C1172" s="568">
        <v>0.50347222222222221</v>
      </c>
      <c r="D1172" s="63" t="s">
        <v>4503</v>
      </c>
      <c r="E1172" s="64" t="s">
        <v>4504</v>
      </c>
      <c r="F1172" s="336">
        <v>5</v>
      </c>
      <c r="G1172" s="336" t="s">
        <v>1435</v>
      </c>
      <c r="H1172" s="383">
        <v>45289</v>
      </c>
      <c r="I1172" s="65" t="s">
        <v>1442</v>
      </c>
      <c r="J1172" s="349" t="s">
        <v>78</v>
      </c>
      <c r="K1172" s="336">
        <f>IFERROR(VLOOKUP(J1172,Jueces!$A$1:$B$11,2,FALSE),"")</f>
        <v>8</v>
      </c>
      <c r="L1172" s="63" t="s">
        <v>810</v>
      </c>
      <c r="M1172" s="63" t="s">
        <v>2201</v>
      </c>
      <c r="N1172" s="63" t="s">
        <v>5020</v>
      </c>
      <c r="O1172" s="78" t="str">
        <f ca="1">IF(H1172&lt;&gt;"",IF(H1172&lt;=TODAY(),"SI","NO"),"LIMBO")</f>
        <v>SI</v>
      </c>
      <c r="P1172" s="78" t="str">
        <f>IF($P$1=H1172,"DIASOL", "DIANOSOL")</f>
        <v>DIANOSOL</v>
      </c>
      <c r="Q1172" s="63" t="s">
        <v>903</v>
      </c>
      <c r="R1172" s="63" t="str">
        <f>VLOOKUP($Q1172,Resultados!$A$1:$B$49,2,FALSE)</f>
        <v>Juicio Abreviado</v>
      </c>
      <c r="S1172" s="63" t="s">
        <v>3111</v>
      </c>
      <c r="T1172" s="81" t="str">
        <f>IF(G1172=$J$1,"SI","NO")</f>
        <v>SI</v>
      </c>
      <c r="U1172" s="81"/>
      <c r="V1172" s="7" t="str">
        <f ca="1">IF(color_Celda(E1172)=12106214,"ROSA",IF(color_Celda(E1172)=65535,"AMARILLO",IF(color_Celda(E1172)=5296274,"VERDE",IF(color_Celda(E1172)=16777215,"BLANCO","NO SE"))))</f>
        <v>ROSA</v>
      </c>
      <c r="W1172" s="63" t="s">
        <v>3521</v>
      </c>
      <c r="X1172" s="63" t="s">
        <v>4644</v>
      </c>
      <c r="Y1172" s="336"/>
      <c r="Z1172" s="72" t="s">
        <v>748</v>
      </c>
      <c r="AA1172" s="118" t="s">
        <v>1167</v>
      </c>
      <c r="AB1172" s="72" t="s">
        <v>1170</v>
      </c>
      <c r="AC1172" s="336"/>
    </row>
    <row r="1173" spans="1:29" ht="60" customHeight="1">
      <c r="A1173" s="336">
        <v>1220</v>
      </c>
      <c r="B1173" s="349">
        <v>45280</v>
      </c>
      <c r="C1173" s="568">
        <v>0.51041666666666663</v>
      </c>
      <c r="D1173" s="63" t="s">
        <v>4823</v>
      </c>
      <c r="E1173" s="413" t="s">
        <v>4824</v>
      </c>
      <c r="F1173" s="336">
        <v>2</v>
      </c>
      <c r="G1173" s="63" t="s">
        <v>43</v>
      </c>
      <c r="H1173" s="383">
        <v>45289</v>
      </c>
      <c r="I1173" s="65" t="s">
        <v>547</v>
      </c>
      <c r="J1173" s="65" t="s">
        <v>33</v>
      </c>
      <c r="K1173" s="63">
        <v>4</v>
      </c>
      <c r="L1173" s="63" t="s">
        <v>4778</v>
      </c>
      <c r="M1173" s="335" t="s">
        <v>3876</v>
      </c>
      <c r="N1173" s="63" t="s">
        <v>5021</v>
      </c>
      <c r="O1173" s="78" t="str">
        <f ca="1">IF(H1173&lt;&gt;"",IF(H1173&lt;=TODAY(),"SI","NO"),"LIMBO")</f>
        <v>SI</v>
      </c>
      <c r="P1173" s="78" t="str">
        <f>IF($P$1=H1173,"DIASOL", "DIANOSOL")</f>
        <v>DIANOSOL</v>
      </c>
      <c r="Q1173" s="63" t="s">
        <v>903</v>
      </c>
      <c r="R1173" s="63" t="str">
        <f>VLOOKUP($Q1173,Resultados!$A$1:$B$49,2,FALSE)</f>
        <v>Juicio Abreviado</v>
      </c>
      <c r="S1173" s="63" t="s">
        <v>3253</v>
      </c>
      <c r="T1173" s="81" t="str">
        <f>IF(G1173=$J$1,"SI","NO")</f>
        <v>NO</v>
      </c>
      <c r="U1173" s="81"/>
      <c r="V1173" s="7" t="str">
        <f ca="1">IF(color_Celda(E1173)=12106214,"ROSA",IF(color_Celda(E1173)=65535,"AMARILLO",IF(color_Celda(E1173)=5296274,"VERDE",IF(color_Celda(E1173)=16777215,"BLANCO","NO SE"))))</f>
        <v>ROSA</v>
      </c>
      <c r="W1173" s="63" t="s">
        <v>3565</v>
      </c>
      <c r="X1173" s="63" t="s">
        <v>4644</v>
      </c>
      <c r="Y1173" s="336"/>
      <c r="Z1173" s="72" t="s">
        <v>770</v>
      </c>
      <c r="AA1173" s="72" t="s">
        <v>3379</v>
      </c>
      <c r="AB1173" s="72" t="s">
        <v>1169</v>
      </c>
      <c r="AC1173" s="336"/>
    </row>
    <row r="1174" spans="1:29" ht="60" customHeight="1">
      <c r="A1174" s="387">
        <v>1149</v>
      </c>
      <c r="B1174" s="415">
        <v>45272</v>
      </c>
      <c r="C1174" s="416">
        <v>0.33333333333333331</v>
      </c>
      <c r="D1174" s="387" t="s">
        <v>4567</v>
      </c>
      <c r="E1174" s="417" t="s">
        <v>4627</v>
      </c>
      <c r="F1174" s="387">
        <v>5</v>
      </c>
      <c r="G1174" s="387" t="s">
        <v>2815</v>
      </c>
      <c r="H1174" s="499">
        <v>45293</v>
      </c>
      <c r="I1174" s="415" t="s">
        <v>76</v>
      </c>
      <c r="J1174" s="415" t="s">
        <v>78</v>
      </c>
      <c r="K1174" s="387">
        <f>IFERROR(VLOOKUP(J1174,Jueces!$A$1:$B$11,2,FALSE),"")</f>
        <v>8</v>
      </c>
      <c r="L1174" s="387" t="s">
        <v>1067</v>
      </c>
      <c r="M1174" s="387" t="s">
        <v>2201</v>
      </c>
      <c r="N1174" s="387" t="s">
        <v>5249</v>
      </c>
      <c r="O1174" s="393" t="str">
        <f ca="1">IF(H1174&lt;&gt;"",IF(H1174&lt;=TODAY(),"SI","NO"),"LIMBO")</f>
        <v>SI</v>
      </c>
      <c r="P1174" s="393" t="str">
        <f>IF($P$1=H1174,"DIASOL", "DIANOSOL")</f>
        <v>DIANOSOL</v>
      </c>
      <c r="Q1174" s="387" t="s">
        <v>903</v>
      </c>
      <c r="R1174" s="387" t="str">
        <f>VLOOKUP($Q1174,Resultados!$A$1:$B$49,2,FALSE)</f>
        <v>Juicio Abreviado</v>
      </c>
      <c r="S1174" s="387" t="s">
        <v>5064</v>
      </c>
      <c r="T1174" s="393" t="str">
        <f>IF(G1174=$J$1,"SI","NO")</f>
        <v>NO</v>
      </c>
      <c r="U1174" s="393"/>
      <c r="V1174" s="7" t="str">
        <f ca="1">IF(color_Celda(E1174)=12106214,"ROSA",IF(color_Celda(E1174)=65535,"AMARILLO",IF(color_Celda(E1174)=5296274,"VERDE",IF(color_Celda(E1174)=16777215,"BLANCO","NO SE"))))</f>
        <v>ROSA</v>
      </c>
      <c r="W1174" s="387" t="s">
        <v>5065</v>
      </c>
      <c r="X1174" s="390" t="s">
        <v>5066</v>
      </c>
      <c r="Y1174" s="387"/>
      <c r="Z1174" s="387" t="s">
        <v>748</v>
      </c>
      <c r="AA1174" s="72" t="s">
        <v>2828</v>
      </c>
      <c r="AB1174" s="72" t="s">
        <v>1169</v>
      </c>
      <c r="AC1174" s="387"/>
    </row>
    <row r="1175" spans="1:29" ht="60" customHeight="1">
      <c r="A1175" s="336">
        <v>1181</v>
      </c>
      <c r="B1175" s="349">
        <v>45275</v>
      </c>
      <c r="C1175" s="568">
        <v>0.33333333333333331</v>
      </c>
      <c r="D1175" s="63" t="s">
        <v>4657</v>
      </c>
      <c r="E1175" s="64" t="s">
        <v>4658</v>
      </c>
      <c r="F1175" s="336">
        <v>6</v>
      </c>
      <c r="G1175" s="63" t="s">
        <v>2752</v>
      </c>
      <c r="H1175" s="383">
        <v>45293</v>
      </c>
      <c r="I1175" s="65" t="s">
        <v>76</v>
      </c>
      <c r="J1175" s="65" t="s">
        <v>1680</v>
      </c>
      <c r="K1175" s="63" t="s">
        <v>1982</v>
      </c>
      <c r="L1175" s="63" t="s">
        <v>792</v>
      </c>
      <c r="M1175" s="335" t="s">
        <v>4710</v>
      </c>
      <c r="N1175" s="63" t="s">
        <v>5073</v>
      </c>
      <c r="O1175" s="78" t="str">
        <f ca="1">IF(H1175&lt;&gt;"",IF(H1175&lt;=TODAY(),"SI","NO"),"LIMBO")</f>
        <v>SI</v>
      </c>
      <c r="P1175" s="78" t="str">
        <f>IF($P$1=H1175,"DIASOL", "DIANOSOL")</f>
        <v>DIANOSOL</v>
      </c>
      <c r="Q1175" s="63" t="s">
        <v>897</v>
      </c>
      <c r="R1175" s="63" t="str">
        <f>VLOOKUP($Q1175,Resultados!$A$1:$B$49,2,FALSE)</f>
        <v>Libertad</v>
      </c>
      <c r="S1175" s="63" t="s">
        <v>2595</v>
      </c>
      <c r="T1175" s="81" t="str">
        <f>IF(G1175=$J$1,"SI","NO")</f>
        <v>NO</v>
      </c>
      <c r="U1175" s="81"/>
      <c r="V1175" s="7" t="str">
        <f ca="1">IF(color_Celda(E1175)=12106214,"ROSA",IF(color_Celda(E1175)=65535,"AMARILLO",IF(color_Celda(E1175)=5296274,"VERDE",IF(color_Celda(E1175)=16777215,"BLANCO","NO SE"))))</f>
        <v>ROSA</v>
      </c>
      <c r="W1175" s="63" t="s">
        <v>3513</v>
      </c>
      <c r="X1175" s="63" t="s">
        <v>5074</v>
      </c>
      <c r="Y1175" s="336"/>
      <c r="Z1175" s="63"/>
      <c r="AA1175" s="72" t="s">
        <v>2828</v>
      </c>
      <c r="AB1175" s="63" t="s">
        <v>1169</v>
      </c>
      <c r="AC1175" s="336"/>
    </row>
    <row r="1176" spans="1:29" ht="60" customHeight="1">
      <c r="A1176" s="336">
        <v>1171</v>
      </c>
      <c r="B1176" s="349">
        <v>45274</v>
      </c>
      <c r="C1176" s="568">
        <v>0.33333333333333331</v>
      </c>
      <c r="D1176" s="63" t="s">
        <v>4624</v>
      </c>
      <c r="E1176" s="64" t="s">
        <v>4625</v>
      </c>
      <c r="F1176" s="336">
        <v>5</v>
      </c>
      <c r="G1176" s="63" t="s">
        <v>2753</v>
      </c>
      <c r="H1176" s="383">
        <v>45293</v>
      </c>
      <c r="I1176" s="65" t="s">
        <v>75</v>
      </c>
      <c r="J1176" s="65" t="s">
        <v>4746</v>
      </c>
      <c r="K1176" s="63" t="s">
        <v>3776</v>
      </c>
      <c r="L1176" s="63" t="s">
        <v>798</v>
      </c>
      <c r="M1176" s="63" t="s">
        <v>2107</v>
      </c>
      <c r="N1176" s="63" t="s">
        <v>5072</v>
      </c>
      <c r="O1176" s="78" t="str">
        <f ca="1">IF(H1176&lt;&gt;"",IF(H1176&lt;=TODAY(),"SI","NO"),"LIMBO")</f>
        <v>SI</v>
      </c>
      <c r="P1176" s="78" t="str">
        <f>IF($P$1=H1176,"DIASOL", "DIANOSOL")</f>
        <v>DIANOSOL</v>
      </c>
      <c r="Q1176" s="63" t="s">
        <v>151</v>
      </c>
      <c r="R1176" s="63" t="str">
        <f>VLOOKUP($Q1176,Resultados!$A$1:$B$49,2,FALSE)</f>
        <v>Prisión Preventiva</v>
      </c>
      <c r="S1176" s="63" t="s">
        <v>3684</v>
      </c>
      <c r="T1176" s="81" t="str">
        <f>IF(G1176=$J$1,"SI","NO")</f>
        <v>NO</v>
      </c>
      <c r="U1176" s="81"/>
      <c r="V1176" s="7" t="str">
        <f ca="1">IF(color_Celda(E1176)=12106214,"ROSA",IF(color_Celda(E1176)=65535,"AMARILLO",IF(color_Celda(E1176)=5296274,"VERDE",IF(color_Celda(E1176)=16777215,"BLANCO","NO SE"))))</f>
        <v>ROSA</v>
      </c>
      <c r="W1176" s="63" t="s">
        <v>1458</v>
      </c>
      <c r="X1176" s="63" t="s">
        <v>4170</v>
      </c>
      <c r="Y1176" s="336"/>
      <c r="Z1176" s="336" t="s">
        <v>3368</v>
      </c>
      <c r="AA1176" s="72" t="s">
        <v>2869</v>
      </c>
      <c r="AB1176" s="63" t="s">
        <v>1173</v>
      </c>
      <c r="AC1176" s="336"/>
    </row>
    <row r="1177" spans="1:29" ht="60" customHeight="1">
      <c r="A1177" s="336">
        <v>1183</v>
      </c>
      <c r="B1177" s="349">
        <v>45275</v>
      </c>
      <c r="C1177" s="568">
        <v>0.44305555555555554</v>
      </c>
      <c r="D1177" s="63" t="s">
        <v>4664</v>
      </c>
      <c r="E1177" s="64" t="s">
        <v>5023</v>
      </c>
      <c r="F1177" s="336">
        <v>6</v>
      </c>
      <c r="G1177" s="63" t="s">
        <v>568</v>
      </c>
      <c r="H1177" s="383">
        <v>45293</v>
      </c>
      <c r="I1177" s="65" t="s">
        <v>75</v>
      </c>
      <c r="J1177" s="65" t="s">
        <v>1680</v>
      </c>
      <c r="K1177" s="63" t="s">
        <v>1982</v>
      </c>
      <c r="L1177" s="63" t="s">
        <v>791</v>
      </c>
      <c r="M1177" s="63" t="s">
        <v>723</v>
      </c>
      <c r="N1177" s="205" t="s">
        <v>5250</v>
      </c>
      <c r="O1177" s="78" t="str">
        <f ca="1">IF(H1177&lt;&gt;"",IF(H1177&lt;=TODAY(),"SI","NO"),"LIMBO")</f>
        <v>SI</v>
      </c>
      <c r="P1177" s="78" t="str">
        <f>IF($P$1=H1177,"DIASOL", "DIANOSOL")</f>
        <v>DIANOSOL</v>
      </c>
      <c r="Q1177" s="63" t="s">
        <v>903</v>
      </c>
      <c r="R1177" s="63" t="str">
        <f>VLOOKUP($Q1177,Resultados!$A$1:$B$49,2,FALSE)</f>
        <v>Juicio Abreviado</v>
      </c>
      <c r="S1177" s="63" t="s">
        <v>2622</v>
      </c>
      <c r="T1177" s="81" t="str">
        <f>IF(G1177=$J$1,"SI","NO")</f>
        <v>NO</v>
      </c>
      <c r="U1177" s="81"/>
      <c r="V1177" s="7" t="str">
        <f ca="1">IF(color_Celda(E1177)=12106214,"ROSA",IF(color_Celda(E1177)=65535,"AMARILLO",IF(color_Celda(E1177)=5296274,"VERDE",IF(color_Celda(E1177)=16777215,"BLANCO","NO SE"))))</f>
        <v>ROSA</v>
      </c>
      <c r="W1177" s="63" t="s">
        <v>4572</v>
      </c>
      <c r="X1177" s="336"/>
      <c r="Y1177" s="336"/>
      <c r="Z1177" s="63"/>
      <c r="AA1177" s="118" t="s">
        <v>3379</v>
      </c>
      <c r="AB1177" s="63" t="s">
        <v>1169</v>
      </c>
      <c r="AC1177" s="336"/>
    </row>
    <row r="1178" spans="1:29" ht="60" customHeight="1">
      <c r="A1178" s="336">
        <v>1193</v>
      </c>
      <c r="B1178" s="349">
        <v>45275</v>
      </c>
      <c r="C1178" s="568">
        <v>0.54166666666666663</v>
      </c>
      <c r="D1178" s="63" t="s">
        <v>4711</v>
      </c>
      <c r="E1178" s="64" t="s">
        <v>5029</v>
      </c>
      <c r="F1178" s="336">
        <v>6</v>
      </c>
      <c r="G1178" s="63" t="s">
        <v>29</v>
      </c>
      <c r="H1178" s="383">
        <v>45293</v>
      </c>
      <c r="I1178" s="65" t="s">
        <v>75</v>
      </c>
      <c r="J1178" s="65" t="s">
        <v>78</v>
      </c>
      <c r="K1178" s="336">
        <f>IFERROR(VLOOKUP(J1178,Jueces!$A$1:$B$11,2,FALSE),"")</f>
        <v>8</v>
      </c>
      <c r="L1178" s="63" t="s">
        <v>809</v>
      </c>
      <c r="M1178" s="63" t="s">
        <v>725</v>
      </c>
      <c r="N1178" s="205" t="s">
        <v>5070</v>
      </c>
      <c r="O1178" s="78" t="str">
        <f ca="1">IF(H1178&lt;&gt;"",IF(H1178&lt;=TODAY(),"SI","NO"),"LIMBO")</f>
        <v>SI</v>
      </c>
      <c r="P1178" s="78" t="str">
        <f>IF($P$1=H1178,"DIASOL", "DIANOSOL")</f>
        <v>DIANOSOL</v>
      </c>
      <c r="Q1178" s="63" t="s">
        <v>1892</v>
      </c>
      <c r="R1178" s="63" t="str">
        <f>VLOOKUP($Q1178,Resultados!$A$1:$B$49,2,FALSE)</f>
        <v>Sobreseimiento</v>
      </c>
      <c r="S1178" s="63" t="s">
        <v>1237</v>
      </c>
      <c r="T1178" s="81" t="str">
        <f>IF(G1178=$J$1,"SI","NO")</f>
        <v>NO</v>
      </c>
      <c r="U1178" s="81"/>
      <c r="V1178" s="7" t="str">
        <f ca="1">IF(color_Celda(E1178)=12106214,"ROSA",IF(color_Celda(E1178)=65535,"AMARILLO",IF(color_Celda(E1178)=5296274,"VERDE",IF(color_Celda(E1178)=16777215,"BLANCO","NO SE"))))</f>
        <v>ROSA</v>
      </c>
      <c r="W1178" s="63" t="s">
        <v>2624</v>
      </c>
      <c r="X1178" s="63" t="s">
        <v>5071</v>
      </c>
      <c r="Y1178" s="336"/>
      <c r="Z1178" s="336" t="s">
        <v>748</v>
      </c>
      <c r="AA1178" s="72" t="s">
        <v>2828</v>
      </c>
      <c r="AB1178" s="63" t="s">
        <v>1173</v>
      </c>
      <c r="AC1178" s="336"/>
    </row>
    <row r="1179" spans="1:29" ht="60" customHeight="1">
      <c r="A1179" s="336">
        <v>1188</v>
      </c>
      <c r="B1179" s="349">
        <v>45289</v>
      </c>
      <c r="C1179" s="568">
        <v>0.52986111111111112</v>
      </c>
      <c r="D1179" s="63" t="s">
        <v>4669</v>
      </c>
      <c r="E1179" s="64" t="s">
        <v>4705</v>
      </c>
      <c r="F1179" s="336">
        <v>6</v>
      </c>
      <c r="G1179" s="63" t="s">
        <v>4749</v>
      </c>
      <c r="H1179" s="383">
        <v>45293</v>
      </c>
      <c r="I1179" s="65" t="s">
        <v>77</v>
      </c>
      <c r="J1179" s="65" t="s">
        <v>1680</v>
      </c>
      <c r="K1179" s="63" t="s">
        <v>1982</v>
      </c>
      <c r="L1179" s="63" t="s">
        <v>798</v>
      </c>
      <c r="M1179" s="63" t="s">
        <v>723</v>
      </c>
      <c r="N1179" s="205" t="s">
        <v>1744</v>
      </c>
      <c r="O1179" s="78" t="str">
        <f ca="1">IF(H1179&lt;&gt;"",IF(H1179&lt;=TODAY(),"SI","NO"),"LIMBO")</f>
        <v>SI</v>
      </c>
      <c r="P1179" s="78" t="str">
        <f>IF($P$1=H1179,"DIASOL", "DIANOSOL")</f>
        <v>DIANOSOL</v>
      </c>
      <c r="Q1179" s="63" t="s">
        <v>151</v>
      </c>
      <c r="R1179" s="63" t="str">
        <f>VLOOKUP($Q1179,Resultados!$A$1:$B$49,2,FALSE)</f>
        <v>Prisión Preventiva</v>
      </c>
      <c r="S1179" s="63" t="s">
        <v>3161</v>
      </c>
      <c r="T1179" s="81" t="str">
        <f>IF(G1179=$J$1,"SI","NO")</f>
        <v>NO</v>
      </c>
      <c r="U1179" s="81"/>
      <c r="V1179" s="7" t="str">
        <f ca="1">IF(color_Celda(E1179)=12106214,"ROSA",IF(color_Celda(E1179)=65535,"AMARILLO",IF(color_Celda(E1179)=5296274,"VERDE",IF(color_Celda(E1179)=16777215,"BLANCO","NO SE"))))</f>
        <v>ROSA</v>
      </c>
      <c r="W1179" s="63" t="s">
        <v>1146</v>
      </c>
      <c r="X1179" s="63" t="s">
        <v>5107</v>
      </c>
      <c r="Y1179" s="336"/>
      <c r="Z1179" s="63"/>
      <c r="AA1179" s="72" t="s">
        <v>2828</v>
      </c>
      <c r="AB1179" s="63" t="s">
        <v>1169</v>
      </c>
      <c r="AC1179" s="336"/>
    </row>
    <row r="1180" spans="1:29" ht="60" customHeight="1">
      <c r="A1180" s="336">
        <v>1161</v>
      </c>
      <c r="B1180" s="349">
        <v>45273</v>
      </c>
      <c r="C1180" s="568">
        <v>0.45833333333333331</v>
      </c>
      <c r="D1180" s="63" t="s">
        <v>4606</v>
      </c>
      <c r="E1180" s="64" t="s">
        <v>4607</v>
      </c>
      <c r="F1180" s="336">
        <v>5</v>
      </c>
      <c r="G1180" s="63" t="s">
        <v>2751</v>
      </c>
      <c r="H1180" s="383">
        <v>45293</v>
      </c>
      <c r="I1180" s="65" t="s">
        <v>228</v>
      </c>
      <c r="J1180" s="65" t="s">
        <v>78</v>
      </c>
      <c r="K1180" s="63">
        <v>8</v>
      </c>
      <c r="L1180" s="63" t="s">
        <v>805</v>
      </c>
      <c r="M1180" s="63" t="s">
        <v>2368</v>
      </c>
      <c r="N1180" s="63" t="s">
        <v>5251</v>
      </c>
      <c r="O1180" s="78" t="str">
        <f ca="1">IF(H1180&lt;&gt;"",IF(H1180&lt;=TODAY(),"SI","NO"),"LIMBO")</f>
        <v>SI</v>
      </c>
      <c r="P1180" s="78" t="str">
        <f>IF($P$1=H1180,"DIASOL", "DIANOSOL")</f>
        <v>DIANOSOL</v>
      </c>
      <c r="Q1180" s="63" t="s">
        <v>902</v>
      </c>
      <c r="R1180" s="63" t="str">
        <f>VLOOKUP($Q1180,Resultados!$A$1:$B$49,2,FALSE)</f>
        <v>Juicio Abreviado</v>
      </c>
      <c r="S1180" s="63" t="s">
        <v>5067</v>
      </c>
      <c r="T1180" s="81" t="str">
        <f>IF(G1180=$J$1,"SI","NO")</f>
        <v>NO</v>
      </c>
      <c r="U1180" s="81"/>
      <c r="V1180" s="7" t="str">
        <f ca="1">IF(color_Celda(E1180)=12106214,"ROSA",IF(color_Celda(E1180)=65535,"AMARILLO",IF(color_Celda(E1180)=5296274,"VERDE",IF(color_Celda(E1180)=16777215,"BLANCO","NO SE"))))</f>
        <v>ROSA</v>
      </c>
      <c r="W1180" s="63" t="s">
        <v>4262</v>
      </c>
      <c r="X1180" s="63" t="s">
        <v>5068</v>
      </c>
      <c r="Y1180" s="336"/>
      <c r="Z1180" s="336" t="s">
        <v>748</v>
      </c>
      <c r="AA1180" s="72" t="s">
        <v>2869</v>
      </c>
      <c r="AB1180" s="63" t="s">
        <v>1173</v>
      </c>
      <c r="AC1180" s="336"/>
    </row>
    <row r="1181" spans="1:29" ht="60" customHeight="1">
      <c r="A1181" s="336">
        <v>1173</v>
      </c>
      <c r="B1181" s="349">
        <v>45274</v>
      </c>
      <c r="C1181" s="568">
        <v>0.49374999999999997</v>
      </c>
      <c r="D1181" s="63" t="s">
        <v>4628</v>
      </c>
      <c r="E1181" s="64" t="s">
        <v>4633</v>
      </c>
      <c r="F1181" s="336">
        <v>6</v>
      </c>
      <c r="G1181" s="63" t="s">
        <v>3324</v>
      </c>
      <c r="H1181" s="383">
        <v>45293</v>
      </c>
      <c r="I1181" s="65" t="s">
        <v>228</v>
      </c>
      <c r="J1181" s="65" t="s">
        <v>4746</v>
      </c>
      <c r="K1181" s="63" t="s">
        <v>3776</v>
      </c>
      <c r="L1181" s="63" t="s">
        <v>4790</v>
      </c>
      <c r="M1181" s="63" t="s">
        <v>723</v>
      </c>
      <c r="N1181" s="205" t="s">
        <v>5252</v>
      </c>
      <c r="O1181" s="78" t="str">
        <f ca="1">IF(H1181&lt;&gt;"",IF(H1181&lt;=TODAY(),"SI","NO"),"LIMBO")</f>
        <v>SI</v>
      </c>
      <c r="P1181" s="78" t="str">
        <f>IF($P$1=H1181,"DIASOL", "DIANOSOL")</f>
        <v>DIANOSOL</v>
      </c>
      <c r="Q1181" s="63" t="s">
        <v>902</v>
      </c>
      <c r="R1181" s="63" t="str">
        <f>VLOOKUP($Q1181,Resultados!$A$1:$B$49,2,FALSE)</f>
        <v>Juicio Abreviado</v>
      </c>
      <c r="S1181" s="63" t="s">
        <v>5069</v>
      </c>
      <c r="T1181" s="81" t="str">
        <f>IF(G1181=$J$1,"SI","NO")</f>
        <v>NO</v>
      </c>
      <c r="U1181" s="81"/>
      <c r="V1181" s="7" t="str">
        <f ca="1">IF(color_Celda(E1181)=12106214,"ROSA",IF(color_Celda(E1181)=65535,"AMARILLO",IF(color_Celda(E1181)=5296274,"VERDE",IF(color_Celda(E1181)=16777215,"BLANCO","NO SE"))))</f>
        <v>ROSA</v>
      </c>
      <c r="W1181" s="63" t="s">
        <v>4262</v>
      </c>
      <c r="X1181" s="336"/>
      <c r="Y1181" s="336"/>
      <c r="Z1181" s="336" t="s">
        <v>3368</v>
      </c>
      <c r="AA1181" s="72" t="s">
        <v>3379</v>
      </c>
      <c r="AB1181" s="63" t="s">
        <v>1169</v>
      </c>
      <c r="AC1181" s="336"/>
    </row>
    <row r="1182" spans="1:29" s="403" customFormat="1" ht="60" customHeight="1">
      <c r="A1182" s="328">
        <v>1178</v>
      </c>
      <c r="B1182" s="376">
        <v>45275</v>
      </c>
      <c r="C1182" s="377">
        <v>0.33333333333333331</v>
      </c>
      <c r="D1182" s="7" t="s">
        <v>4652</v>
      </c>
      <c r="E1182" s="40" t="s">
        <v>4653</v>
      </c>
      <c r="F1182" s="328">
        <v>6</v>
      </c>
      <c r="G1182" s="7" t="s">
        <v>3323</v>
      </c>
      <c r="H1182" s="493">
        <v>45294</v>
      </c>
      <c r="I1182" s="19" t="s">
        <v>76</v>
      </c>
      <c r="J1182" s="19" t="s">
        <v>78</v>
      </c>
      <c r="K1182" s="328">
        <f>IFERROR(VLOOKUP(J1182,Jueces!$A$1:$B$11,2,FALSE),"")</f>
        <v>8</v>
      </c>
      <c r="L1182" s="7" t="s">
        <v>806</v>
      </c>
      <c r="M1182" s="7" t="s">
        <v>723</v>
      </c>
      <c r="N1182" s="7" t="s">
        <v>5253</v>
      </c>
      <c r="O1182" s="78" t="str">
        <f ca="1">IF(H1182&lt;&gt;"",IF(H1182&lt;=TODAY(),"SI","NO"),"LIMBO")</f>
        <v>SI</v>
      </c>
      <c r="P1182" s="78" t="str">
        <f>IF($P$1=H1182,"DIASOL", "DIANOSOL")</f>
        <v>DIANOSOL</v>
      </c>
      <c r="Q1182" s="7" t="s">
        <v>902</v>
      </c>
      <c r="R1182" s="7" t="str">
        <f>VLOOKUP($Q1182,Resultados!$A$1:$B$49,2,FALSE)</f>
        <v>Juicio Abreviado</v>
      </c>
      <c r="S1182" s="7" t="s">
        <v>1004</v>
      </c>
      <c r="T1182" s="81" t="str">
        <f>IF(G1182=$J$1,"SI","NO")</f>
        <v>NO</v>
      </c>
      <c r="U1182" s="81"/>
      <c r="V1182" s="7" t="str">
        <f ca="1">IF(color_Celda(E1182)=12106214,"ROSA",IF(color_Celda(E1182)=65535,"AMARILLO",IF(color_Celda(E1182)=5296274,"VERDE",IF(color_Celda(E1182)=16777215,"BLANCO","NO SE"))))</f>
        <v>ROSA</v>
      </c>
      <c r="W1182" s="7" t="s">
        <v>1388</v>
      </c>
      <c r="X1182" s="7" t="s">
        <v>5106</v>
      </c>
      <c r="Y1182" s="328"/>
      <c r="Z1182" s="268" t="s">
        <v>748</v>
      </c>
      <c r="AA1182" s="268" t="s">
        <v>2828</v>
      </c>
      <c r="AB1182" s="268" t="s">
        <v>1169</v>
      </c>
      <c r="AC1182" s="328"/>
    </row>
    <row r="1183" spans="1:29" ht="60" customHeight="1">
      <c r="A1183" s="384">
        <v>1184</v>
      </c>
      <c r="B1183" s="385">
        <v>45275</v>
      </c>
      <c r="C1183" s="386">
        <v>0.33333333333333331</v>
      </c>
      <c r="D1183" s="107" t="s">
        <v>4702</v>
      </c>
      <c r="E1183" s="108" t="s">
        <v>5091</v>
      </c>
      <c r="F1183" s="384">
        <v>5</v>
      </c>
      <c r="G1183" s="107" t="s">
        <v>29</v>
      </c>
      <c r="H1183" s="498">
        <v>45294</v>
      </c>
      <c r="I1183" s="253" t="s">
        <v>76</v>
      </c>
      <c r="J1183" s="253" t="s">
        <v>1680</v>
      </c>
      <c r="K1183" s="107" t="s">
        <v>1982</v>
      </c>
      <c r="L1183" s="107" t="s">
        <v>582</v>
      </c>
      <c r="M1183" s="419" t="s">
        <v>2107</v>
      </c>
      <c r="N1183" s="107" t="s">
        <v>5254</v>
      </c>
      <c r="O1183" s="78" t="str">
        <f ca="1">IF(H1183&lt;&gt;"",IF(H1183&lt;=TODAY(),"SI","NO"),"LIMBO")</f>
        <v>SI</v>
      </c>
      <c r="P1183" s="78" t="str">
        <f>IF($P$1=H1183,"DIASOL", "DIANOSOL")</f>
        <v>DIANOSOL</v>
      </c>
      <c r="Q1183" s="107" t="s">
        <v>902</v>
      </c>
      <c r="R1183" s="107" t="str">
        <f>VLOOKUP($Q1183,Resultados!$A$1:$B$49,2,FALSE)</f>
        <v>Juicio Abreviado</v>
      </c>
      <c r="S1183" s="107" t="s">
        <v>1592</v>
      </c>
      <c r="T1183" s="81" t="str">
        <f>IF(G1183=$J$1,"SI","NO")</f>
        <v>NO</v>
      </c>
      <c r="U1183" s="81"/>
      <c r="V1183" s="7" t="str">
        <f ca="1">IF(color_Celda(E1183)=12106214,"ROSA",IF(color_Celda(E1183)=65535,"AMARILLO",IF(color_Celda(E1183)=5296274,"VERDE",IF(color_Celda(E1183)=16777215,"BLANCO","NO SE"))))</f>
        <v>ROSA</v>
      </c>
      <c r="W1183" s="107" t="s">
        <v>3514</v>
      </c>
      <c r="X1183" s="107" t="s">
        <v>4163</v>
      </c>
      <c r="Y1183" s="384"/>
      <c r="Z1183" s="303" t="s">
        <v>3368</v>
      </c>
      <c r="AA1183" s="303"/>
      <c r="AB1183" s="303" t="s">
        <v>1173</v>
      </c>
      <c r="AC1183" s="384"/>
    </row>
    <row r="1184" spans="1:29" ht="60" customHeight="1">
      <c r="A1184" s="336">
        <v>1194</v>
      </c>
      <c r="B1184" s="349">
        <v>45278</v>
      </c>
      <c r="C1184" s="568">
        <v>0.4375</v>
      </c>
      <c r="D1184" s="63" t="s">
        <v>4712</v>
      </c>
      <c r="E1184" s="64" t="s">
        <v>4713</v>
      </c>
      <c r="F1184" s="336">
        <v>7</v>
      </c>
      <c r="G1184" s="63" t="s">
        <v>3324</v>
      </c>
      <c r="H1184" s="383">
        <v>45294</v>
      </c>
      <c r="I1184" s="65" t="s">
        <v>76</v>
      </c>
      <c r="J1184" s="65" t="s">
        <v>4746</v>
      </c>
      <c r="K1184" s="63" t="s">
        <v>1341</v>
      </c>
      <c r="L1184" s="63" t="s">
        <v>805</v>
      </c>
      <c r="M1184" s="335" t="s">
        <v>783</v>
      </c>
      <c r="N1184" s="205" t="s">
        <v>5255</v>
      </c>
      <c r="O1184" s="78" t="str">
        <f ca="1">IF(H1184&lt;&gt;"",IF(H1184&lt;=TODAY(),"SI","NO"),"LIMBO")</f>
        <v>SI</v>
      </c>
      <c r="P1184" s="78" t="str">
        <f>IF($P$1=H1184,"DIASOL", "DIANOSOL")</f>
        <v>DIANOSOL</v>
      </c>
      <c r="Q1184" s="63" t="s">
        <v>902</v>
      </c>
      <c r="R1184" s="63" t="str">
        <f>VLOOKUP($Q1184,Resultados!$A$1:$B$49,2,FALSE)</f>
        <v>Juicio Abreviado</v>
      </c>
      <c r="S1184" s="63" t="s">
        <v>1004</v>
      </c>
      <c r="T1184" s="81" t="str">
        <f>IF(G1184=$J$1,"SI","NO")</f>
        <v>NO</v>
      </c>
      <c r="U1184" s="81"/>
      <c r="V1184" s="7" t="str">
        <f ca="1">IF(color_Celda(E1184)=12106214,"ROSA",IF(color_Celda(E1184)=65535,"AMARILLO",IF(color_Celda(E1184)=5296274,"VERDE",IF(color_Celda(E1184)=16777215,"BLANCO","NO SE"))))</f>
        <v>ROSA</v>
      </c>
      <c r="W1184" s="63" t="s">
        <v>1239</v>
      </c>
      <c r="X1184" s="63" t="s">
        <v>5105</v>
      </c>
      <c r="Y1184" s="336"/>
      <c r="Z1184" s="118" t="s">
        <v>1039</v>
      </c>
      <c r="AA1184" s="118" t="s">
        <v>3379</v>
      </c>
      <c r="AB1184" s="118" t="s">
        <v>1169</v>
      </c>
      <c r="AC1184" s="336"/>
    </row>
    <row r="1185" spans="1:29" ht="60" customHeight="1">
      <c r="A1185" s="336">
        <v>1180</v>
      </c>
      <c r="B1185" s="349">
        <v>45275</v>
      </c>
      <c r="C1185" s="568">
        <v>0.33333333333333331</v>
      </c>
      <c r="D1185" s="63" t="s">
        <v>4656</v>
      </c>
      <c r="E1185" s="64" t="s">
        <v>5062</v>
      </c>
      <c r="F1185" s="336">
        <v>5</v>
      </c>
      <c r="G1185" s="63" t="s">
        <v>568</v>
      </c>
      <c r="H1185" s="383">
        <v>45294</v>
      </c>
      <c r="I1185" s="65" t="s">
        <v>75</v>
      </c>
      <c r="J1185" s="65" t="s">
        <v>78</v>
      </c>
      <c r="K1185" s="63">
        <v>8</v>
      </c>
      <c r="L1185" s="63" t="s">
        <v>797</v>
      </c>
      <c r="M1185" s="7" t="s">
        <v>692</v>
      </c>
      <c r="N1185" s="205" t="s">
        <v>5256</v>
      </c>
      <c r="O1185" s="78" t="str">
        <f ca="1">IF(H1185&lt;&gt;"",IF(H1185&lt;=TODAY(),"SI","NO"),"LIMBO")</f>
        <v>SI</v>
      </c>
      <c r="P1185" s="78" t="str">
        <f>IF($P$1=H1185,"DIASOL", "DIANOSOL")</f>
        <v>DIANOSOL</v>
      </c>
      <c r="Q1185" s="63" t="s">
        <v>902</v>
      </c>
      <c r="R1185" s="63" t="str">
        <f>VLOOKUP($Q1185,Resultados!$A$1:$B$49,2,FALSE)</f>
        <v>Juicio Abreviado</v>
      </c>
      <c r="S1185" s="63" t="s">
        <v>2259</v>
      </c>
      <c r="T1185" s="81" t="str">
        <f>IF(G1185=$J$1,"SI","NO")</f>
        <v>NO</v>
      </c>
      <c r="U1185" s="81"/>
      <c r="V1185" s="7" t="str">
        <f ca="1">IF(color_Celda(E1185)=12106214,"ROSA",IF(color_Celda(E1185)=65535,"AMARILLO",IF(color_Celda(E1185)=5296274,"VERDE",IF(color_Celda(E1185)=16777215,"BLANCO","NO SE"))))</f>
        <v>ROSA</v>
      </c>
      <c r="W1185" s="63" t="s">
        <v>5103</v>
      </c>
      <c r="X1185" s="63" t="s">
        <v>1746</v>
      </c>
      <c r="Y1185" s="336"/>
      <c r="Z1185" s="118" t="s">
        <v>748</v>
      </c>
      <c r="AA1185" s="118" t="s">
        <v>3379</v>
      </c>
      <c r="AB1185" s="118" t="s">
        <v>1173</v>
      </c>
      <c r="AC1185" s="336"/>
    </row>
    <row r="1186" spans="1:29" ht="60" customHeight="1">
      <c r="A1186" s="336">
        <v>1185</v>
      </c>
      <c r="B1186" s="349">
        <v>45275</v>
      </c>
      <c r="C1186" s="568">
        <v>0.44097222222222227</v>
      </c>
      <c r="D1186" s="325" t="s">
        <v>4663</v>
      </c>
      <c r="E1186" s="64" t="s">
        <v>4750</v>
      </c>
      <c r="F1186" s="336">
        <v>6</v>
      </c>
      <c r="G1186" s="63" t="s">
        <v>2753</v>
      </c>
      <c r="H1186" s="383">
        <v>45294</v>
      </c>
      <c r="I1186" s="65" t="s">
        <v>75</v>
      </c>
      <c r="J1186" s="65" t="s">
        <v>1680</v>
      </c>
      <c r="K1186" s="63" t="s">
        <v>1982</v>
      </c>
      <c r="L1186" s="63" t="s">
        <v>806</v>
      </c>
      <c r="M1186" s="63" t="s">
        <v>725</v>
      </c>
      <c r="N1186" s="205" t="s">
        <v>5125</v>
      </c>
      <c r="O1186" s="78" t="str">
        <f ca="1">IF(H1186&lt;&gt;"",IF(H1186&lt;=TODAY(),"SI","NO"),"LIMBO")</f>
        <v>SI</v>
      </c>
      <c r="P1186" s="78" t="str">
        <f>IF($P$1=H1186,"DIASOL", "DIANOSOL")</f>
        <v>DIANOSOL</v>
      </c>
      <c r="Q1186" s="63" t="s">
        <v>151</v>
      </c>
      <c r="R1186" s="63" t="str">
        <f>VLOOKUP($Q1186,Resultados!$A$1:$B$49,2,FALSE)</f>
        <v>Prisión Preventiva</v>
      </c>
      <c r="S1186" s="63" t="s">
        <v>3629</v>
      </c>
      <c r="T1186" s="81" t="str">
        <f>IF(G1186=$J$1,"SI","NO")</f>
        <v>NO</v>
      </c>
      <c r="U1186" s="81"/>
      <c r="V1186" s="7" t="str">
        <f ca="1">IF(color_Celda(E1186)=12106214,"ROSA",IF(color_Celda(E1186)=65535,"AMARILLO",IF(color_Celda(E1186)=5296274,"VERDE",IF(color_Celda(E1186)=16777215,"BLANCO","NO SE"))))</f>
        <v>ROSA</v>
      </c>
      <c r="W1186" s="63" t="s">
        <v>3682</v>
      </c>
      <c r="X1186" s="336"/>
      <c r="Y1186" s="336"/>
      <c r="Z1186" s="118" t="s">
        <v>3368</v>
      </c>
      <c r="AA1186" s="118" t="s">
        <v>2869</v>
      </c>
      <c r="AB1186" s="118" t="s">
        <v>1169</v>
      </c>
      <c r="AC1186" s="336" t="s">
        <v>1792</v>
      </c>
    </row>
    <row r="1187" spans="1:29" ht="60" customHeight="1">
      <c r="A1187" s="336">
        <v>1187</v>
      </c>
      <c r="B1187" s="349">
        <v>45275</v>
      </c>
      <c r="C1187" s="568">
        <v>0.52708333333333335</v>
      </c>
      <c r="D1187" s="63" t="s">
        <v>4667</v>
      </c>
      <c r="E1187" s="355" t="s">
        <v>4666</v>
      </c>
      <c r="F1187" s="336">
        <v>1</v>
      </c>
      <c r="G1187" s="63" t="s">
        <v>2815</v>
      </c>
      <c r="H1187" s="383">
        <v>45294</v>
      </c>
      <c r="I1187" s="65" t="s">
        <v>75</v>
      </c>
      <c r="J1187" s="65" t="s">
        <v>4746</v>
      </c>
      <c r="K1187" s="63" t="s">
        <v>3776</v>
      </c>
      <c r="L1187" s="63" t="s">
        <v>2076</v>
      </c>
      <c r="M1187" s="63" t="s">
        <v>1084</v>
      </c>
      <c r="N1187" s="205" t="s">
        <v>5257</v>
      </c>
      <c r="O1187" s="78" t="str">
        <f ca="1">IF(H1187&lt;&gt;"",IF(H1187&lt;=TODAY(),"SI","NO"),"LIMBO")</f>
        <v>SI</v>
      </c>
      <c r="P1187" s="78" t="str">
        <f>IF($P$1=H1187,"DIASOL", "DIANOSOL")</f>
        <v>DIANOSOL</v>
      </c>
      <c r="Q1187" s="63" t="s">
        <v>903</v>
      </c>
      <c r="R1187" s="63" t="str">
        <f>VLOOKUP($Q1187,Resultados!$A$1:$B$49,2,FALSE)</f>
        <v>Juicio Abreviado</v>
      </c>
      <c r="S1187" s="63" t="s">
        <v>547</v>
      </c>
      <c r="T1187" s="81" t="str">
        <f>IF(G1187=$J$1,"SI","NO")</f>
        <v>NO</v>
      </c>
      <c r="U1187" s="81"/>
      <c r="V1187" s="7" t="str">
        <f ca="1">IF(color_Celda(E1187)=12106214,"ROSA",IF(color_Celda(E1187)=65535,"AMARILLO",IF(color_Celda(E1187)=5296274,"VERDE",IF(color_Celda(E1187)=16777215,"BLANCO","NO SE"))))</f>
        <v>ROSA</v>
      </c>
      <c r="W1187" s="63" t="s">
        <v>1458</v>
      </c>
      <c r="X1187" s="63" t="s">
        <v>5104</v>
      </c>
      <c r="Y1187" s="336"/>
      <c r="Z1187" s="118" t="s">
        <v>5063</v>
      </c>
      <c r="AA1187" s="118" t="s">
        <v>2828</v>
      </c>
      <c r="AB1187" s="118" t="s">
        <v>1173</v>
      </c>
      <c r="AC1187" s="336"/>
    </row>
    <row r="1188" spans="1:29" ht="60" customHeight="1">
      <c r="A1188" s="336">
        <v>1197</v>
      </c>
      <c r="B1188" s="349">
        <v>45279</v>
      </c>
      <c r="C1188" s="568">
        <v>0.47916666666666669</v>
      </c>
      <c r="D1188" s="63" t="s">
        <v>4741</v>
      </c>
      <c r="E1188" s="64" t="s">
        <v>4742</v>
      </c>
      <c r="F1188" s="336">
        <v>5</v>
      </c>
      <c r="G1188" s="63" t="s">
        <v>2752</v>
      </c>
      <c r="H1188" s="383">
        <v>45294</v>
      </c>
      <c r="I1188" s="65" t="s">
        <v>77</v>
      </c>
      <c r="J1188" s="65" t="s">
        <v>1680</v>
      </c>
      <c r="K1188" s="63" t="s">
        <v>1982</v>
      </c>
      <c r="L1188" s="63" t="s">
        <v>810</v>
      </c>
      <c r="M1188" s="63" t="s">
        <v>2107</v>
      </c>
      <c r="N1188" s="205" t="s">
        <v>5258</v>
      </c>
      <c r="O1188" s="78" t="str">
        <f ca="1">IF(H1188&lt;&gt;"",IF(H1188&lt;=TODAY(),"SI","NO"),"LIMBO")</f>
        <v>SI</v>
      </c>
      <c r="P1188" s="78" t="str">
        <f>IF($P$1=H1188,"DIASOL", "DIANOSOL")</f>
        <v>DIANOSOL</v>
      </c>
      <c r="Q1188" s="63" t="s">
        <v>902</v>
      </c>
      <c r="R1188" s="63" t="str">
        <f>VLOOKUP($Q1188,Resultados!$A$1:$B$49,2,FALSE)</f>
        <v>Juicio Abreviado</v>
      </c>
      <c r="S1188" s="63" t="s">
        <v>4574</v>
      </c>
      <c r="T1188" s="81" t="str">
        <f>IF(G1188=$J$1,"SI","NO")</f>
        <v>NO</v>
      </c>
      <c r="U1188" s="81"/>
      <c r="V1188" s="7" t="str">
        <f ca="1">IF(color_Celda(E1188)=12106214,"ROSA",IF(color_Celda(E1188)=65535,"AMARILLO",IF(color_Celda(E1188)=5296274,"VERDE",IF(color_Celda(E1188)=16777215,"BLANCO","NO SE"))))</f>
        <v>ROSA</v>
      </c>
      <c r="W1188" s="63" t="s">
        <v>3565</v>
      </c>
      <c r="X1188" s="7" t="s">
        <v>4163</v>
      </c>
      <c r="Y1188" s="336"/>
      <c r="Z1188" s="118" t="s">
        <v>3368</v>
      </c>
      <c r="AA1188" s="118" t="s">
        <v>2869</v>
      </c>
      <c r="AB1188" s="118" t="s">
        <v>1169</v>
      </c>
      <c r="AC1188" s="336"/>
    </row>
    <row r="1189" spans="1:29" ht="60" customHeight="1">
      <c r="A1189" s="336">
        <v>1255</v>
      </c>
      <c r="B1189" s="349">
        <v>45289</v>
      </c>
      <c r="C1189" s="70">
        <v>0.33333333333333331</v>
      </c>
      <c r="D1189" s="336" t="s">
        <v>4314</v>
      </c>
      <c r="E1189" s="355" t="s">
        <v>4326</v>
      </c>
      <c r="F1189" s="336">
        <v>5</v>
      </c>
      <c r="G1189" s="63" t="s">
        <v>2751</v>
      </c>
      <c r="H1189" s="383">
        <v>45294</v>
      </c>
      <c r="I1189" s="65" t="s">
        <v>77</v>
      </c>
      <c r="J1189" s="65" t="s">
        <v>78</v>
      </c>
      <c r="K1189" s="336">
        <f>IFERROR(VLOOKUP(J1189,Jueces!$A$1:$B$11,2,FALSE),"")</f>
        <v>8</v>
      </c>
      <c r="L1189" s="63" t="s">
        <v>2076</v>
      </c>
      <c r="M1189" s="63" t="s">
        <v>1956</v>
      </c>
      <c r="N1189" s="63" t="s">
        <v>5101</v>
      </c>
      <c r="O1189" s="206" t="str">
        <f ca="1">IF(H1189&lt;&gt;"",IF(H1189&lt;=TODAY(),"SI","NO"),"LIMBO")</f>
        <v>SI</v>
      </c>
      <c r="P1189" s="206" t="str">
        <f>IF($P$1=H1189,"DIASOL", "DIANOSOL")</f>
        <v>DIANOSOL</v>
      </c>
      <c r="Q1189" s="63" t="s">
        <v>151</v>
      </c>
      <c r="R1189" s="63" t="str">
        <f>VLOOKUP($Q1189,Resultados!$A$1:$B$49,2,FALSE)</f>
        <v>Prisión Preventiva</v>
      </c>
      <c r="S1189" s="63" t="s">
        <v>3120</v>
      </c>
      <c r="T1189" s="267" t="str">
        <f>IF(G1189=$J$1,"SI","NO")</f>
        <v>NO</v>
      </c>
      <c r="U1189" s="267"/>
      <c r="V1189" s="7" t="str">
        <f ca="1">IF(color_Celda(E1189)=12106214,"ROSA",IF(color_Celda(E1189)=65535,"AMARILLO",IF(color_Celda(E1189)=5296274,"VERDE",IF(color_Celda(E1189)=16777215,"BLANCO","NO SE"))))</f>
        <v>ROSA</v>
      </c>
      <c r="W1189" s="63" t="s">
        <v>5067</v>
      </c>
      <c r="X1189" s="391" t="s">
        <v>5102</v>
      </c>
      <c r="Y1189" s="336"/>
      <c r="Z1189" s="118" t="s">
        <v>748</v>
      </c>
      <c r="AA1189" s="118"/>
      <c r="AB1189" s="118" t="s">
        <v>1173</v>
      </c>
      <c r="AC1189" s="336"/>
    </row>
    <row r="1190" spans="1:29" ht="60" customHeight="1">
      <c r="A1190" s="336">
        <v>1172</v>
      </c>
      <c r="B1190" s="349">
        <v>45274</v>
      </c>
      <c r="C1190" s="568">
        <v>0.33333333333333331</v>
      </c>
      <c r="D1190" s="63" t="s">
        <v>4626</v>
      </c>
      <c r="E1190" s="64" t="s">
        <v>4634</v>
      </c>
      <c r="F1190" s="336">
        <v>6</v>
      </c>
      <c r="G1190" s="63" t="s">
        <v>4749</v>
      </c>
      <c r="H1190" s="383">
        <v>45294</v>
      </c>
      <c r="I1190" s="65" t="s">
        <v>1146</v>
      </c>
      <c r="J1190" s="65" t="s">
        <v>4746</v>
      </c>
      <c r="K1190" s="63" t="s">
        <v>3776</v>
      </c>
      <c r="L1190" s="63" t="s">
        <v>809</v>
      </c>
      <c r="M1190" s="63" t="s">
        <v>725</v>
      </c>
      <c r="N1190" s="63" t="s">
        <v>5126</v>
      </c>
      <c r="O1190" s="78" t="str">
        <f ca="1">IF(H1190&lt;&gt;"",IF(H1190&lt;=TODAY(),"SI","NO"),"LIMBO")</f>
        <v>SI</v>
      </c>
      <c r="P1190" s="78" t="str">
        <f>IF($P$1=H1190,"DIASOL", "DIANOSOL")</f>
        <v>DIANOSOL</v>
      </c>
      <c r="Q1190" s="63" t="s">
        <v>902</v>
      </c>
      <c r="R1190" s="63" t="str">
        <f>VLOOKUP($Q1190,Resultados!$A$1:$B$49,2,FALSE)</f>
        <v>Juicio Abreviado</v>
      </c>
      <c r="S1190" s="63" t="s">
        <v>5099</v>
      </c>
      <c r="T1190" s="81" t="str">
        <f>IF(G1190=$J$1,"SI","NO")</f>
        <v>NO</v>
      </c>
      <c r="U1190" s="81"/>
      <c r="V1190" s="7" t="str">
        <f ca="1">IF(color_Celda(E1190)=12106214,"ROSA",IF(color_Celda(E1190)=65535,"AMARILLO",IF(color_Celda(E1190)=5296274,"VERDE",IF(color_Celda(E1190)=16777215,"BLANCO","NO SE"))))</f>
        <v>ROSA</v>
      </c>
      <c r="W1190" s="63" t="s">
        <v>1906</v>
      </c>
      <c r="X1190" s="536" t="s">
        <v>5100</v>
      </c>
      <c r="Y1190" s="336"/>
      <c r="Z1190" s="118" t="s">
        <v>5063</v>
      </c>
      <c r="AA1190" s="118" t="s">
        <v>2869</v>
      </c>
      <c r="AB1190" s="118" t="s">
        <v>1169</v>
      </c>
      <c r="AC1190" s="336"/>
    </row>
    <row r="1191" spans="1:29" ht="60" customHeight="1">
      <c r="A1191" s="336">
        <v>1278</v>
      </c>
      <c r="B1191" s="349">
        <v>45289</v>
      </c>
      <c r="C1191" s="70">
        <v>0.33333333333333331</v>
      </c>
      <c r="D1191" s="336" t="s">
        <v>3924</v>
      </c>
      <c r="E1191" s="355" t="s">
        <v>3925</v>
      </c>
      <c r="F1191" s="336">
        <v>1</v>
      </c>
      <c r="G1191" s="336" t="s">
        <v>3323</v>
      </c>
      <c r="H1191" s="383">
        <v>45294</v>
      </c>
      <c r="I1191" s="349" t="s">
        <v>228</v>
      </c>
      <c r="J1191" s="349" t="s">
        <v>31</v>
      </c>
      <c r="K1191" s="336" t="s">
        <v>5022</v>
      </c>
      <c r="L1191" s="63" t="s">
        <v>1067</v>
      </c>
      <c r="M1191" s="63" t="s">
        <v>3381</v>
      </c>
      <c r="N1191" s="63" t="s">
        <v>5098</v>
      </c>
      <c r="O1191" s="78" t="str">
        <f ca="1">IF(H1191&lt;&gt;"",IF(H1191&lt;=TODAY(),"SI","NO"),"LIMBO")</f>
        <v>SI</v>
      </c>
      <c r="P1191" s="78" t="str">
        <f>IF($P$1=H1191,"DIASOL", "DIANOSOL")</f>
        <v>DIANOSOL</v>
      </c>
      <c r="Q1191" s="63" t="s">
        <v>151</v>
      </c>
      <c r="R1191" s="63" t="str">
        <f>VLOOKUP($Q1191,Resultados!$A$1:$B$49,2,FALSE)</f>
        <v>Prisión Preventiva</v>
      </c>
      <c r="S1191" s="63" t="s">
        <v>2157</v>
      </c>
      <c r="T1191" s="81" t="str">
        <f>IF(G1191=$J$1,"SI","NO")</f>
        <v>NO</v>
      </c>
      <c r="U1191" s="81"/>
      <c r="V1191" s="7" t="str">
        <f ca="1">IF(color_Celda(E1191)=12106214,"ROSA",IF(color_Celda(E1191)=65535,"AMARILLO",IF(color_Celda(E1191)=5296274,"VERDE",IF(color_Celda(E1191)=16777215,"BLANCO","NO SE"))))</f>
        <v>ROSA</v>
      </c>
      <c r="W1191" s="63" t="s">
        <v>3265</v>
      </c>
      <c r="X1191" s="336"/>
      <c r="Y1191" s="336"/>
      <c r="Z1191" s="118" t="s">
        <v>3368</v>
      </c>
      <c r="AA1191" s="205"/>
      <c r="AB1191" s="118" t="s">
        <v>1173</v>
      </c>
      <c r="AC1191" s="336"/>
    </row>
    <row r="1192" spans="1:29" ht="60" customHeight="1">
      <c r="A1192" s="336">
        <v>1162</v>
      </c>
      <c r="B1192" s="349">
        <v>45273</v>
      </c>
      <c r="C1192" s="568">
        <v>0.45833333333333331</v>
      </c>
      <c r="D1192" s="63" t="s">
        <v>4608</v>
      </c>
      <c r="E1192" s="64" t="s">
        <v>4609</v>
      </c>
      <c r="F1192" s="336">
        <v>5</v>
      </c>
      <c r="G1192" s="63" t="s">
        <v>2751</v>
      </c>
      <c r="H1192" s="208">
        <v>45295</v>
      </c>
      <c r="I1192" s="65" t="s">
        <v>76</v>
      </c>
      <c r="J1192" s="65" t="s">
        <v>1680</v>
      </c>
      <c r="K1192" s="63" t="s">
        <v>1982</v>
      </c>
      <c r="L1192" s="63" t="s">
        <v>811</v>
      </c>
      <c r="M1192" s="63" t="s">
        <v>2107</v>
      </c>
      <c r="N1192" s="63" t="s">
        <v>5122</v>
      </c>
      <c r="O1192" s="78" t="str">
        <f ca="1">IF(H1192&lt;&gt;"",IF(H1192&lt;=TODAY(),"SI","NO"),"LIMBO")</f>
        <v>SI</v>
      </c>
      <c r="P1192" s="78" t="str">
        <f>IF($P$1=H1192,"DIASOL", "DIANOSOL")</f>
        <v>DIANOSOL</v>
      </c>
      <c r="Q1192" s="63" t="s">
        <v>151</v>
      </c>
      <c r="R1192" s="63" t="str">
        <f>VLOOKUP($Q1192,Resultados!$A$1:$B$49,2,FALSE)</f>
        <v>Prisión Preventiva</v>
      </c>
      <c r="S1192" s="63" t="s">
        <v>1388</v>
      </c>
      <c r="T1192" s="81" t="str">
        <f>IF(G1192=$J$1,"SI","NO")</f>
        <v>NO</v>
      </c>
      <c r="U1192" s="81"/>
      <c r="V1192" s="7" t="str">
        <f ca="1">IF(color_Celda(E1192)=12106214,"ROSA",IF(color_Celda(E1192)=65535,"AMARILLO",IF(color_Celda(E1192)=5296274,"VERDE",IF(color_Celda(E1192)=16777215,"BLANCO","NO SE"))))</f>
        <v>ROSA</v>
      </c>
      <c r="W1192" s="63" t="s">
        <v>1442</v>
      </c>
      <c r="X1192" s="63" t="s">
        <v>1746</v>
      </c>
      <c r="Y1192" s="336"/>
      <c r="Z1192" s="72" t="s">
        <v>1039</v>
      </c>
      <c r="AA1192" s="72" t="s">
        <v>2828</v>
      </c>
      <c r="AB1192" s="63" t="s">
        <v>1169</v>
      </c>
      <c r="AC1192" s="336"/>
    </row>
    <row r="1193" spans="1:29" ht="60" customHeight="1">
      <c r="A1193" s="336">
        <v>1177</v>
      </c>
      <c r="B1193" s="349">
        <v>45275</v>
      </c>
      <c r="C1193" s="568">
        <v>0.33333333333333331</v>
      </c>
      <c r="D1193" s="63" t="s">
        <v>4650</v>
      </c>
      <c r="E1193" s="64" t="s">
        <v>4651</v>
      </c>
      <c r="F1193" s="336">
        <v>5</v>
      </c>
      <c r="G1193" s="63" t="s">
        <v>2753</v>
      </c>
      <c r="H1193" s="383">
        <v>45295</v>
      </c>
      <c r="I1193" s="65" t="s">
        <v>76</v>
      </c>
      <c r="J1193" s="65" t="s">
        <v>4746</v>
      </c>
      <c r="K1193" s="63" t="s">
        <v>3776</v>
      </c>
      <c r="L1193" s="63" t="s">
        <v>807</v>
      </c>
      <c r="M1193" s="63" t="s">
        <v>725</v>
      </c>
      <c r="N1193" s="205" t="s">
        <v>5259</v>
      </c>
      <c r="O1193" s="78" t="str">
        <f ca="1">IF(H1193&lt;&gt;"",IF(H1193&lt;=TODAY(),"SI","NO"),"LIMBO")</f>
        <v>SI</v>
      </c>
      <c r="P1193" s="78" t="str">
        <f>IF($P$1=H1193,"DIASOL", "DIANOSOL")</f>
        <v>DIANOSOL</v>
      </c>
      <c r="Q1193" s="63" t="s">
        <v>902</v>
      </c>
      <c r="R1193" s="63" t="str">
        <f>VLOOKUP($Q1193,Resultados!$A$1:$B$49,2,FALSE)</f>
        <v>Juicio Abreviado</v>
      </c>
      <c r="S1193" s="63" t="s">
        <v>3514</v>
      </c>
      <c r="T1193" s="81" t="str">
        <f>IF(G1193=$J$1,"SI","NO")</f>
        <v>NO</v>
      </c>
      <c r="U1193" s="81"/>
      <c r="V1193" s="7" t="str">
        <f ca="1">IF(color_Celda(E1193)=12106214,"ROSA",IF(color_Celda(E1193)=65535,"AMARILLO",IF(color_Celda(E1193)=5296274,"VERDE",IF(color_Celda(E1193)=16777215,"BLANCO","NO SE"))))</f>
        <v>ROSA</v>
      </c>
      <c r="W1193" s="63" t="s">
        <v>4252</v>
      </c>
      <c r="X1193" s="63" t="s">
        <v>5104</v>
      </c>
      <c r="Y1193" s="336"/>
      <c r="Z1193" s="72" t="s">
        <v>3368</v>
      </c>
      <c r="AA1193" s="72" t="s">
        <v>3379</v>
      </c>
      <c r="AB1193" s="63" t="s">
        <v>1173</v>
      </c>
      <c r="AC1193" s="336"/>
    </row>
    <row r="1194" spans="1:29" ht="60" customHeight="1">
      <c r="A1194" s="336">
        <v>1182</v>
      </c>
      <c r="B1194" s="349">
        <v>45275</v>
      </c>
      <c r="C1194" s="568">
        <v>0.33333333333333331</v>
      </c>
      <c r="D1194" s="63" t="s">
        <v>4659</v>
      </c>
      <c r="E1194" s="64" t="s">
        <v>4660</v>
      </c>
      <c r="F1194" s="336">
        <v>6</v>
      </c>
      <c r="G1194" s="63" t="s">
        <v>2752</v>
      </c>
      <c r="H1194" s="208">
        <v>45295</v>
      </c>
      <c r="I1194" s="65" t="s">
        <v>76</v>
      </c>
      <c r="J1194" s="65" t="s">
        <v>78</v>
      </c>
      <c r="K1194" s="336">
        <f>IFERROR(VLOOKUP(J1194,Jueces!$A$1:$B$11,2,FALSE),"")</f>
        <v>8</v>
      </c>
      <c r="L1194" s="63" t="s">
        <v>808</v>
      </c>
      <c r="M1194" s="63" t="s">
        <v>2201</v>
      </c>
      <c r="N1194" s="63" t="s">
        <v>5124</v>
      </c>
      <c r="O1194" s="78" t="str">
        <f ca="1">IF(H1194&lt;&gt;"",IF(H1194&lt;=TODAY(),"SI","NO"),"LIMBO")</f>
        <v>SI</v>
      </c>
      <c r="P1194" s="78" t="str">
        <f>IF($P$1=H1194,"DIASOL", "DIANOSOL")</f>
        <v>DIANOSOL</v>
      </c>
      <c r="Q1194" s="63" t="s">
        <v>910</v>
      </c>
      <c r="R1194" s="63" t="str">
        <f>VLOOKUP($Q1194,Resultados!$A$1:$B$49,2,FALSE)</f>
        <v>Suspendida</v>
      </c>
      <c r="S1194" s="63" t="s">
        <v>2011</v>
      </c>
      <c r="T1194" s="81" t="str">
        <f>IF(G1194=$J$1,"SI","NO")</f>
        <v>NO</v>
      </c>
      <c r="U1194" s="81"/>
      <c r="V1194" s="7" t="str">
        <f ca="1">IF(color_Celda(E1194)=12106214,"ROSA",IF(color_Celda(E1194)=65535,"AMARILLO",IF(color_Celda(E1194)=5296274,"VERDE",IF(color_Celda(E1194)=16777215,"BLANCO","NO SE"))))</f>
        <v>ROSA</v>
      </c>
      <c r="W1194" s="63" t="s">
        <v>5064</v>
      </c>
      <c r="X1194" s="336"/>
      <c r="Y1194" s="336"/>
      <c r="Z1194" s="72" t="s">
        <v>748</v>
      </c>
      <c r="AA1194" s="72" t="s">
        <v>2869</v>
      </c>
      <c r="AB1194" s="63" t="s">
        <v>1169</v>
      </c>
      <c r="AC1194" s="336"/>
    </row>
    <row r="1195" spans="1:29" ht="60" customHeight="1">
      <c r="A1195" s="336">
        <v>1179</v>
      </c>
      <c r="B1195" s="349">
        <v>45275</v>
      </c>
      <c r="C1195" s="568">
        <v>0.33333333333333331</v>
      </c>
      <c r="D1195" s="325" t="s">
        <v>4654</v>
      </c>
      <c r="E1195" s="64" t="s">
        <v>4655</v>
      </c>
      <c r="F1195" s="336">
        <v>6</v>
      </c>
      <c r="G1195" s="63" t="s">
        <v>4749</v>
      </c>
      <c r="H1195" s="383">
        <v>45295</v>
      </c>
      <c r="I1195" s="65" t="s">
        <v>75</v>
      </c>
      <c r="J1195" s="65" t="s">
        <v>4746</v>
      </c>
      <c r="K1195" s="63" t="s">
        <v>3776</v>
      </c>
      <c r="L1195" s="63" t="s">
        <v>806</v>
      </c>
      <c r="M1195" s="63" t="s">
        <v>2201</v>
      </c>
      <c r="N1195" s="63" t="s">
        <v>5260</v>
      </c>
      <c r="O1195" s="78" t="str">
        <f ca="1">IF(H1195&lt;&gt;"",IF(H1195&lt;=TODAY(),"SI","NO"),"LIMBO")</f>
        <v>SI</v>
      </c>
      <c r="P1195" s="78" t="str">
        <f>IF($P$1=H1195,"DIASOL", "DIANOSOL")</f>
        <v>DIANOSOL</v>
      </c>
      <c r="Q1195" s="63" t="s">
        <v>902</v>
      </c>
      <c r="R1195" s="63" t="str">
        <f>VLOOKUP($Q1195,Resultados!$A$1:$B$49,2,FALSE)</f>
        <v>Juicio Abreviado</v>
      </c>
      <c r="S1195" s="63" t="s">
        <v>1755</v>
      </c>
      <c r="T1195" s="81" t="str">
        <f>IF(G1195=$J$1,"SI","NO")</f>
        <v>NO</v>
      </c>
      <c r="U1195" s="81"/>
      <c r="V1195" s="7" t="str">
        <f ca="1">IF(color_Celda(E1195)=12106214,"ROSA",IF(color_Celda(E1195)=65535,"AMARILLO",IF(color_Celda(E1195)=5296274,"VERDE",IF(color_Celda(E1195)=16777215,"BLANCO","NO SE"))))</f>
        <v>ROSA</v>
      </c>
      <c r="W1195" s="63" t="s">
        <v>3682</v>
      </c>
      <c r="X1195" s="63" t="s">
        <v>1883</v>
      </c>
      <c r="Y1195" s="336"/>
      <c r="Z1195" s="72" t="s">
        <v>3368</v>
      </c>
      <c r="AA1195" s="72" t="s">
        <v>2828</v>
      </c>
      <c r="AB1195" s="63" t="s">
        <v>1173</v>
      </c>
      <c r="AC1195" s="336" t="s">
        <v>1792</v>
      </c>
    </row>
    <row r="1196" spans="1:29" ht="60" customHeight="1">
      <c r="A1196" s="336">
        <v>1190</v>
      </c>
      <c r="B1196" s="349">
        <v>45278</v>
      </c>
      <c r="C1196" s="568">
        <v>0.33333333333333331</v>
      </c>
      <c r="D1196" s="63" t="s">
        <v>4703</v>
      </c>
      <c r="E1196" s="355" t="s">
        <v>4704</v>
      </c>
      <c r="F1196" s="336">
        <v>6</v>
      </c>
      <c r="G1196" s="63" t="s">
        <v>3323</v>
      </c>
      <c r="H1196" s="383">
        <v>45295</v>
      </c>
      <c r="I1196" s="65" t="s">
        <v>75</v>
      </c>
      <c r="J1196" s="65" t="s">
        <v>1680</v>
      </c>
      <c r="K1196" s="63" t="s">
        <v>1982</v>
      </c>
      <c r="L1196" s="63" t="s">
        <v>790</v>
      </c>
      <c r="M1196" s="63" t="s">
        <v>725</v>
      </c>
      <c r="N1196" s="205" t="s">
        <v>5252</v>
      </c>
      <c r="O1196" s="78" t="str">
        <f ca="1">IF(H1196&lt;&gt;"",IF(H1196&lt;=TODAY(),"SI","NO"),"LIMBO")</f>
        <v>SI</v>
      </c>
      <c r="P1196" s="78" t="str">
        <f>IF($P$1=H1196,"DIASOL", "DIANOSOL")</f>
        <v>DIANOSOL</v>
      </c>
      <c r="Q1196" s="63" t="s">
        <v>902</v>
      </c>
      <c r="R1196" s="63" t="str">
        <f>VLOOKUP($Q1196,Resultados!$A$1:$B$49,2,FALSE)</f>
        <v>Juicio Abreviado</v>
      </c>
      <c r="S1196" s="63" t="s">
        <v>4475</v>
      </c>
      <c r="T1196" s="81" t="str">
        <f>IF(G1196=$J$1,"SI","NO")</f>
        <v>NO</v>
      </c>
      <c r="U1196" s="81"/>
      <c r="V1196" s="7" t="str">
        <f ca="1">IF(color_Celda(E1196)=12106214,"ROSA",IF(color_Celda(E1196)=65535,"AMARILLO",IF(color_Celda(E1196)=5296274,"VERDE",IF(color_Celda(E1196)=16777215,"BLANCO","NO SE"))))</f>
        <v>ROSA</v>
      </c>
      <c r="W1196" s="63" t="s">
        <v>3236</v>
      </c>
      <c r="X1196" s="63" t="s">
        <v>5104</v>
      </c>
      <c r="Y1196" s="336"/>
      <c r="Z1196" s="72" t="s">
        <v>5063</v>
      </c>
      <c r="AA1196" s="72" t="s">
        <v>3379</v>
      </c>
      <c r="AB1196" s="63" t="s">
        <v>1169</v>
      </c>
      <c r="AC1196" s="336"/>
    </row>
    <row r="1197" spans="1:29" ht="60" customHeight="1">
      <c r="A1197" s="336">
        <v>1186</v>
      </c>
      <c r="B1197" s="349">
        <v>45275</v>
      </c>
      <c r="C1197" s="568">
        <v>0.44166666666666665</v>
      </c>
      <c r="D1197" s="325" t="s">
        <v>4665</v>
      </c>
      <c r="E1197" s="64" t="s">
        <v>4757</v>
      </c>
      <c r="F1197" s="336">
        <v>6</v>
      </c>
      <c r="G1197" s="63" t="s">
        <v>2815</v>
      </c>
      <c r="H1197" s="383">
        <v>45295</v>
      </c>
      <c r="I1197" s="65" t="s">
        <v>77</v>
      </c>
      <c r="J1197" s="65" t="s">
        <v>4746</v>
      </c>
      <c r="K1197" s="63" t="s">
        <v>3776</v>
      </c>
      <c r="L1197" s="63" t="s">
        <v>806</v>
      </c>
      <c r="M1197" s="63" t="s">
        <v>725</v>
      </c>
      <c r="N1197" s="205" t="s">
        <v>5123</v>
      </c>
      <c r="O1197" s="78" t="str">
        <f ca="1">IF(H1197&lt;&gt;"",IF(H1197&lt;=TODAY(),"SI","NO"),"LIMBO")</f>
        <v>SI</v>
      </c>
      <c r="P1197" s="78" t="str">
        <f>IF($P$1=H1197,"DIASOL", "DIANOSOL")</f>
        <v>DIANOSOL</v>
      </c>
      <c r="Q1197" s="63" t="s">
        <v>907</v>
      </c>
      <c r="R1197" s="63" t="str">
        <f>VLOOKUP($Q1197,Resultados!$A$1:$B$49,2,FALSE)</f>
        <v>Suspensión de juicio a prueba</v>
      </c>
      <c r="S1197" s="63" t="s">
        <v>3393</v>
      </c>
      <c r="T1197" s="81" t="str">
        <f>IF(G1197=$J$1,"SI","NO")</f>
        <v>NO</v>
      </c>
      <c r="U1197" s="81"/>
      <c r="V1197" s="7" t="str">
        <f ca="1">IF(color_Celda(E1197)=12106214,"ROSA",IF(color_Celda(E1197)=65535,"AMARILLO",IF(color_Celda(E1197)=5296274,"VERDE",IF(color_Celda(E1197)=16777215,"BLANCO","NO SE"))))</f>
        <v>ROSA</v>
      </c>
      <c r="W1197" s="63" t="s">
        <v>3436</v>
      </c>
      <c r="X1197" s="63" t="s">
        <v>5118</v>
      </c>
      <c r="Y1197" s="336"/>
      <c r="Z1197" s="72" t="s">
        <v>3368</v>
      </c>
      <c r="AA1197" s="72" t="s">
        <v>2869</v>
      </c>
      <c r="AB1197" s="63" t="s">
        <v>1173</v>
      </c>
      <c r="AC1197" s="336" t="s">
        <v>1792</v>
      </c>
    </row>
    <row r="1198" spans="1:29" ht="60" customHeight="1">
      <c r="A1198" s="336">
        <v>1195</v>
      </c>
      <c r="B1198" s="349">
        <v>45278</v>
      </c>
      <c r="C1198" s="568">
        <v>0.4236111111111111</v>
      </c>
      <c r="D1198" s="63" t="s">
        <v>4714</v>
      </c>
      <c r="E1198" s="64" t="s">
        <v>5127</v>
      </c>
      <c r="F1198" s="336">
        <v>5</v>
      </c>
      <c r="G1198" s="63" t="s">
        <v>29</v>
      </c>
      <c r="H1198" s="208">
        <v>45295</v>
      </c>
      <c r="I1198" s="65" t="s">
        <v>77</v>
      </c>
      <c r="J1198" s="65" t="s">
        <v>78</v>
      </c>
      <c r="K1198" s="336">
        <f>IFERROR(VLOOKUP(J1198,Jueces!$A$1:$B$11,2,FALSE),"")</f>
        <v>8</v>
      </c>
      <c r="L1198" s="63" t="s">
        <v>797</v>
      </c>
      <c r="M1198" s="63" t="s">
        <v>2201</v>
      </c>
      <c r="N1198" s="63" t="s">
        <v>5261</v>
      </c>
      <c r="O1198" s="78" t="str">
        <f ca="1">IF(H1198&lt;&gt;"",IF(H1198&lt;=TODAY(),"SI","NO"),"LIMBO")</f>
        <v>SI</v>
      </c>
      <c r="P1198" s="78" t="str">
        <f>IF($P$1=H1198,"DIASOL", "DIANOSOL")</f>
        <v>DIANOSOL</v>
      </c>
      <c r="Q1198" s="63" t="s">
        <v>902</v>
      </c>
      <c r="R1198" s="63" t="str">
        <f>VLOOKUP($Q1198,Resultados!$A$1:$B$49,2,FALSE)</f>
        <v>Juicio Abreviado</v>
      </c>
      <c r="S1198" s="63" t="s">
        <v>3161</v>
      </c>
      <c r="T1198" s="81" t="str">
        <f>IF(G1198=$J$1,"SI","NO")</f>
        <v>NO</v>
      </c>
      <c r="U1198" s="81"/>
      <c r="V1198" s="7" t="str">
        <f ca="1">IF(color_Celda(E1198)=12106214,"ROSA",IF(color_Celda(E1198)=65535,"AMARILLO",IF(color_Celda(E1198)=5296274,"VERDE",IF(color_Celda(E1198)=16777215,"BLANCO","NO SE"))))</f>
        <v>ROSA</v>
      </c>
      <c r="W1198" s="568">
        <v>0.48541666666666666</v>
      </c>
      <c r="X1198" s="536" t="s">
        <v>5119</v>
      </c>
      <c r="Y1198" s="336"/>
      <c r="Z1198" s="72" t="s">
        <v>748</v>
      </c>
      <c r="AA1198" s="72" t="s">
        <v>2869</v>
      </c>
      <c r="AB1198" s="63" t="s">
        <v>1169</v>
      </c>
      <c r="AC1198" s="336"/>
    </row>
    <row r="1199" spans="1:29" ht="60" customHeight="1">
      <c r="A1199" s="336">
        <v>1201</v>
      </c>
      <c r="B1199" s="349">
        <v>45279</v>
      </c>
      <c r="C1199" s="568">
        <v>0.54166666666666663</v>
      </c>
      <c r="D1199" s="63" t="s">
        <v>4753</v>
      </c>
      <c r="E1199" s="64" t="s">
        <v>4754</v>
      </c>
      <c r="F1199" s="336">
        <v>6</v>
      </c>
      <c r="G1199" s="336" t="s">
        <v>3324</v>
      </c>
      <c r="H1199" s="208">
        <v>45295</v>
      </c>
      <c r="I1199" s="65" t="s">
        <v>77</v>
      </c>
      <c r="J1199" s="349" t="s">
        <v>1680</v>
      </c>
      <c r="K1199" s="63" t="s">
        <v>1916</v>
      </c>
      <c r="L1199" s="63" t="s">
        <v>569</v>
      </c>
      <c r="M1199" s="335" t="s">
        <v>2266</v>
      </c>
      <c r="N1199" s="205" t="s">
        <v>5262</v>
      </c>
      <c r="O1199" s="78" t="str">
        <f ca="1">IF(H1199&lt;&gt;"",IF(H1199&lt;=TODAY(),"SI","NO"),"LIMBO")</f>
        <v>SI</v>
      </c>
      <c r="P1199" s="78" t="str">
        <f>IF($P$1=H1199,"DIASOL", "DIANOSOL")</f>
        <v>DIANOSOL</v>
      </c>
      <c r="Q1199" s="63" t="s">
        <v>903</v>
      </c>
      <c r="R1199" s="63" t="str">
        <f>VLOOKUP($Q1199,Resultados!$A$1:$B$49,2,FALSE)</f>
        <v>Juicio Abreviado</v>
      </c>
      <c r="S1199" s="63" t="s">
        <v>3439</v>
      </c>
      <c r="T1199" s="81" t="str">
        <f>IF(G1199=$J$1,"SI","NO")</f>
        <v>NO</v>
      </c>
      <c r="U1199" s="81"/>
      <c r="V1199" s="7" t="str">
        <f ca="1">IF(color_Celda(E1199)=12106214,"ROSA",IF(color_Celda(E1199)=65535,"AMARILLO",IF(color_Celda(E1199)=5296274,"VERDE",IF(color_Celda(E1199)=16777215,"BLANCO","NO SE"))))</f>
        <v>ROSA</v>
      </c>
      <c r="W1199" s="63" t="s">
        <v>4077</v>
      </c>
      <c r="X1199" s="336"/>
      <c r="Y1199" s="336"/>
      <c r="Z1199" s="72" t="s">
        <v>5063</v>
      </c>
      <c r="AA1199" s="72" t="s">
        <v>3379</v>
      </c>
      <c r="AB1199" s="63" t="s">
        <v>1173</v>
      </c>
      <c r="AC1199" s="336"/>
    </row>
    <row r="1200" spans="1:29" ht="60" customHeight="1">
      <c r="A1200" s="336">
        <v>1192</v>
      </c>
      <c r="B1200" s="349">
        <v>45275</v>
      </c>
      <c r="C1200" s="568">
        <v>0.46180555555555558</v>
      </c>
      <c r="D1200" s="63" t="s">
        <v>4708</v>
      </c>
      <c r="E1200" s="64" t="s">
        <v>4709</v>
      </c>
      <c r="F1200" s="336">
        <v>3</v>
      </c>
      <c r="G1200" s="63" t="s">
        <v>568</v>
      </c>
      <c r="H1200" s="383">
        <v>45295</v>
      </c>
      <c r="I1200" s="65" t="s">
        <v>228</v>
      </c>
      <c r="J1200" s="65" t="s">
        <v>78</v>
      </c>
      <c r="K1200" s="63">
        <v>8</v>
      </c>
      <c r="L1200" s="63" t="s">
        <v>569</v>
      </c>
      <c r="M1200" s="335" t="s">
        <v>3763</v>
      </c>
      <c r="N1200" s="205" t="s">
        <v>5120</v>
      </c>
      <c r="O1200" s="78" t="str">
        <f ca="1">IF(H1200&lt;&gt;"",IF(H1200&lt;=TODAY(),"SI","NO"),"LIMBO")</f>
        <v>SI</v>
      </c>
      <c r="P1200" s="78" t="str">
        <f>IF($P$1=H1200,"DIASOL", "DIANOSOL")</f>
        <v>DIANOSOL</v>
      </c>
      <c r="Q1200" s="63" t="s">
        <v>151</v>
      </c>
      <c r="R1200" s="63" t="str">
        <f>VLOOKUP($Q1200,Resultados!$A$1:$B$49,2,FALSE)</f>
        <v>Prisión Preventiva</v>
      </c>
      <c r="S1200" s="63" t="s">
        <v>1562</v>
      </c>
      <c r="T1200" s="81" t="str">
        <f>IF(G1200=$J$1,"SI","NO")</f>
        <v>NO</v>
      </c>
      <c r="U1200" s="81"/>
      <c r="V1200" s="7" t="str">
        <f ca="1">IF(color_Celda(E1200)=12106214,"ROSA",IF(color_Celda(E1200)=65535,"AMARILLO",IF(color_Celda(E1200)=5296274,"VERDE",IF(color_Celda(E1200)=16777215,"BLANCO","NO SE"))))</f>
        <v>ROSA</v>
      </c>
      <c r="W1200" s="63" t="s">
        <v>3201</v>
      </c>
      <c r="X1200" s="390" t="s">
        <v>5121</v>
      </c>
      <c r="Y1200" s="336"/>
      <c r="Z1200" s="72" t="s">
        <v>748</v>
      </c>
      <c r="AA1200" s="72"/>
      <c r="AB1200" s="63" t="s">
        <v>1169</v>
      </c>
      <c r="AC1200" s="336"/>
    </row>
    <row r="1201" spans="1:29" ht="60" customHeight="1">
      <c r="A1201" s="336">
        <v>1281</v>
      </c>
      <c r="B1201" s="349">
        <v>45293</v>
      </c>
      <c r="C1201" s="568">
        <v>0.375</v>
      </c>
      <c r="D1201" s="63" t="s">
        <v>5030</v>
      </c>
      <c r="E1201" s="64" t="s">
        <v>5031</v>
      </c>
      <c r="F1201" s="336">
        <v>6</v>
      </c>
      <c r="G1201" s="336" t="s">
        <v>2753</v>
      </c>
      <c r="H1201" s="383">
        <v>45295</v>
      </c>
      <c r="I1201" s="65" t="s">
        <v>228</v>
      </c>
      <c r="J1201" s="349" t="s">
        <v>31</v>
      </c>
      <c r="K1201" s="336">
        <f>IFERROR(VLOOKUP(J1201,Jueces!$A$1:$B$11,2,FALSE),"")</f>
        <v>2</v>
      </c>
      <c r="L1201" s="63" t="s">
        <v>4786</v>
      </c>
      <c r="M1201" s="356" t="s">
        <v>4515</v>
      </c>
      <c r="N1201" s="63" t="s">
        <v>5263</v>
      </c>
      <c r="O1201" s="78" t="str">
        <f ca="1">IF(H1201&lt;&gt;"",IF(H1201&lt;=TODAY(),"SI","NO"),"LIMBO")</f>
        <v>SI</v>
      </c>
      <c r="P1201" s="78" t="str">
        <f>IF($P$1=H1201,"DIASOL", "DIANOSOL")</f>
        <v>DIANOSOL</v>
      </c>
      <c r="Q1201" s="63" t="s">
        <v>902</v>
      </c>
      <c r="R1201" s="63" t="str">
        <f>VLOOKUP($Q1201,Resultados!$A$1:$B$49,2,FALSE)</f>
        <v>Juicio Abreviado</v>
      </c>
      <c r="S1201" s="63" t="s">
        <v>5117</v>
      </c>
      <c r="T1201" s="81" t="str">
        <f>IF(G1201=$J$1,"SI","NO")</f>
        <v>NO</v>
      </c>
      <c r="U1201" s="81"/>
      <c r="V1201" s="7" t="str">
        <f ca="1">IF(color_Celda(E1201)=12106214,"ROSA",IF(color_Celda(E1201)=65535,"AMARILLO",IF(color_Celda(E1201)=5296274,"VERDE",IF(color_Celda(E1201)=16777215,"BLANCO","NO SE"))))</f>
        <v>ROSA</v>
      </c>
      <c r="W1201" s="63" t="s">
        <v>1906</v>
      </c>
      <c r="X1201" s="336"/>
      <c r="Y1201" s="336"/>
      <c r="Z1201" s="72" t="s">
        <v>5063</v>
      </c>
      <c r="AA1201" s="336"/>
      <c r="AB1201" s="63" t="s">
        <v>1173</v>
      </c>
      <c r="AC1201" s="336"/>
    </row>
    <row r="1202" spans="1:29" ht="60" customHeight="1">
      <c r="A1202" s="336">
        <v>1164</v>
      </c>
      <c r="B1202" s="349">
        <v>45273</v>
      </c>
      <c r="C1202" s="568">
        <v>0.51736111111111105</v>
      </c>
      <c r="D1202" s="63" t="s">
        <v>2280</v>
      </c>
      <c r="E1202" s="64" t="s">
        <v>4611</v>
      </c>
      <c r="F1202" s="336">
        <v>7</v>
      </c>
      <c r="G1202" s="63" t="s">
        <v>4749</v>
      </c>
      <c r="H1202" s="383">
        <v>45296</v>
      </c>
      <c r="I1202" s="65" t="s">
        <v>76</v>
      </c>
      <c r="J1202" s="65" t="s">
        <v>4746</v>
      </c>
      <c r="K1202" s="63" t="s">
        <v>3776</v>
      </c>
      <c r="L1202" s="63" t="s">
        <v>795</v>
      </c>
      <c r="M1202" s="356" t="s">
        <v>3381</v>
      </c>
      <c r="N1202" s="63" t="s">
        <v>5150</v>
      </c>
      <c r="O1202" s="78" t="str">
        <f ca="1">IF(H1202&lt;&gt;"",IF(H1202&lt;=TODAY(),"SI","NO"),"LIMBO")</f>
        <v>SI</v>
      </c>
      <c r="P1202" s="78" t="str">
        <f>IF($P$1=H1202,"DIASOL", "DIANOSOL")</f>
        <v>DIANOSOL</v>
      </c>
      <c r="Q1202" s="63" t="s">
        <v>151</v>
      </c>
      <c r="R1202" s="63" t="str">
        <f>VLOOKUP($Q1202,Resultados!$A$1:$B$49,2,FALSE)</f>
        <v>Prisión Preventiva</v>
      </c>
      <c r="S1202" s="63" t="s">
        <v>1002</v>
      </c>
      <c r="T1202" s="81" t="str">
        <f>IF(G1202=$J$1,"SI","NO")</f>
        <v>NO</v>
      </c>
      <c r="U1202" s="81"/>
      <c r="V1202" s="7" t="str">
        <f ca="1">IF(color_Celda(E1202)=12106214,"ROSA",IF(color_Celda(E1202)=65535,"AMARILLO",IF(color_Celda(E1202)=5296274,"VERDE",IF(color_Celda(E1202)=16777215,"BLANCO","NO SE"))))</f>
        <v>ROSA</v>
      </c>
      <c r="W1202" s="63" t="s">
        <v>1501</v>
      </c>
      <c r="X1202" s="7" t="s">
        <v>5151</v>
      </c>
      <c r="Y1202" s="336"/>
      <c r="Z1202" s="118" t="s">
        <v>3368</v>
      </c>
      <c r="AA1202" s="72" t="s">
        <v>2828</v>
      </c>
      <c r="AB1202" s="118" t="s">
        <v>1169</v>
      </c>
      <c r="AC1202" s="336"/>
    </row>
    <row r="1203" spans="1:29" ht="60" customHeight="1">
      <c r="A1203" s="336">
        <v>1189</v>
      </c>
      <c r="B1203" s="349">
        <v>45278</v>
      </c>
      <c r="C1203" s="568">
        <v>0.33333333333333331</v>
      </c>
      <c r="D1203" s="63" t="s">
        <v>4700</v>
      </c>
      <c r="E1203" s="355" t="s">
        <v>4701</v>
      </c>
      <c r="F1203" s="336">
        <v>6</v>
      </c>
      <c r="G1203" s="63" t="s">
        <v>3324</v>
      </c>
      <c r="H1203" s="383">
        <v>45296</v>
      </c>
      <c r="I1203" s="65" t="s">
        <v>76</v>
      </c>
      <c r="J1203" s="65" t="s">
        <v>78</v>
      </c>
      <c r="K1203" s="336">
        <f>IFERROR(VLOOKUP(J1203,Jueces!$A$1:$B$11,2,FALSE),"")</f>
        <v>8</v>
      </c>
      <c r="L1203" s="63" t="s">
        <v>2092</v>
      </c>
      <c r="M1203" s="63" t="s">
        <v>725</v>
      </c>
      <c r="N1203" s="205" t="s">
        <v>2243</v>
      </c>
      <c r="O1203" s="78" t="str">
        <f ca="1">IF(H1203&lt;&gt;"",IF(H1203&lt;=TODAY(),"SI","NO"),"LIMBO")</f>
        <v>SI</v>
      </c>
      <c r="P1203" s="78" t="str">
        <f>IF($P$1=H1203,"DIASOL", "DIANOSOL")</f>
        <v>DIANOSOL</v>
      </c>
      <c r="Q1203" s="63" t="s">
        <v>897</v>
      </c>
      <c r="R1203" s="63" t="str">
        <f>VLOOKUP($Q1203,Resultados!$A$1:$B$49,2,FALSE)</f>
        <v>Libertad</v>
      </c>
      <c r="S1203" s="63" t="s">
        <v>1388</v>
      </c>
      <c r="T1203" s="81" t="str">
        <f>IF(G1203=$J$1,"SI","NO")</f>
        <v>NO</v>
      </c>
      <c r="U1203" s="81"/>
      <c r="V1203" s="7" t="str">
        <f ca="1">IF(color_Celda(E1203)=12106214,"ROSA",IF(color_Celda(E1203)=65535,"AMARILLO",IF(color_Celda(E1203)=5296274,"VERDE",IF(color_Celda(E1203)=16777215,"BLANCO","NO SE"))))</f>
        <v>ROSA</v>
      </c>
      <c r="W1203" s="63" t="s">
        <v>1793</v>
      </c>
      <c r="X1203" s="536" t="s">
        <v>5149</v>
      </c>
      <c r="Y1203" s="336"/>
      <c r="Z1203" s="118" t="s">
        <v>748</v>
      </c>
      <c r="AA1203" s="72" t="s">
        <v>3379</v>
      </c>
      <c r="AB1203" s="118" t="s">
        <v>1173</v>
      </c>
      <c r="AC1203" s="336"/>
    </row>
    <row r="1204" spans="1:29" ht="60" customHeight="1">
      <c r="A1204" s="336">
        <v>1198</v>
      </c>
      <c r="B1204" s="349">
        <v>45279</v>
      </c>
      <c r="C1204" s="568">
        <v>0.43402777777777773</v>
      </c>
      <c r="D1204" s="63" t="s">
        <v>4743</v>
      </c>
      <c r="E1204" s="64" t="s">
        <v>4744</v>
      </c>
      <c r="F1204" s="336">
        <v>5</v>
      </c>
      <c r="G1204" s="63" t="s">
        <v>2815</v>
      </c>
      <c r="H1204" s="383">
        <v>45296</v>
      </c>
      <c r="I1204" s="65" t="s">
        <v>76</v>
      </c>
      <c r="J1204" s="65" t="s">
        <v>1680</v>
      </c>
      <c r="K1204" s="63" t="s">
        <v>1982</v>
      </c>
      <c r="L1204" s="63" t="s">
        <v>811</v>
      </c>
      <c r="M1204" s="63" t="s">
        <v>2107</v>
      </c>
      <c r="N1204" s="63" t="s">
        <v>5264</v>
      </c>
      <c r="O1204" s="78" t="str">
        <f ca="1">IF(H1204&lt;&gt;"",IF(H1204&lt;=TODAY(),"SI","NO"),"LIMBO")</f>
        <v>SI</v>
      </c>
      <c r="P1204" s="78" t="str">
        <f>IF($P$1=H1204,"DIASOL", "DIANOSOL")</f>
        <v>DIANOSOL</v>
      </c>
      <c r="Q1204" s="63" t="s">
        <v>902</v>
      </c>
      <c r="R1204" s="63" t="str">
        <f>VLOOKUP($Q1204,Resultados!$A$1:$B$49,2,FALSE)</f>
        <v>Juicio Abreviado</v>
      </c>
      <c r="S1204" s="63" t="s">
        <v>2259</v>
      </c>
      <c r="T1204" s="81" t="str">
        <f>IF(G1204=$J$1,"SI","NO")</f>
        <v>NO</v>
      </c>
      <c r="U1204" s="81"/>
      <c r="V1204" s="7" t="str">
        <f ca="1">IF(color_Celda(E1204)=12106214,"ROSA",IF(color_Celda(E1204)=65535,"AMARILLO",IF(color_Celda(E1204)=5296274,"VERDE",IF(color_Celda(E1204)=16777215,"BLANCO","NO SE"))))</f>
        <v>ROSA</v>
      </c>
      <c r="W1204" s="63" t="s">
        <v>3629</v>
      </c>
      <c r="X1204" s="63" t="s">
        <v>5148</v>
      </c>
      <c r="Y1204" s="336"/>
      <c r="Z1204" s="118" t="s">
        <v>1039</v>
      </c>
      <c r="AA1204" s="72" t="s">
        <v>2869</v>
      </c>
      <c r="AB1204" s="118" t="s">
        <v>1169</v>
      </c>
      <c r="AC1204" s="336"/>
    </row>
    <row r="1205" spans="1:29" ht="60" customHeight="1">
      <c r="A1205" s="336">
        <v>1170</v>
      </c>
      <c r="B1205" s="349">
        <v>45274</v>
      </c>
      <c r="C1205" s="568">
        <v>0.36805555555555558</v>
      </c>
      <c r="D1205" s="63" t="s">
        <v>4622</v>
      </c>
      <c r="E1205" s="64" t="s">
        <v>4623</v>
      </c>
      <c r="F1205" s="336">
        <v>4</v>
      </c>
      <c r="G1205" s="63" t="s">
        <v>3323</v>
      </c>
      <c r="H1205" s="383">
        <v>45296</v>
      </c>
      <c r="I1205" s="65" t="s">
        <v>75</v>
      </c>
      <c r="J1205" s="65" t="s">
        <v>4746</v>
      </c>
      <c r="K1205" s="63" t="s">
        <v>3776</v>
      </c>
      <c r="L1205" s="63" t="s">
        <v>569</v>
      </c>
      <c r="M1205" s="63" t="s">
        <v>725</v>
      </c>
      <c r="N1205" s="63" t="s">
        <v>5142</v>
      </c>
      <c r="O1205" s="63" t="str">
        <f ca="1">IF(H1205&lt;&gt;"",IF(H1205&lt;=TODAY(),"SI","NO"),"LIMBO")</f>
        <v>SI</v>
      </c>
      <c r="P1205" s="63" t="str">
        <f>IF($P$1=H1205,"DIASOL", "DIANOSOL")</f>
        <v>DIANOSOL</v>
      </c>
      <c r="Q1205" s="63" t="s">
        <v>909</v>
      </c>
      <c r="R1205" s="63" t="str">
        <f>VLOOKUP($Q1205,Resultados!$A$1:$B$49,2,FALSE)</f>
        <v>Suspendida</v>
      </c>
      <c r="S1205" s="63"/>
      <c r="T1205" s="72" t="str">
        <f>IF(G1205=$J$1,"SI","NO")</f>
        <v>NO</v>
      </c>
      <c r="U1205" s="72"/>
      <c r="V1205" s="7" t="str">
        <f ca="1">IF(color_Celda(E1205)=12106214,"ROSA",IF(color_Celda(E1205)=65535,"AMARILLO",IF(color_Celda(E1205)=5296274,"VERDE",IF(color_Celda(E1205)=16777215,"BLANCO","NO SE"))))</f>
        <v>ROSA</v>
      </c>
      <c r="W1205" s="336"/>
      <c r="X1205" s="336"/>
      <c r="Y1205" s="336"/>
      <c r="Z1205" s="118" t="s">
        <v>3368</v>
      </c>
      <c r="AA1205" s="72"/>
      <c r="AB1205" s="118" t="s">
        <v>1173</v>
      </c>
      <c r="AC1205" s="336"/>
    </row>
    <row r="1206" spans="1:29" ht="60" customHeight="1">
      <c r="A1206" s="336">
        <v>1191</v>
      </c>
      <c r="B1206" s="349">
        <v>45278</v>
      </c>
      <c r="C1206" s="568">
        <v>0.36458333333333331</v>
      </c>
      <c r="D1206" s="63" t="s">
        <v>4706</v>
      </c>
      <c r="E1206" s="64" t="s">
        <v>4707</v>
      </c>
      <c r="F1206" s="336">
        <v>4</v>
      </c>
      <c r="G1206" s="63" t="s">
        <v>2753</v>
      </c>
      <c r="H1206" s="383">
        <v>45296</v>
      </c>
      <c r="I1206" s="65" t="s">
        <v>75</v>
      </c>
      <c r="J1206" s="65" t="s">
        <v>78</v>
      </c>
      <c r="K1206" s="63">
        <v>8</v>
      </c>
      <c r="L1206" s="63" t="s">
        <v>809</v>
      </c>
      <c r="M1206" s="63" t="s">
        <v>5145</v>
      </c>
      <c r="N1206" s="205" t="s">
        <v>1744</v>
      </c>
      <c r="O1206" s="78" t="str">
        <f ca="1">IF(H1206&lt;&gt;"",IF(H1206&lt;=TODAY(),"SI","NO"),"LIMBO")</f>
        <v>SI</v>
      </c>
      <c r="P1206" s="78" t="str">
        <f>IF($P$1=H1206,"DIASOL", "DIANOSOL")</f>
        <v>DIANOSOL</v>
      </c>
      <c r="Q1206" s="63" t="s">
        <v>151</v>
      </c>
      <c r="R1206" s="63" t="str">
        <f>VLOOKUP($Q1206,Resultados!$A$1:$B$49,2,FALSE)</f>
        <v>Prisión Preventiva</v>
      </c>
      <c r="S1206" s="63" t="s">
        <v>3629</v>
      </c>
      <c r="T1206" s="81" t="str">
        <f>IF(G1206=$J$1,"SI","NO")</f>
        <v>NO</v>
      </c>
      <c r="U1206" s="81"/>
      <c r="V1206" s="7" t="str">
        <f ca="1">IF(color_Celda(E1206)=12106214,"ROSA",IF(color_Celda(E1206)=65535,"AMARILLO",IF(color_Celda(E1206)=5296274,"VERDE",IF(color_Celda(E1206)=16777215,"BLANCO","NO SE"))))</f>
        <v>ROSA</v>
      </c>
      <c r="W1206" s="63" t="s">
        <v>4476</v>
      </c>
      <c r="X1206" s="390" t="s">
        <v>5146</v>
      </c>
      <c r="Y1206" s="336"/>
      <c r="Z1206" s="118" t="s">
        <v>748</v>
      </c>
      <c r="AA1206" s="72"/>
      <c r="AB1206" s="118" t="s">
        <v>1169</v>
      </c>
      <c r="AC1206" s="336"/>
    </row>
    <row r="1207" spans="1:29" ht="60" customHeight="1">
      <c r="A1207" s="336">
        <v>1200</v>
      </c>
      <c r="B1207" s="349">
        <v>45279</v>
      </c>
      <c r="C1207" s="568">
        <v>0.54166666666666663</v>
      </c>
      <c r="D1207" s="63" t="s">
        <v>4751</v>
      </c>
      <c r="E1207" s="64" t="s">
        <v>4752</v>
      </c>
      <c r="F1207" s="336">
        <v>6</v>
      </c>
      <c r="G1207" s="336" t="s">
        <v>568</v>
      </c>
      <c r="H1207" s="383">
        <v>45296</v>
      </c>
      <c r="I1207" s="65" t="s">
        <v>77</v>
      </c>
      <c r="J1207" s="349" t="s">
        <v>1680</v>
      </c>
      <c r="K1207" s="63" t="s">
        <v>1916</v>
      </c>
      <c r="L1207" s="63" t="s">
        <v>806</v>
      </c>
      <c r="M1207" s="63" t="s">
        <v>725</v>
      </c>
      <c r="N1207" s="63" t="s">
        <v>5265</v>
      </c>
      <c r="O1207" s="63" t="str">
        <f ca="1">IF(H1207&lt;&gt;"",IF(H1207&lt;=TODAY(),"SI","NO"),"LIMBO")</f>
        <v>SI</v>
      </c>
      <c r="P1207" s="63" t="str">
        <f>IF($P$1=H1207,"DIASOL", "DIANOSOL")</f>
        <v>DIANOSOL</v>
      </c>
      <c r="Q1207" s="63" t="s">
        <v>903</v>
      </c>
      <c r="R1207" s="63" t="str">
        <f>VLOOKUP($Q1207,Resultados!$A$1:$B$49,2,FALSE)</f>
        <v>Juicio Abreviado</v>
      </c>
      <c r="S1207" s="63" t="s">
        <v>3393</v>
      </c>
      <c r="T1207" s="72" t="str">
        <f>IF(G1207=$J$1,"SI","NO")</f>
        <v>NO</v>
      </c>
      <c r="U1207" s="72"/>
      <c r="V1207" s="7" t="str">
        <f ca="1">IF(color_Celda(E1207)=12106214,"ROSA",IF(color_Celda(E1207)=65535,"AMARILLO",IF(color_Celda(E1207)=5296274,"VERDE",IF(color_Celda(E1207)=16777215,"BLANCO","NO SE"))))</f>
        <v>ROSA</v>
      </c>
      <c r="W1207" s="63" t="s">
        <v>2157</v>
      </c>
      <c r="X1207" s="63" t="s">
        <v>5170</v>
      </c>
      <c r="Y1207" s="336"/>
      <c r="Z1207" s="118" t="s">
        <v>5063</v>
      </c>
      <c r="AA1207" s="118" t="s">
        <v>3379</v>
      </c>
      <c r="AB1207" s="118" t="s">
        <v>1173</v>
      </c>
      <c r="AC1207" s="336"/>
    </row>
    <row r="1208" spans="1:29" ht="60" customHeight="1">
      <c r="A1208" s="336">
        <v>1227</v>
      </c>
      <c r="B1208" s="349">
        <v>45281</v>
      </c>
      <c r="C1208" s="568">
        <v>0.39583333333333331</v>
      </c>
      <c r="D1208" s="63" t="s">
        <v>4841</v>
      </c>
      <c r="E1208" s="64" t="s">
        <v>4842</v>
      </c>
      <c r="F1208" s="336">
        <v>5</v>
      </c>
      <c r="G1208" s="63" t="s">
        <v>2752</v>
      </c>
      <c r="H1208" s="383">
        <v>45296</v>
      </c>
      <c r="I1208" s="65" t="s">
        <v>77</v>
      </c>
      <c r="J1208" s="349" t="s">
        <v>4746</v>
      </c>
      <c r="K1208" s="63" t="s">
        <v>3776</v>
      </c>
      <c r="L1208" s="63" t="s">
        <v>4790</v>
      </c>
      <c r="M1208" s="339" t="s">
        <v>2201</v>
      </c>
      <c r="N1208" s="205" t="s">
        <v>5147</v>
      </c>
      <c r="O1208" s="78" t="str">
        <f ca="1">IF(H1208&lt;&gt;"",IF(H1208&lt;=TODAY(),"SI","NO"),"LIMBO")</f>
        <v>SI</v>
      </c>
      <c r="P1208" s="78" t="str">
        <f>IF($P$1=H1208,"DIASOL", "DIANOSOL")</f>
        <v>DIANOSOL</v>
      </c>
      <c r="Q1208" s="63" t="s">
        <v>911</v>
      </c>
      <c r="R1208" s="63" t="str">
        <f>VLOOKUP($Q1208,Resultados!$A$1:$B$49,2,FALSE)</f>
        <v>Prision domiciliaria</v>
      </c>
      <c r="S1208" s="63" t="s">
        <v>3236</v>
      </c>
      <c r="T1208" s="81" t="str">
        <f>IF(G1208=$J$1,"SI","NO")</f>
        <v>NO</v>
      </c>
      <c r="U1208" s="81"/>
      <c r="V1208" s="7" t="str">
        <f ca="1">IF(color_Celda(E1208)=12106214,"ROSA",IF(color_Celda(E1208)=65535,"AMARILLO",IF(color_Celda(E1208)=5296274,"VERDE",IF(color_Celda(E1208)=16777215,"BLANCO","NO SE"))))</f>
        <v>ROSA</v>
      </c>
      <c r="W1208" s="63" t="s">
        <v>4446</v>
      </c>
      <c r="X1208" s="336"/>
      <c r="Y1208" s="336"/>
      <c r="Z1208" s="118" t="s">
        <v>3368</v>
      </c>
      <c r="AA1208" s="72"/>
      <c r="AB1208" s="118" t="s">
        <v>1169</v>
      </c>
      <c r="AC1208" s="336"/>
    </row>
    <row r="1209" spans="1:29" ht="60" customHeight="1">
      <c r="A1209" s="336">
        <v>1272</v>
      </c>
      <c r="B1209" s="349">
        <v>45272</v>
      </c>
      <c r="C1209" s="568">
        <v>0.33333333333333331</v>
      </c>
      <c r="D1209" s="336" t="s">
        <v>4564</v>
      </c>
      <c r="E1209" s="355" t="s">
        <v>4565</v>
      </c>
      <c r="F1209" s="336">
        <v>5</v>
      </c>
      <c r="G1209" s="336" t="s">
        <v>29</v>
      </c>
      <c r="H1209" s="383">
        <v>45296</v>
      </c>
      <c r="I1209" s="65" t="s">
        <v>228</v>
      </c>
      <c r="J1209" s="349" t="s">
        <v>1680</v>
      </c>
      <c r="K1209" s="63" t="s">
        <v>4118</v>
      </c>
      <c r="L1209" s="63" t="s">
        <v>806</v>
      </c>
      <c r="M1209" s="63" t="s">
        <v>4958</v>
      </c>
      <c r="N1209" s="63" t="s">
        <v>5266</v>
      </c>
      <c r="O1209" s="78" t="str">
        <f ca="1">IF(H1209&lt;&gt;"",IF(H1209&lt;=TODAY(),"SI","NO"),"LIMBO")</f>
        <v>SI</v>
      </c>
      <c r="P1209" s="78" t="str">
        <f>IF($P$1=H1209,"DIASOL", "DIANOSOL")</f>
        <v>DIANOSOL</v>
      </c>
      <c r="Q1209" s="63" t="s">
        <v>151</v>
      </c>
      <c r="R1209" s="63" t="str">
        <f>VLOOKUP($Q1209,Resultados!$A$1:$B$49,2,FALSE)</f>
        <v>Prisión Preventiva</v>
      </c>
      <c r="S1209" s="63" t="s">
        <v>1745</v>
      </c>
      <c r="T1209" s="81" t="str">
        <f>IF(G1209=$J$1,"SI","NO")</f>
        <v>NO</v>
      </c>
      <c r="U1209" s="81"/>
      <c r="V1209" s="7" t="str">
        <f ca="1">IF(color_Celda(E1209)=12106214,"ROSA",IF(color_Celda(E1209)=65535,"AMARILLO",IF(color_Celda(E1209)=5296274,"VERDE",IF(color_Celda(E1209)=16777215,"BLANCO","NO SE"))))</f>
        <v>ROSA</v>
      </c>
      <c r="W1209" s="63" t="s">
        <v>2499</v>
      </c>
      <c r="X1209" s="328"/>
      <c r="Y1209" s="336"/>
      <c r="Z1209" s="118" t="s">
        <v>3368</v>
      </c>
      <c r="AA1209" s="336"/>
      <c r="AB1209" s="118" t="s">
        <v>1173</v>
      </c>
      <c r="AC1209" s="336"/>
    </row>
    <row r="1210" spans="1:29" ht="60" customHeight="1">
      <c r="A1210" s="336">
        <v>1215</v>
      </c>
      <c r="B1210" s="349">
        <v>45280</v>
      </c>
      <c r="C1210" s="568">
        <v>0.54166666666666663</v>
      </c>
      <c r="D1210" s="63" t="s">
        <v>4816</v>
      </c>
      <c r="E1210" s="64" t="s">
        <v>5115</v>
      </c>
      <c r="F1210" s="336">
        <v>6</v>
      </c>
      <c r="G1210" s="63" t="s">
        <v>2751</v>
      </c>
      <c r="H1210" s="383">
        <v>45296</v>
      </c>
      <c r="I1210" s="65" t="s">
        <v>2011</v>
      </c>
      <c r="J1210" s="65" t="s">
        <v>78</v>
      </c>
      <c r="K1210" s="336">
        <f>IFERROR(VLOOKUP(J1210,Jueces!$A$1:$B$11,2,FALSE),"")</f>
        <v>8</v>
      </c>
      <c r="L1210" s="63" t="s">
        <v>4791</v>
      </c>
      <c r="M1210" s="356" t="s">
        <v>4817</v>
      </c>
      <c r="N1210" s="205" t="s">
        <v>5267</v>
      </c>
      <c r="O1210" s="78" t="str">
        <f ca="1">IF(H1210&lt;&gt;"",IF(H1210&lt;=TODAY(),"SI","NO"),"LIMBO")</f>
        <v>SI</v>
      </c>
      <c r="P1210" s="78" t="str">
        <f>IF($P$1=H1210,"DIASOL", "DIANOSOL")</f>
        <v>DIANOSOL</v>
      </c>
      <c r="Q1210" s="63" t="s">
        <v>902</v>
      </c>
      <c r="R1210" s="63" t="str">
        <f>VLOOKUP($Q1210,Resultados!$A$1:$B$49,2,FALSE)</f>
        <v>Juicio Abreviado</v>
      </c>
      <c r="S1210" s="63" t="s">
        <v>3316</v>
      </c>
      <c r="T1210" s="81" t="str">
        <f>IF(G1210=$J$1,"SI","NO")</f>
        <v>NO</v>
      </c>
      <c r="U1210" s="81"/>
      <c r="V1210" s="7" t="str">
        <f ca="1">IF(color_Celda(E1210)=12106214,"ROSA",IF(color_Celda(E1210)=65535,"AMARILLO",IF(color_Celda(E1210)=5296274,"VERDE",IF(color_Celda(E1210)=16777215,"BLANCO","NO SE"))))</f>
        <v>ROSA</v>
      </c>
      <c r="W1210" s="63" t="s">
        <v>5143</v>
      </c>
      <c r="X1210" s="391" t="s">
        <v>5144</v>
      </c>
      <c r="Y1210" s="336"/>
      <c r="Z1210" s="118" t="s">
        <v>748</v>
      </c>
      <c r="AA1210" s="72"/>
      <c r="AB1210" s="118" t="s">
        <v>1169</v>
      </c>
      <c r="AC1210" s="336"/>
    </row>
    <row r="1211" spans="1:29" ht="60" customHeight="1">
      <c r="A1211" s="336">
        <v>1203</v>
      </c>
      <c r="B1211" s="349">
        <v>45279</v>
      </c>
      <c r="C1211" s="568">
        <v>0.54166666666666663</v>
      </c>
      <c r="D1211" s="63" t="s">
        <v>4758</v>
      </c>
      <c r="E1211" s="64" t="s">
        <v>4759</v>
      </c>
      <c r="F1211" s="336">
        <v>6</v>
      </c>
      <c r="G1211" s="63" t="s">
        <v>2815</v>
      </c>
      <c r="H1211" s="208">
        <v>45299</v>
      </c>
      <c r="I1211" s="65" t="s">
        <v>76</v>
      </c>
      <c r="J1211" s="65" t="s">
        <v>4746</v>
      </c>
      <c r="K1211" s="63" t="s">
        <v>3776</v>
      </c>
      <c r="L1211" s="63" t="s">
        <v>2092</v>
      </c>
      <c r="M1211" s="7" t="s">
        <v>725</v>
      </c>
      <c r="N1211" s="205" t="s">
        <v>5268</v>
      </c>
      <c r="O1211" s="78" t="str">
        <f ca="1">IF(H1211&lt;&gt;"",IF(H1211&lt;=TODAY(),"SI","NO"),"LIMBO")</f>
        <v>SI</v>
      </c>
      <c r="P1211" s="78" t="str">
        <f>IF($P$1=H1211,"DIASOL", "DIANOSOL")</f>
        <v>DIANOSOL</v>
      </c>
      <c r="Q1211" s="63" t="s">
        <v>902</v>
      </c>
      <c r="R1211" s="63" t="str">
        <f>VLOOKUP($Q1211,Resultados!$A$1:$B$49,2,FALSE)</f>
        <v>Juicio Abreviado</v>
      </c>
      <c r="S1211" s="63" t="s">
        <v>1388</v>
      </c>
      <c r="T1211" s="81" t="str">
        <f>IF(G1211=$J$1,"SI","NO")</f>
        <v>NO</v>
      </c>
      <c r="U1211" s="81"/>
      <c r="V1211" s="7" t="str">
        <f ca="1">IF(color_Celda(E1211)=12106214,"ROSA",IF(color_Celda(E1211)=65535,"AMARILLO",IF(color_Celda(E1211)=5296274,"VERDE",IF(color_Celda(E1211)=16777215,"BLANCO","NO SE"))))</f>
        <v>ROSA</v>
      </c>
      <c r="W1211" s="63" t="s">
        <v>75</v>
      </c>
      <c r="X1211" s="390" t="s">
        <v>5184</v>
      </c>
      <c r="Y1211" s="336"/>
      <c r="Z1211" s="118" t="s">
        <v>748</v>
      </c>
      <c r="AA1211" s="72"/>
      <c r="AB1211" s="118" t="s">
        <v>1169</v>
      </c>
      <c r="AC1211" s="336"/>
    </row>
    <row r="1212" spans="1:29" ht="60" customHeight="1">
      <c r="A1212" s="336">
        <v>1283</v>
      </c>
      <c r="B1212" s="349">
        <v>45289</v>
      </c>
      <c r="C1212" s="568">
        <v>0.52083333333333337</v>
      </c>
      <c r="D1212" s="63" t="s">
        <v>5084</v>
      </c>
      <c r="E1212" s="64" t="s">
        <v>5033</v>
      </c>
      <c r="F1212" s="336">
        <v>7</v>
      </c>
      <c r="G1212" s="63" t="s">
        <v>2752</v>
      </c>
      <c r="H1212" s="383">
        <v>45299</v>
      </c>
      <c r="I1212" s="65" t="s">
        <v>76</v>
      </c>
      <c r="J1212" s="65" t="s">
        <v>78</v>
      </c>
      <c r="K1212" s="336">
        <f>IFERROR(VLOOKUP(J1212,Jueces!$A$1:$B$11,2,FALSE),"")</f>
        <v>8</v>
      </c>
      <c r="L1212" s="63" t="s">
        <v>4784</v>
      </c>
      <c r="M1212" s="63" t="s">
        <v>5034</v>
      </c>
      <c r="N1212" s="63" t="s">
        <v>5178</v>
      </c>
      <c r="O1212" s="78" t="str">
        <f ca="1">IF(H1212&lt;&gt;"",IF(H1212&lt;=TODAY(),"SI","NO"),"LIMBO")</f>
        <v>SI</v>
      </c>
      <c r="P1212" s="78" t="str">
        <f>IF($P$1=H1212,"DIASOL", "DIANOSOL")</f>
        <v>DIANOSOL</v>
      </c>
      <c r="Q1212" s="63" t="s">
        <v>151</v>
      </c>
      <c r="R1212" s="63" t="str">
        <f>VLOOKUP($Q1212,Resultados!$A$1:$B$49,2,FALSE)</f>
        <v>Prisión Preventiva</v>
      </c>
      <c r="S1212" s="63" t="s">
        <v>1457</v>
      </c>
      <c r="T1212" s="81" t="str">
        <f>IF(G1212=$J$1,"SI","NO")</f>
        <v>NO</v>
      </c>
      <c r="U1212" s="81"/>
      <c r="V1212" s="7" t="str">
        <f ca="1">IF(color_Celda(E1212)=12106214,"ROSA",IF(color_Celda(E1212)=65535,"AMARILLO",IF(color_Celda(E1212)=5296274,"VERDE",IF(color_Celda(E1212)=16777215,"BLANCO","NO SE"))))</f>
        <v>ROSA</v>
      </c>
      <c r="W1212" s="63" t="s">
        <v>5177</v>
      </c>
      <c r="X1212" s="63" t="s">
        <v>5179</v>
      </c>
      <c r="Y1212" s="336"/>
      <c r="Z1212" s="118" t="s">
        <v>3368</v>
      </c>
      <c r="AA1212" s="336"/>
      <c r="AB1212" s="118" t="s">
        <v>1173</v>
      </c>
      <c r="AC1212" s="336"/>
    </row>
    <row r="1213" spans="1:29" ht="60" customHeight="1">
      <c r="A1213" s="336">
        <v>1174</v>
      </c>
      <c r="B1213" s="349">
        <v>45274</v>
      </c>
      <c r="C1213" s="568">
        <v>0.51874999999999993</v>
      </c>
      <c r="D1213" s="63" t="s">
        <v>4629</v>
      </c>
      <c r="E1213" s="64" t="s">
        <v>4630</v>
      </c>
      <c r="F1213" s="336">
        <v>6</v>
      </c>
      <c r="G1213" s="63" t="s">
        <v>568</v>
      </c>
      <c r="H1213" s="383">
        <v>45299</v>
      </c>
      <c r="I1213" s="65" t="s">
        <v>75</v>
      </c>
      <c r="J1213" s="65" t="s">
        <v>4746</v>
      </c>
      <c r="K1213" s="63" t="s">
        <v>4057</v>
      </c>
      <c r="L1213" s="63" t="s">
        <v>809</v>
      </c>
      <c r="M1213" s="63" t="s">
        <v>725</v>
      </c>
      <c r="N1213" s="205" t="s">
        <v>5268</v>
      </c>
      <c r="O1213" s="78" t="str">
        <f ca="1">IF(H1213&lt;&gt;"",IF(H1213&lt;=TODAY(),"SI","NO"),"LIMBO")</f>
        <v>SI</v>
      </c>
      <c r="P1213" s="78" t="str">
        <f>IF($P$1=H1213,"DIASOL", "DIANOSOL")</f>
        <v>DIANOSOL</v>
      </c>
      <c r="Q1213" s="63" t="s">
        <v>902</v>
      </c>
      <c r="R1213" s="63" t="str">
        <f>VLOOKUP($Q1213,Resultados!$A$1:$B$49,2,FALSE)</f>
        <v>Juicio Abreviado</v>
      </c>
      <c r="S1213" s="63" t="s">
        <v>3521</v>
      </c>
      <c r="T1213" s="81" t="str">
        <f>IF(G1213=$J$1,"SI","NO")</f>
        <v>NO</v>
      </c>
      <c r="U1213" s="81"/>
      <c r="V1213" s="7" t="str">
        <f ca="1">IF(color_Celda(E1213)=12106214,"ROSA",IF(color_Celda(E1213)=65535,"AMARILLO",IF(color_Celda(E1213)=5296274,"VERDE",IF(color_Celda(E1213)=16777215,"BLANCO","NO SE"))))</f>
        <v>ROSA</v>
      </c>
      <c r="W1213" s="63" t="s">
        <v>3465</v>
      </c>
      <c r="X1213" s="63" t="s">
        <v>5104</v>
      </c>
      <c r="Y1213" s="336"/>
      <c r="Z1213" s="118" t="s">
        <v>5063</v>
      </c>
      <c r="AA1213" s="72" t="s">
        <v>3379</v>
      </c>
      <c r="AB1213" s="118" t="s">
        <v>1169</v>
      </c>
      <c r="AC1213" s="336"/>
    </row>
    <row r="1214" spans="1:29" ht="60" customHeight="1">
      <c r="A1214" s="336">
        <v>1204</v>
      </c>
      <c r="B1214" s="349">
        <v>45279</v>
      </c>
      <c r="C1214" s="568">
        <v>0.54166666666666663</v>
      </c>
      <c r="D1214" s="63" t="s">
        <v>4760</v>
      </c>
      <c r="E1214" s="64" t="s">
        <v>4761</v>
      </c>
      <c r="F1214" s="336">
        <v>6</v>
      </c>
      <c r="G1214" s="63" t="s">
        <v>4749</v>
      </c>
      <c r="H1214" s="383">
        <v>45299</v>
      </c>
      <c r="I1214" s="65" t="s">
        <v>75</v>
      </c>
      <c r="J1214" s="65" t="s">
        <v>1680</v>
      </c>
      <c r="K1214" s="63" t="s">
        <v>1982</v>
      </c>
      <c r="L1214" s="63" t="s">
        <v>806</v>
      </c>
      <c r="M1214" s="63" t="s">
        <v>725</v>
      </c>
      <c r="N1214" s="205" t="s">
        <v>5182</v>
      </c>
      <c r="O1214" s="78" t="str">
        <f ca="1">IF(H1214&lt;&gt;"",IF(H1214&lt;=TODAY(),"SI","NO"),"LIMBO")</f>
        <v>SI</v>
      </c>
      <c r="P1214" s="78" t="str">
        <f>IF($P$1=H1214,"DIASOL", "DIANOSOL")</f>
        <v>DIANOSOL</v>
      </c>
      <c r="Q1214" s="63" t="s">
        <v>897</v>
      </c>
      <c r="R1214" s="63" t="str">
        <f>VLOOKUP($Q1214,Resultados!$A$1:$B$49,2,FALSE)</f>
        <v>Libertad</v>
      </c>
      <c r="S1214" s="63" t="s">
        <v>547</v>
      </c>
      <c r="T1214" s="81" t="str">
        <f>IF(G1214=$J$1,"SI","NO")</f>
        <v>NO</v>
      </c>
      <c r="U1214" s="81"/>
      <c r="V1214" s="7" t="str">
        <f ca="1">IF(color_Celda(E1214)=12106214,"ROSA",IF(color_Celda(E1214)=65535,"AMARILLO",IF(color_Celda(E1214)=5296274,"VERDE",IF(color_Celda(E1214)=16777215,"BLANCO","NO SE"))))</f>
        <v>ROSA</v>
      </c>
      <c r="W1214" s="63" t="s">
        <v>3682</v>
      </c>
      <c r="X1214" s="390" t="s">
        <v>5183</v>
      </c>
      <c r="Y1214" s="336"/>
      <c r="Z1214" s="118" t="s">
        <v>748</v>
      </c>
      <c r="AA1214" s="72"/>
      <c r="AB1214" s="118" t="s">
        <v>1173</v>
      </c>
      <c r="AC1214" s="336"/>
    </row>
    <row r="1215" spans="1:29" ht="60" customHeight="1">
      <c r="A1215" s="336">
        <v>1205</v>
      </c>
      <c r="B1215" s="349">
        <v>45279</v>
      </c>
      <c r="C1215" s="568">
        <v>0.54166666666666663</v>
      </c>
      <c r="D1215" s="63" t="s">
        <v>4762</v>
      </c>
      <c r="E1215" s="64" t="s">
        <v>4763</v>
      </c>
      <c r="F1215" s="336">
        <v>7</v>
      </c>
      <c r="G1215" s="336" t="s">
        <v>2751</v>
      </c>
      <c r="H1215" s="383">
        <v>45299</v>
      </c>
      <c r="I1215" s="65" t="s">
        <v>75</v>
      </c>
      <c r="J1215" s="349" t="s">
        <v>78</v>
      </c>
      <c r="K1215" s="336">
        <f>IFERROR(VLOOKUP(J1215,Jueces!$A$1:$B$11,2,FALSE),"")</f>
        <v>8</v>
      </c>
      <c r="L1215" s="63" t="s">
        <v>807</v>
      </c>
      <c r="M1215" s="63" t="s">
        <v>767</v>
      </c>
      <c r="N1215" s="63" t="s">
        <v>5175</v>
      </c>
      <c r="O1215" s="78" t="str">
        <f ca="1">IF(H1215&lt;&gt;"",IF(H1215&lt;=TODAY(),"SI","NO"),"LIMBO")</f>
        <v>SI</v>
      </c>
      <c r="P1215" s="78" t="str">
        <f>IF($P$1=H1215,"DIASOL", "DIANOSOL")</f>
        <v>DIANOSOL</v>
      </c>
      <c r="Q1215" s="63" t="s">
        <v>151</v>
      </c>
      <c r="R1215" s="63" t="str">
        <f>VLOOKUP($Q1215,Resultados!$A$1:$B$49,2,FALSE)</f>
        <v>Prisión Preventiva</v>
      </c>
      <c r="S1215" s="63" t="s">
        <v>5174</v>
      </c>
      <c r="T1215" s="81" t="str">
        <f>IF(G1215=$J$1,"SI","NO")</f>
        <v>NO</v>
      </c>
      <c r="U1215" s="81"/>
      <c r="V1215" s="7" t="str">
        <f ca="1">IF(color_Celda(E1215)=12106214,"ROSA",IF(color_Celda(E1215)=65535,"AMARILLO",IF(color_Celda(E1215)=5296274,"VERDE",IF(color_Celda(E1215)=16777215,"BLANCO","NO SE"))))</f>
        <v>ROSA</v>
      </c>
      <c r="W1215" s="63" t="s">
        <v>4262</v>
      </c>
      <c r="X1215" s="390" t="s">
        <v>5176</v>
      </c>
      <c r="Y1215" s="336"/>
      <c r="Z1215" s="118" t="s">
        <v>3368</v>
      </c>
      <c r="AA1215" s="72"/>
      <c r="AB1215" s="118" t="s">
        <v>1169</v>
      </c>
      <c r="AC1215" s="336"/>
    </row>
    <row r="1216" spans="1:29" ht="60" customHeight="1">
      <c r="A1216" s="336">
        <v>1202</v>
      </c>
      <c r="B1216" s="349">
        <v>45279</v>
      </c>
      <c r="C1216" s="568">
        <v>0.54166666666666663</v>
      </c>
      <c r="D1216" s="325" t="s">
        <v>4755</v>
      </c>
      <c r="E1216" s="64" t="s">
        <v>4756</v>
      </c>
      <c r="F1216" s="336">
        <v>6</v>
      </c>
      <c r="G1216" s="336" t="s">
        <v>3323</v>
      </c>
      <c r="H1216" s="208">
        <v>45299</v>
      </c>
      <c r="I1216" s="65" t="s">
        <v>77</v>
      </c>
      <c r="J1216" s="349" t="s">
        <v>4746</v>
      </c>
      <c r="K1216" s="63" t="s">
        <v>1341</v>
      </c>
      <c r="L1216" s="63" t="s">
        <v>792</v>
      </c>
      <c r="M1216" s="63" t="s">
        <v>725</v>
      </c>
      <c r="N1216" s="63" t="s">
        <v>5180</v>
      </c>
      <c r="O1216" s="78" t="str">
        <f ca="1">IF(H1216&lt;&gt;"",IF(H1216&lt;=TODAY(),"SI","NO"),"LIMBO")</f>
        <v>SI</v>
      </c>
      <c r="P1216" s="78" t="str">
        <f>IF($P$1=H1216,"DIASOL", "DIANOSOL")</f>
        <v>DIANOSOL</v>
      </c>
      <c r="Q1216" s="63" t="s">
        <v>897</v>
      </c>
      <c r="R1216" s="63" t="str">
        <f>VLOOKUP($Q1216,Resultados!$A$1:$B$49,2,FALSE)</f>
        <v>Libertad</v>
      </c>
      <c r="S1216" s="63" t="s">
        <v>1554</v>
      </c>
      <c r="T1216" s="81" t="str">
        <f>IF(G1216=$J$1,"SI","NO")</f>
        <v>NO</v>
      </c>
      <c r="U1216" s="81"/>
      <c r="V1216" s="7" t="str">
        <f ca="1">IF(color_Celda(E1216)=12106214,"ROSA",IF(color_Celda(E1216)=65535,"AMARILLO",IF(color_Celda(E1216)=5296274,"VERDE",IF(color_Celda(E1216)=16777215,"BLANCO","NO SE"))))</f>
        <v>ROSA</v>
      </c>
      <c r="W1216" s="63" t="s">
        <v>3312</v>
      </c>
      <c r="X1216" s="336"/>
      <c r="Y1216" s="336"/>
      <c r="Z1216" s="118" t="s">
        <v>1039</v>
      </c>
      <c r="AA1216" s="72"/>
      <c r="AB1216" s="118" t="s">
        <v>1173</v>
      </c>
      <c r="AC1216" s="336" t="s">
        <v>1792</v>
      </c>
    </row>
    <row r="1217" spans="1:29" ht="60" customHeight="1">
      <c r="A1217" s="336">
        <v>1211</v>
      </c>
      <c r="B1217" s="349">
        <v>45280</v>
      </c>
      <c r="C1217" s="568">
        <v>0.54166666666666663</v>
      </c>
      <c r="D1217" s="63" t="s">
        <v>4808</v>
      </c>
      <c r="E1217" s="64" t="s">
        <v>4809</v>
      </c>
      <c r="F1217" s="336">
        <v>6</v>
      </c>
      <c r="G1217" s="63" t="s">
        <v>2753</v>
      </c>
      <c r="H1217" s="208">
        <v>45299</v>
      </c>
      <c r="I1217" s="65" t="s">
        <v>77</v>
      </c>
      <c r="J1217" s="65" t="s">
        <v>1680</v>
      </c>
      <c r="K1217" s="63" t="s">
        <v>1982</v>
      </c>
      <c r="L1217" s="63" t="s">
        <v>4789</v>
      </c>
      <c r="M1217" s="63" t="s">
        <v>723</v>
      </c>
      <c r="N1217" s="205" t="s">
        <v>2832</v>
      </c>
      <c r="O1217" s="78" t="str">
        <f ca="1">IF(H1217&lt;&gt;"",IF(H1217&lt;=TODAY(),"SI","NO"),"LIMBO")</f>
        <v>SI</v>
      </c>
      <c r="P1217" s="78" t="str">
        <f>IF($P$1=H1217,"DIASOL", "DIANOSOL")</f>
        <v>DIANOSOL</v>
      </c>
      <c r="Q1217" s="63" t="s">
        <v>902</v>
      </c>
      <c r="R1217" s="63" t="str">
        <f>VLOOKUP($Q1217,Resultados!$A$1:$B$49,2,FALSE)</f>
        <v>Juicio Abreviado</v>
      </c>
      <c r="S1217" s="63" t="s">
        <v>1554</v>
      </c>
      <c r="T1217" s="81" t="str">
        <f>IF(G1217=$J$1,"SI","NO")</f>
        <v>NO</v>
      </c>
      <c r="U1217" s="81"/>
      <c r="V1217" s="7" t="str">
        <f ca="1">IF(color_Celda(E1217)=12106214,"ROSA",IF(color_Celda(E1217)=65535,"AMARILLO",IF(color_Celda(E1217)=5296274,"VERDE",IF(color_Celda(E1217)=16777215,"BLANCO","NO SE"))))</f>
        <v>ROSA</v>
      </c>
      <c r="W1217" s="63" t="s">
        <v>5181</v>
      </c>
      <c r="X1217" s="7" t="s">
        <v>5121</v>
      </c>
      <c r="Y1217" s="336"/>
      <c r="Z1217" s="118" t="s">
        <v>748</v>
      </c>
      <c r="AA1217" s="72"/>
      <c r="AB1217" s="118" t="s">
        <v>1169</v>
      </c>
      <c r="AC1217" s="336"/>
    </row>
    <row r="1218" spans="1:29" ht="60" customHeight="1">
      <c r="A1218" s="336">
        <v>1209</v>
      </c>
      <c r="B1218" s="349">
        <v>45280</v>
      </c>
      <c r="C1218" s="568">
        <v>0.54166666666666663</v>
      </c>
      <c r="D1218" s="63" t="s">
        <v>4804</v>
      </c>
      <c r="E1218" s="64" t="s">
        <v>4805</v>
      </c>
      <c r="F1218" s="336">
        <v>6</v>
      </c>
      <c r="G1218" s="63" t="s">
        <v>3324</v>
      </c>
      <c r="H1218" s="383">
        <v>45299</v>
      </c>
      <c r="I1218" s="65" t="s">
        <v>228</v>
      </c>
      <c r="J1218" s="65" t="s">
        <v>78</v>
      </c>
      <c r="K1218" s="336">
        <f>IFERROR(VLOOKUP(J1218,Jueces!$A$1:$B$11,2,FALSE),"")</f>
        <v>8</v>
      </c>
      <c r="L1218" s="63" t="s">
        <v>4786</v>
      </c>
      <c r="M1218" s="63" t="s">
        <v>725</v>
      </c>
      <c r="N1218" s="63" t="s">
        <v>5172</v>
      </c>
      <c r="O1218" s="78" t="str">
        <f ca="1">IF(H1218&lt;&gt;"",IF(H1218&lt;=TODAY(),"SI","NO"),"LIMBO")</f>
        <v>SI</v>
      </c>
      <c r="P1218" s="78" t="str">
        <f>IF($P$1=H1218,"DIASOL", "DIANOSOL")</f>
        <v>DIANOSOL</v>
      </c>
      <c r="Q1218" s="63" t="s">
        <v>897</v>
      </c>
      <c r="R1218" s="63" t="str">
        <f>VLOOKUP($Q1218,Resultados!$A$1:$B$49,2,FALSE)</f>
        <v>Libertad</v>
      </c>
      <c r="S1218" s="63" t="s">
        <v>1777</v>
      </c>
      <c r="T1218" s="81" t="str">
        <f>IF(G1218=$J$1,"SI","NO")</f>
        <v>NO</v>
      </c>
      <c r="U1218" s="81"/>
      <c r="V1218" s="7" t="str">
        <f ca="1">IF(color_Celda(E1218)=12106214,"ROSA",IF(color_Celda(E1218)=65535,"AMARILLO",IF(color_Celda(E1218)=5296274,"VERDE",IF(color_Celda(E1218)=16777215,"BLANCO","NO SE"))))</f>
        <v>ROSA</v>
      </c>
      <c r="W1218" s="63" t="s">
        <v>5171</v>
      </c>
      <c r="X1218" s="150" t="s">
        <v>5173</v>
      </c>
      <c r="Y1218" s="336"/>
      <c r="Z1218" s="118" t="s">
        <v>3368</v>
      </c>
      <c r="AA1218" s="72"/>
      <c r="AB1218" s="118" t="s">
        <v>1173</v>
      </c>
      <c r="AC1218" s="336"/>
    </row>
    <row r="1219" spans="1:29" ht="60" customHeight="1">
      <c r="A1219" s="336">
        <v>1210</v>
      </c>
      <c r="B1219" s="349">
        <v>45280</v>
      </c>
      <c r="C1219" s="568">
        <v>0.54166666666666663</v>
      </c>
      <c r="D1219" s="63" t="s">
        <v>4806</v>
      </c>
      <c r="E1219" s="64" t="s">
        <v>4807</v>
      </c>
      <c r="F1219" s="336">
        <v>6</v>
      </c>
      <c r="G1219" s="63" t="s">
        <v>568</v>
      </c>
      <c r="H1219" s="383">
        <v>45300</v>
      </c>
      <c r="I1219" s="65" t="s">
        <v>76</v>
      </c>
      <c r="J1219" s="65" t="s">
        <v>1220</v>
      </c>
      <c r="K1219" s="63" t="s">
        <v>4057</v>
      </c>
      <c r="L1219" s="63" t="s">
        <v>4788</v>
      </c>
      <c r="M1219" s="63" t="s">
        <v>723</v>
      </c>
      <c r="N1219" s="205" t="s">
        <v>5229</v>
      </c>
      <c r="O1219" s="63" t="str">
        <f ca="1">IF(H1219&lt;&gt;"",IF(H1219&lt;=TODAY(),"SI","NO"),"LIMBO")</f>
        <v>SI</v>
      </c>
      <c r="P1219" s="63" t="str">
        <f>IF($P$1=H1219,"DIASOL", "DIANOSOL")</f>
        <v>DIANOSOL</v>
      </c>
      <c r="Q1219" s="63" t="s">
        <v>151</v>
      </c>
      <c r="R1219" s="63" t="str">
        <f>VLOOKUP($Q1219,Resultados!$A$1:$B$49,2,FALSE)</f>
        <v>Prisión Preventiva</v>
      </c>
      <c r="S1219" s="63" t="s">
        <v>1298</v>
      </c>
      <c r="T1219" s="72" t="str">
        <f>IF(G1219=$J$1,"SI","NO")</f>
        <v>NO</v>
      </c>
      <c r="U1219" s="72"/>
      <c r="V1219" s="7" t="str">
        <f ca="1">IF(color_Celda(E1219)=12106214,"ROSA",IF(color_Celda(E1219)=65535,"AMARILLO",IF(color_Celda(E1219)=5296274,"VERDE",IF(color_Celda(E1219)=16777215,"BLANCO","NO SE"))))</f>
        <v>ROSA</v>
      </c>
      <c r="W1219" s="63" t="s">
        <v>1592</v>
      </c>
      <c r="X1219" s="63" t="s">
        <v>5345</v>
      </c>
      <c r="Y1219" s="336"/>
      <c r="Z1219" s="118" t="s">
        <v>748</v>
      </c>
      <c r="AA1219" s="72"/>
      <c r="AB1219" s="118" t="s">
        <v>1169</v>
      </c>
      <c r="AC1219" s="336"/>
    </row>
    <row r="1220" spans="1:29" ht="60" customHeight="1">
      <c r="A1220" s="336">
        <v>1219</v>
      </c>
      <c r="B1220" s="349">
        <v>45296</v>
      </c>
      <c r="C1220" s="70">
        <v>0.33333333333333331</v>
      </c>
      <c r="D1220" s="336" t="s">
        <v>4093</v>
      </c>
      <c r="E1220" s="355" t="s">
        <v>4094</v>
      </c>
      <c r="F1220" s="336">
        <v>4</v>
      </c>
      <c r="G1220" s="63" t="s">
        <v>2752</v>
      </c>
      <c r="H1220" s="383">
        <v>45300</v>
      </c>
      <c r="I1220" s="65" t="s">
        <v>76</v>
      </c>
      <c r="J1220" s="65" t="s">
        <v>78</v>
      </c>
      <c r="K1220" s="336">
        <f>IFERROR(VLOOKUP(J1220,Jueces!$A$1:$B$11,2,FALSE),"")</f>
        <v>8</v>
      </c>
      <c r="L1220" s="63" t="s">
        <v>811</v>
      </c>
      <c r="M1220" s="63" t="s">
        <v>1956</v>
      </c>
      <c r="N1220" s="205" t="s">
        <v>5230</v>
      </c>
      <c r="O1220" s="63" t="str">
        <f ca="1">IF(H1220&lt;&gt;"",IF(H1220&lt;=TODAY(),"SI","NO"),"LIMBO")</f>
        <v>SI</v>
      </c>
      <c r="P1220" s="63" t="str">
        <f>IF($P$1=H1220,"DIASOL", "DIANOSOL")</f>
        <v>DIANOSOL</v>
      </c>
      <c r="Q1220" s="63" t="s">
        <v>151</v>
      </c>
      <c r="R1220" s="63" t="str">
        <f>VLOOKUP($Q1220,Resultados!$A$1:$B$49,2,FALSE)</f>
        <v>Prisión Preventiva</v>
      </c>
      <c r="S1220" s="63"/>
      <c r="T1220" s="72" t="str">
        <f>IF(G1220=$J$1,"SI","NO")</f>
        <v>NO</v>
      </c>
      <c r="U1220" s="72"/>
      <c r="V1220" s="7" t="str">
        <f ca="1">IF(color_Celda(E1220)=12106214,"ROSA",IF(color_Celda(E1220)=65535,"AMARILLO",IF(color_Celda(E1220)=5296274,"VERDE",IF(color_Celda(E1220)=16777215,"BLANCO","NO SE"))))</f>
        <v>ROSA</v>
      </c>
      <c r="W1220" s="336"/>
      <c r="X1220" s="336"/>
      <c r="Y1220" s="336"/>
      <c r="Z1220" s="118" t="s">
        <v>1039</v>
      </c>
      <c r="AA1220" s="72"/>
      <c r="AB1220" s="118" t="s">
        <v>1173</v>
      </c>
      <c r="AC1220" s="336"/>
    </row>
    <row r="1221" spans="1:29" ht="60" customHeight="1">
      <c r="A1221" s="336">
        <v>1212</v>
      </c>
      <c r="B1221" s="349">
        <v>45280</v>
      </c>
      <c r="C1221" s="568">
        <v>0.54166666666666663</v>
      </c>
      <c r="D1221" s="63" t="s">
        <v>4810</v>
      </c>
      <c r="E1221" s="64" t="s">
        <v>4811</v>
      </c>
      <c r="F1221" s="336">
        <v>6</v>
      </c>
      <c r="G1221" s="63" t="s">
        <v>2753</v>
      </c>
      <c r="H1221" s="383">
        <v>45300</v>
      </c>
      <c r="I1221" s="65" t="s">
        <v>75</v>
      </c>
      <c r="J1221" s="65" t="s">
        <v>78</v>
      </c>
      <c r="K1221" s="336">
        <f>IFERROR(VLOOKUP(J1221,Jueces!$A$1:$B$11,2,FALSE),"")</f>
        <v>8</v>
      </c>
      <c r="L1221" s="63" t="s">
        <v>4778</v>
      </c>
      <c r="M1221" s="63" t="s">
        <v>725</v>
      </c>
      <c r="N1221" s="205" t="s">
        <v>5235</v>
      </c>
      <c r="O1221" s="63" t="str">
        <f ca="1">IF(H1221&lt;&gt;"",IF(H1221&lt;=TODAY(),"SI","NO"),"LIMBO")</f>
        <v>SI</v>
      </c>
      <c r="P1221" s="63" t="str">
        <f>IF($P$1=H1221,"DIASOL", "DIANOSOL")</f>
        <v>DIANOSOL</v>
      </c>
      <c r="Q1221" s="63" t="s">
        <v>897</v>
      </c>
      <c r="R1221" s="63" t="str">
        <f>VLOOKUP($Q1221,Resultados!$A$1:$B$49,2,FALSE)</f>
        <v>Libertad</v>
      </c>
      <c r="S1221" s="63" t="s">
        <v>1584</v>
      </c>
      <c r="T1221" s="72" t="str">
        <f>IF(G1221=$J$1,"SI","NO")</f>
        <v>NO</v>
      </c>
      <c r="U1221" s="72"/>
      <c r="V1221" s="7" t="str">
        <f ca="1">IF(color_Celda(E1221)=12106214,"ROSA",IF(color_Celda(E1221)=65535,"AMARILLO",IF(color_Celda(E1221)=5296274,"VERDE",IF(color_Celda(E1221)=16777215,"BLANCO","NO SE"))))</f>
        <v>ROSA</v>
      </c>
      <c r="W1221" s="63" t="s">
        <v>3116</v>
      </c>
      <c r="X1221" s="336"/>
      <c r="Y1221" s="336"/>
      <c r="Z1221" s="118" t="s">
        <v>5185</v>
      </c>
      <c r="AA1221" s="72"/>
      <c r="AB1221" s="118" t="s">
        <v>1173</v>
      </c>
      <c r="AC1221" s="336"/>
    </row>
    <row r="1222" spans="1:29" ht="60" customHeight="1">
      <c r="A1222" s="328">
        <v>1248</v>
      </c>
      <c r="B1222" s="376">
        <v>45282</v>
      </c>
      <c r="C1222" s="377">
        <v>0.4770833333333333</v>
      </c>
      <c r="D1222" s="7" t="s">
        <v>4919</v>
      </c>
      <c r="E1222" s="420" t="s">
        <v>4918</v>
      </c>
      <c r="F1222" s="328">
        <v>7</v>
      </c>
      <c r="G1222" s="328" t="s">
        <v>2815</v>
      </c>
      <c r="H1222" s="297">
        <v>45300</v>
      </c>
      <c r="I1222" s="19" t="s">
        <v>75</v>
      </c>
      <c r="J1222" s="376" t="s">
        <v>4746</v>
      </c>
      <c r="K1222" s="7" t="s">
        <v>1341</v>
      </c>
      <c r="L1222" s="7" t="s">
        <v>4788</v>
      </c>
      <c r="M1222" s="7" t="s">
        <v>723</v>
      </c>
      <c r="N1222" s="581" t="s">
        <v>4977</v>
      </c>
      <c r="O1222" s="63" t="str">
        <f ca="1">IF(H1222&lt;&gt;"",IF(H1222&lt;=TODAY(),"SI","NO"),"LIMBO")</f>
        <v>SI</v>
      </c>
      <c r="P1222" s="63" t="str">
        <f>IF($P$1=H1222,"DIASOL", "DIANOSOL")</f>
        <v>DIANOSOL</v>
      </c>
      <c r="Q1222" s="63" t="s">
        <v>897</v>
      </c>
      <c r="R1222" s="63" t="str">
        <f>VLOOKUP($Q1222,Resultados!$A$1:$B$49,2,FALSE)</f>
        <v>Libertad</v>
      </c>
      <c r="S1222" s="63" t="s">
        <v>4572</v>
      </c>
      <c r="T1222" s="72" t="str">
        <f>IF(G1222=$J$1,"SI","NO")</f>
        <v>NO</v>
      </c>
      <c r="U1222" s="72"/>
      <c r="V1222" s="7" t="str">
        <f ca="1">IF(color_Celda(E1222)=12106214,"ROSA",IF(color_Celda(E1222)=65535,"AMARILLO",IF(color_Celda(E1222)=5296274,"VERDE",IF(color_Celda(E1222)=16777215,"BLANCO","NO SE"))))</f>
        <v>ROSA</v>
      </c>
      <c r="W1222" s="63" t="s">
        <v>4349</v>
      </c>
      <c r="X1222" s="63" t="s">
        <v>5344</v>
      </c>
      <c r="Y1222" s="336"/>
      <c r="Z1222" s="118" t="s">
        <v>3368</v>
      </c>
      <c r="AA1222" s="72"/>
      <c r="AB1222" s="118" t="s">
        <v>1169</v>
      </c>
      <c r="AC1222" s="336"/>
    </row>
    <row r="1223" spans="1:29" ht="60" customHeight="1">
      <c r="A1223" s="336">
        <v>1218</v>
      </c>
      <c r="B1223" s="349">
        <v>45280</v>
      </c>
      <c r="C1223" s="568">
        <v>0.52430555555555558</v>
      </c>
      <c r="D1223" s="63" t="s">
        <v>4822</v>
      </c>
      <c r="E1223" s="64" t="s">
        <v>4827</v>
      </c>
      <c r="F1223" s="336">
        <v>5</v>
      </c>
      <c r="G1223" s="63" t="s">
        <v>2751</v>
      </c>
      <c r="H1223" s="383">
        <v>45300</v>
      </c>
      <c r="I1223" s="65" t="s">
        <v>77</v>
      </c>
      <c r="J1223" s="65" t="s">
        <v>78</v>
      </c>
      <c r="K1223" s="336">
        <f>IFERROR(VLOOKUP(J1223,Jueces!$A$1:$B$11,2,FALSE),"")</f>
        <v>8</v>
      </c>
      <c r="L1223" s="63" t="s">
        <v>806</v>
      </c>
      <c r="M1223" s="63" t="s">
        <v>2107</v>
      </c>
      <c r="N1223" s="205" t="s">
        <v>4356</v>
      </c>
      <c r="O1223" s="63" t="str">
        <f ca="1">IF(H1223&lt;&gt;"",IF(H1223&lt;=TODAY(),"SI","NO"),"LIMBO")</f>
        <v>SI</v>
      </c>
      <c r="P1223" s="63" t="str">
        <f>IF($P$1=H1223,"DIASOL", "DIANOSOL")</f>
        <v>DIANOSOL</v>
      </c>
      <c r="Q1223" s="63" t="s">
        <v>151</v>
      </c>
      <c r="R1223" s="63" t="str">
        <f>VLOOKUP($Q1223,Resultados!$A$1:$B$49,2,FALSE)</f>
        <v>Prisión Preventiva</v>
      </c>
      <c r="S1223" s="63" t="s">
        <v>3436</v>
      </c>
      <c r="T1223" s="72" t="str">
        <f>IF(G1223=$J$1,"SI","NO")</f>
        <v>NO</v>
      </c>
      <c r="U1223" s="72"/>
      <c r="V1223" s="7" t="str">
        <f ca="1">IF(color_Celda(E1223)=12106214,"ROSA",IF(color_Celda(E1223)=65535,"AMARILLO",IF(color_Celda(E1223)=5296274,"VERDE",IF(color_Celda(E1223)=16777215,"BLANCO","NO SE"))))</f>
        <v>ROSA</v>
      </c>
      <c r="W1223" s="63" t="s">
        <v>5067</v>
      </c>
      <c r="X1223" s="63" t="s">
        <v>5340</v>
      </c>
      <c r="Y1223" s="336"/>
      <c r="Z1223" s="118" t="s">
        <v>5185</v>
      </c>
      <c r="AA1223" s="72"/>
      <c r="AB1223" s="118" t="s">
        <v>1169</v>
      </c>
      <c r="AC1223" s="336"/>
    </row>
    <row r="1224" spans="1:29" ht="60" customHeight="1">
      <c r="A1224" s="336">
        <v>1232</v>
      </c>
      <c r="B1224" s="349">
        <v>45281</v>
      </c>
      <c r="C1224" s="568">
        <v>0.51666666666666672</v>
      </c>
      <c r="D1224" s="63" t="s">
        <v>4850</v>
      </c>
      <c r="E1224" s="64" t="s">
        <v>5158</v>
      </c>
      <c r="F1224" s="336">
        <v>6</v>
      </c>
      <c r="G1224" s="336" t="s">
        <v>2752</v>
      </c>
      <c r="H1224" s="383">
        <v>45300</v>
      </c>
      <c r="I1224" s="65" t="s">
        <v>77</v>
      </c>
      <c r="J1224" s="349" t="s">
        <v>1220</v>
      </c>
      <c r="K1224" s="63" t="s">
        <v>4118</v>
      </c>
      <c r="L1224" s="63" t="s">
        <v>4780</v>
      </c>
      <c r="M1224" s="63" t="s">
        <v>723</v>
      </c>
      <c r="N1224" s="205" t="s">
        <v>5237</v>
      </c>
      <c r="O1224" s="63" t="str">
        <f ca="1">IF(H1224&lt;&gt;"",IF(H1224&lt;=TODAY(),"SI","NO"),"LIMBO")</f>
        <v>SI</v>
      </c>
      <c r="P1224" s="63" t="str">
        <f>IF($P$1=H1224,"DIASOL", "DIANOSOL")</f>
        <v>DIANOSOL</v>
      </c>
      <c r="Q1224" s="63" t="s">
        <v>903</v>
      </c>
      <c r="R1224" s="63" t="str">
        <f>VLOOKUP($Q1224,Resultados!$A$1:$B$49,2,FALSE)</f>
        <v>Juicio Abreviado</v>
      </c>
      <c r="S1224" s="63" t="s">
        <v>5336</v>
      </c>
      <c r="T1224" s="72" t="str">
        <f>IF(G1224=$J$1,"SI","NO")</f>
        <v>NO</v>
      </c>
      <c r="U1224" s="72"/>
      <c r="V1224" s="7" t="str">
        <f ca="1">IF(color_Celda(E1224)=12106214,"ROSA",IF(color_Celda(E1224)=65535,"AMARILLO",IF(color_Celda(E1224)=5296274,"VERDE",IF(color_Celda(E1224)=16777215,"BLANCO","NO SE"))))</f>
        <v>ROSA</v>
      </c>
      <c r="W1224" s="63" t="s">
        <v>5337</v>
      </c>
      <c r="X1224" s="63" t="s">
        <v>5338</v>
      </c>
      <c r="Y1224" s="336"/>
      <c r="Z1224" s="118" t="s">
        <v>748</v>
      </c>
      <c r="AA1224" s="72"/>
      <c r="AB1224" s="118" t="s">
        <v>1173</v>
      </c>
      <c r="AC1224" s="336"/>
    </row>
    <row r="1225" spans="1:29" s="403" customFormat="1" ht="60" customHeight="1">
      <c r="A1225" s="328">
        <v>1144</v>
      </c>
      <c r="B1225" s="376">
        <v>45282</v>
      </c>
      <c r="C1225" s="377">
        <v>0.41319444444444442</v>
      </c>
      <c r="D1225" s="7" t="s">
        <v>2093</v>
      </c>
      <c r="E1225" s="40" t="s">
        <v>4868</v>
      </c>
      <c r="F1225" s="328">
        <v>1</v>
      </c>
      <c r="G1225" s="328" t="s">
        <v>4749</v>
      </c>
      <c r="H1225" s="493">
        <v>45300</v>
      </c>
      <c r="I1225" s="19" t="s">
        <v>77</v>
      </c>
      <c r="J1225" s="376" t="s">
        <v>4746</v>
      </c>
      <c r="K1225" s="7" t="s">
        <v>1341</v>
      </c>
      <c r="L1225" s="7" t="s">
        <v>192</v>
      </c>
      <c r="M1225" s="373" t="s">
        <v>3394</v>
      </c>
      <c r="N1225" s="7" t="s">
        <v>5236</v>
      </c>
      <c r="O1225" s="63" t="str">
        <f ca="1">IF(H1225&lt;&gt;"",IF(H1225&lt;=TODAY(),"SI","NO"),"LIMBO")</f>
        <v>SI</v>
      </c>
      <c r="P1225" s="63" t="str">
        <f>IF($P$1=H1225,"DIASOL", "DIANOSOL")</f>
        <v>DIANOSOL</v>
      </c>
      <c r="Q1225" s="7" t="s">
        <v>151</v>
      </c>
      <c r="R1225" s="7" t="str">
        <f>VLOOKUP($Q1225,Resultados!$A$1:$B$49,2,FALSE)</f>
        <v>Prisión Preventiva</v>
      </c>
      <c r="S1225" s="7" t="s">
        <v>3766</v>
      </c>
      <c r="T1225" s="72" t="str">
        <f>IF(G1225=$J$1,"SI","NO")</f>
        <v>NO</v>
      </c>
      <c r="U1225" s="72"/>
      <c r="V1225" s="7" t="str">
        <f ca="1">IF(color_Celda(E1225)=12106214,"ROSA",IF(color_Celda(E1225)=65535,"AMARILLO",IF(color_Celda(E1225)=5296274,"VERDE",IF(color_Celda(E1225)=16777215,"BLANCO","NO SE"))))</f>
        <v>ROSA</v>
      </c>
      <c r="W1225" s="7" t="s">
        <v>4476</v>
      </c>
      <c r="X1225" s="7" t="s">
        <v>1883</v>
      </c>
      <c r="Y1225" s="328"/>
      <c r="Z1225" s="268" t="s">
        <v>3368</v>
      </c>
      <c r="AA1225" s="68"/>
      <c r="AB1225" s="268" t="s">
        <v>1173</v>
      </c>
      <c r="AC1225" s="328"/>
    </row>
    <row r="1226" spans="1:29" ht="60" customHeight="1">
      <c r="A1226" s="384">
        <v>1221</v>
      </c>
      <c r="B1226" s="385">
        <v>45280</v>
      </c>
      <c r="C1226" s="386">
        <v>0.42430555555555555</v>
      </c>
      <c r="D1226" s="421" t="s">
        <v>4825</v>
      </c>
      <c r="E1226" s="108" t="s">
        <v>4826</v>
      </c>
      <c r="F1226" s="384">
        <v>5</v>
      </c>
      <c r="G1226" s="107" t="s">
        <v>3324</v>
      </c>
      <c r="H1226" s="498">
        <v>45300</v>
      </c>
      <c r="I1226" s="253" t="s">
        <v>2011</v>
      </c>
      <c r="J1226" s="253" t="s">
        <v>1220</v>
      </c>
      <c r="K1226" s="107" t="s">
        <v>4057</v>
      </c>
      <c r="L1226" s="107" t="s">
        <v>4782</v>
      </c>
      <c r="M1226" s="107" t="s">
        <v>695</v>
      </c>
      <c r="N1226" s="657" t="s">
        <v>4356</v>
      </c>
      <c r="O1226" s="63" t="str">
        <f ca="1">IF(H1226&lt;&gt;"",IF(H1226&lt;=TODAY(),"SI","NO"),"LIMBO")</f>
        <v>SI</v>
      </c>
      <c r="P1226" s="63" t="str">
        <f>IF($P$1=H1226,"DIASOL", "DIANOSOL")</f>
        <v>DIANOSOL</v>
      </c>
      <c r="Q1226" s="107" t="s">
        <v>151</v>
      </c>
      <c r="R1226" s="107" t="str">
        <f>VLOOKUP($Q1226,Resultados!$A$1:$B$49,2,FALSE)</f>
        <v>Prisión Preventiva</v>
      </c>
      <c r="S1226" s="107" t="s">
        <v>1728</v>
      </c>
      <c r="T1226" s="72" t="str">
        <f>IF(G1226=$J$1,"SI","NO")</f>
        <v>NO</v>
      </c>
      <c r="U1226" s="72"/>
      <c r="V1226" s="7" t="str">
        <f ca="1">IF(color_Celda(E1226)=12106214,"ROSA",IF(color_Celda(E1226)=65535,"AMARILLO",IF(color_Celda(E1226)=5296274,"VERDE",IF(color_Celda(E1226)=16777215,"BLANCO","NO SE"))))</f>
        <v>ROSA</v>
      </c>
      <c r="W1226" s="107" t="s">
        <v>5269</v>
      </c>
      <c r="X1226" s="107" t="s">
        <v>5339</v>
      </c>
      <c r="Y1226" s="384"/>
      <c r="Z1226" s="303" t="s">
        <v>748</v>
      </c>
      <c r="AA1226" s="109"/>
      <c r="AB1226" s="303" t="s">
        <v>1169</v>
      </c>
      <c r="AC1226" s="384" t="s">
        <v>1792</v>
      </c>
    </row>
    <row r="1227" spans="1:29" ht="60" customHeight="1">
      <c r="A1227" s="336">
        <v>1226</v>
      </c>
      <c r="B1227" s="349">
        <v>45281</v>
      </c>
      <c r="C1227" s="568">
        <v>0.39583333333333331</v>
      </c>
      <c r="D1227" s="63" t="s">
        <v>4839</v>
      </c>
      <c r="E1227" s="64" t="s">
        <v>4840</v>
      </c>
      <c r="F1227" s="336">
        <v>5</v>
      </c>
      <c r="G1227" s="63" t="s">
        <v>3871</v>
      </c>
      <c r="H1227" s="383">
        <v>45300</v>
      </c>
      <c r="I1227" s="65" t="s">
        <v>2011</v>
      </c>
      <c r="J1227" s="65" t="s">
        <v>1217</v>
      </c>
      <c r="K1227" s="63">
        <v>7</v>
      </c>
      <c r="L1227" s="63" t="s">
        <v>569</v>
      </c>
      <c r="M1227" s="63" t="s">
        <v>3381</v>
      </c>
      <c r="N1227" s="63" t="s">
        <v>5234</v>
      </c>
      <c r="O1227" s="63" t="str">
        <f ca="1">IF(H1227&lt;&gt;"",IF(H1227&lt;=TODAY(),"SI","NO"),"LIMBO")</f>
        <v>SI</v>
      </c>
      <c r="P1227" s="63" t="str">
        <f>IF($P$1=H1227,"DIASOL", "DIANOSOL")</f>
        <v>DIANOSOL</v>
      </c>
      <c r="Q1227" s="63" t="s">
        <v>909</v>
      </c>
      <c r="R1227" s="63" t="str">
        <f>VLOOKUP($Q1227,Resultados!$A$1:$B$49,2,FALSE)</f>
        <v>Suspendida</v>
      </c>
      <c r="S1227" s="63"/>
      <c r="T1227" s="72" t="str">
        <f>IF(G1227=$J$1,"SI","NO")</f>
        <v>NO</v>
      </c>
      <c r="U1227" s="72"/>
      <c r="V1227" s="7" t="str">
        <f ca="1">IF(color_Celda(E1227)=12106214,"ROSA",IF(color_Celda(E1227)=65535,"AMARILLO",IF(color_Celda(E1227)=5296274,"VERDE",IF(color_Celda(E1227)=16777215,"BLANCO","NO SE"))))</f>
        <v>ROSA</v>
      </c>
      <c r="W1227" s="336"/>
      <c r="X1227" s="336"/>
      <c r="Y1227" s="336"/>
      <c r="Z1227" s="118" t="s">
        <v>3368</v>
      </c>
      <c r="AA1227" s="72"/>
      <c r="AB1227" s="118" t="s">
        <v>1169</v>
      </c>
      <c r="AC1227" s="336"/>
    </row>
    <row r="1228" spans="1:29" ht="60" customHeight="1">
      <c r="A1228" s="336">
        <v>1207</v>
      </c>
      <c r="B1228" s="349">
        <v>45280</v>
      </c>
      <c r="C1228" s="568">
        <v>0.33333333333333331</v>
      </c>
      <c r="D1228" s="336" t="s">
        <v>4764</v>
      </c>
      <c r="E1228" s="355" t="s">
        <v>4765</v>
      </c>
      <c r="F1228" s="336">
        <v>5</v>
      </c>
      <c r="G1228" s="63" t="s">
        <v>2751</v>
      </c>
      <c r="H1228" s="383">
        <v>45301</v>
      </c>
      <c r="I1228" s="65" t="s">
        <v>76</v>
      </c>
      <c r="J1228" s="65" t="s">
        <v>1220</v>
      </c>
      <c r="K1228" s="63" t="s">
        <v>4057</v>
      </c>
      <c r="L1228" s="63" t="s">
        <v>827</v>
      </c>
      <c r="M1228" s="335" t="s">
        <v>3381</v>
      </c>
      <c r="N1228" s="63" t="s">
        <v>5231</v>
      </c>
      <c r="O1228" s="63" t="str">
        <f ca="1">IF(H1228&lt;&gt;"",IF(H1228&lt;=TODAY(),"SI","NO"),"LIMBO")</f>
        <v>SI</v>
      </c>
      <c r="P1228" s="63" t="str">
        <f>IF($P$1=H1228,"DIASOL", "DIANOSOL")</f>
        <v>DIANOSOL</v>
      </c>
      <c r="Q1228" s="63" t="s">
        <v>909</v>
      </c>
      <c r="R1228" s="63" t="str">
        <f>VLOOKUP($Q1228,Resultados!$A$1:$B$49,2,FALSE)</f>
        <v>Suspendida</v>
      </c>
      <c r="S1228" s="63"/>
      <c r="T1228" s="72" t="str">
        <f>IF(G1228=$J$1,"SI","NO")</f>
        <v>NO</v>
      </c>
      <c r="U1228" s="72"/>
      <c r="V1228" s="7" t="str">
        <f ca="1">IF(color_Celda(E1228)=12106214,"ROSA",IF(color_Celda(E1228)=65535,"AMARILLO",IF(color_Celda(E1228)=5296274,"VERDE",IF(color_Celda(E1228)=16777215,"BLANCO","NO SE"))))</f>
        <v>ROSA</v>
      </c>
      <c r="W1228" s="336"/>
      <c r="X1228" s="336"/>
      <c r="Y1228" s="336"/>
      <c r="Z1228" s="118" t="s">
        <v>748</v>
      </c>
      <c r="AA1228" s="72"/>
      <c r="AB1228" s="118" t="s">
        <v>1169</v>
      </c>
      <c r="AC1228" s="336"/>
    </row>
    <row r="1229" spans="1:29" ht="60" customHeight="1">
      <c r="A1229" s="336">
        <v>1222</v>
      </c>
      <c r="B1229" s="349">
        <v>45280</v>
      </c>
      <c r="C1229" s="568">
        <v>0.4513888888888889</v>
      </c>
      <c r="D1229" s="63" t="s">
        <v>4828</v>
      </c>
      <c r="E1229" s="64" t="s">
        <v>4829</v>
      </c>
      <c r="F1229" s="336">
        <v>5</v>
      </c>
      <c r="G1229" s="63" t="s">
        <v>2753</v>
      </c>
      <c r="H1229" s="383">
        <v>45301</v>
      </c>
      <c r="I1229" s="65" t="s">
        <v>76</v>
      </c>
      <c r="J1229" s="65" t="s">
        <v>78</v>
      </c>
      <c r="K1229" s="336">
        <f>IFERROR(VLOOKUP(J1229,Jueces!$A$1:$B$11,2,FALSE),"")</f>
        <v>8</v>
      </c>
      <c r="L1229" s="63" t="s">
        <v>4792</v>
      </c>
      <c r="M1229" s="63" t="s">
        <v>2201</v>
      </c>
      <c r="N1229" s="205" t="s">
        <v>5238</v>
      </c>
      <c r="O1229" s="63" t="str">
        <f ca="1">IF(H1229&lt;&gt;"",IF(H1229&lt;=TODAY(),"SI","NO"),"LIMBO")</f>
        <v>SI</v>
      </c>
      <c r="P1229" s="63" t="str">
        <f>IF($P$1=H1229,"DIASOL", "DIANOSOL")</f>
        <v>DIANOSOL</v>
      </c>
      <c r="Q1229" s="63" t="s">
        <v>902</v>
      </c>
      <c r="R1229" s="63" t="str">
        <f>VLOOKUP($Q1229,Resultados!$A$1:$B$49,2,FALSE)</f>
        <v>Juicio Abreviado</v>
      </c>
      <c r="S1229" s="63"/>
      <c r="T1229" s="72" t="str">
        <f>IF(G1229=$J$1,"SI","NO")</f>
        <v>NO</v>
      </c>
      <c r="U1229" s="72"/>
      <c r="V1229" s="7" t="str">
        <f ca="1">IF(color_Celda(E1229)=12106214,"ROSA",IF(color_Celda(E1229)=65535,"AMARILLO",IF(color_Celda(E1229)=5296274,"VERDE",IF(color_Celda(E1229)=16777215,"BLANCO","NO SE"))))</f>
        <v>ROSA</v>
      </c>
      <c r="W1229" s="336"/>
      <c r="X1229" s="336"/>
      <c r="Y1229" s="336"/>
      <c r="Z1229" s="118" t="s">
        <v>1039</v>
      </c>
      <c r="AA1229" s="72"/>
      <c r="AB1229" s="118" t="s">
        <v>1173</v>
      </c>
      <c r="AC1229" s="336"/>
    </row>
    <row r="1230" spans="1:29" ht="60" customHeight="1">
      <c r="A1230" s="336">
        <v>1230</v>
      </c>
      <c r="B1230" s="349">
        <v>45281</v>
      </c>
      <c r="C1230" s="568">
        <v>0.49236111111111108</v>
      </c>
      <c r="D1230" s="63" t="s">
        <v>4846</v>
      </c>
      <c r="E1230" s="64" t="s">
        <v>4852</v>
      </c>
      <c r="F1230" s="336">
        <v>6</v>
      </c>
      <c r="G1230" s="63" t="s">
        <v>3324</v>
      </c>
      <c r="H1230" s="383">
        <v>45301</v>
      </c>
      <c r="I1230" s="65" t="s">
        <v>76</v>
      </c>
      <c r="J1230" s="65" t="s">
        <v>4746</v>
      </c>
      <c r="K1230" s="63" t="s">
        <v>3776</v>
      </c>
      <c r="L1230" s="63" t="s">
        <v>806</v>
      </c>
      <c r="M1230" s="63" t="s">
        <v>723</v>
      </c>
      <c r="N1230" s="205" t="s">
        <v>5239</v>
      </c>
      <c r="O1230" s="63" t="str">
        <f ca="1">IF(H1230&lt;&gt;"",IF(H1230&lt;=TODAY(),"SI","NO"),"LIMBO")</f>
        <v>SI</v>
      </c>
      <c r="P1230" s="63" t="str">
        <f>IF($P$1=H1230,"DIASOL", "DIANOSOL")</f>
        <v>DIANOSOL</v>
      </c>
      <c r="Q1230" s="63" t="s">
        <v>902</v>
      </c>
      <c r="R1230" s="63" t="str">
        <f>VLOOKUP($Q1230,Resultados!$A$1:$B$49,2,FALSE)</f>
        <v>Juicio Abreviado</v>
      </c>
      <c r="S1230" s="63"/>
      <c r="T1230" s="72" t="str">
        <f>IF(G1230=$J$1,"SI","NO")</f>
        <v>NO</v>
      </c>
      <c r="U1230" s="72"/>
      <c r="V1230" s="7" t="str">
        <f ca="1">IF(color_Celda(E1230)=12106214,"ROSA",IF(color_Celda(E1230)=65535,"AMARILLO",IF(color_Celda(E1230)=5296274,"VERDE",IF(color_Celda(E1230)=16777215,"BLANCO","NO SE"))))</f>
        <v>ROSA</v>
      </c>
      <c r="W1230" s="336"/>
      <c r="X1230" s="336"/>
      <c r="Y1230" s="336"/>
      <c r="Z1230" s="118" t="s">
        <v>3368</v>
      </c>
      <c r="AA1230" s="72"/>
      <c r="AB1230" s="118" t="s">
        <v>1169</v>
      </c>
      <c r="AC1230" s="336"/>
    </row>
    <row r="1231" spans="1:29" ht="60" customHeight="1">
      <c r="A1231" s="336">
        <v>1223</v>
      </c>
      <c r="B1231" s="349">
        <v>45281</v>
      </c>
      <c r="C1231" s="568">
        <v>0.39583333333333331</v>
      </c>
      <c r="D1231" s="63" t="s">
        <v>4830</v>
      </c>
      <c r="E1231" s="355" t="s">
        <v>4831</v>
      </c>
      <c r="F1231" s="336">
        <v>5</v>
      </c>
      <c r="G1231" s="63" t="s">
        <v>2815</v>
      </c>
      <c r="H1231" s="383">
        <v>45301</v>
      </c>
      <c r="I1231" s="65" t="s">
        <v>75</v>
      </c>
      <c r="J1231" s="65" t="s">
        <v>4746</v>
      </c>
      <c r="K1231" s="63" t="s">
        <v>3776</v>
      </c>
      <c r="L1231" s="63" t="s">
        <v>4786</v>
      </c>
      <c r="M1231" s="335" t="s">
        <v>4832</v>
      </c>
      <c r="N1231" s="205" t="s">
        <v>5240</v>
      </c>
      <c r="O1231" s="63" t="str">
        <f ca="1">IF(H1231&lt;&gt;"",IF(H1231&lt;=TODAY(),"SI","NO"),"LIMBO")</f>
        <v>SI</v>
      </c>
      <c r="P1231" s="63" t="str">
        <f>IF($P$1=H1231,"DIASOL", "DIANOSOL")</f>
        <v>DIANOSOL</v>
      </c>
      <c r="Q1231" s="63" t="s">
        <v>902</v>
      </c>
      <c r="R1231" s="63" t="str">
        <f>VLOOKUP($Q1231,Resultados!$A$1:$B$49,2,FALSE)</f>
        <v>Juicio Abreviado</v>
      </c>
      <c r="S1231" s="63"/>
      <c r="T1231" s="72" t="str">
        <f>IF(G1231=$J$1,"SI","NO")</f>
        <v>NO</v>
      </c>
      <c r="U1231" s="72"/>
      <c r="V1231" s="7" t="str">
        <f ca="1">IF(color_Celda(E1231)=12106214,"ROSA",IF(color_Celda(E1231)=65535,"AMARILLO",IF(color_Celda(E1231)=5296274,"VERDE",IF(color_Celda(E1231)=16777215,"BLANCO","NO SE"))))</f>
        <v>ROSA</v>
      </c>
      <c r="W1231" s="336"/>
      <c r="X1231" s="336"/>
      <c r="Y1231" s="336"/>
      <c r="Z1231" s="118" t="s">
        <v>3368</v>
      </c>
      <c r="AA1231" s="72"/>
      <c r="AB1231" s="118" t="s">
        <v>1173</v>
      </c>
      <c r="AC1231" s="336"/>
    </row>
    <row r="1232" spans="1:29" ht="60" customHeight="1">
      <c r="A1232" s="336">
        <v>1224</v>
      </c>
      <c r="B1232" s="349">
        <v>45281</v>
      </c>
      <c r="C1232" s="568">
        <v>0.39583333333333331</v>
      </c>
      <c r="D1232" s="63" t="s">
        <v>4835</v>
      </c>
      <c r="E1232" s="355" t="s">
        <v>4836</v>
      </c>
      <c r="F1232" s="336">
        <v>5</v>
      </c>
      <c r="G1232" s="63" t="s">
        <v>3323</v>
      </c>
      <c r="H1232" s="383">
        <v>45301</v>
      </c>
      <c r="I1232" s="65" t="s">
        <v>75</v>
      </c>
      <c r="J1232" s="65" t="s">
        <v>78</v>
      </c>
      <c r="K1232" s="336">
        <f>IFERROR(VLOOKUP(J1232,Jueces!$A$1:$B$11,2,FALSE),"")</f>
        <v>8</v>
      </c>
      <c r="L1232" s="63" t="s">
        <v>4790</v>
      </c>
      <c r="M1232" s="63" t="s">
        <v>2107</v>
      </c>
      <c r="N1232" s="205" t="s">
        <v>4977</v>
      </c>
      <c r="O1232" s="63" t="str">
        <f ca="1">IF(H1232&lt;&gt;"",IF(H1232&lt;=TODAY(),"SI","NO"),"LIMBO")</f>
        <v>SI</v>
      </c>
      <c r="P1232" s="63" t="str">
        <f>IF($P$1=H1232,"DIASOL", "DIANOSOL")</f>
        <v>DIANOSOL</v>
      </c>
      <c r="Q1232" s="63" t="s">
        <v>897</v>
      </c>
      <c r="R1232" s="63" t="str">
        <f>VLOOKUP($Q1232,Resultados!$A$1:$B$49,2,FALSE)</f>
        <v>Libertad</v>
      </c>
      <c r="S1232" s="63"/>
      <c r="T1232" s="72" t="str">
        <f>IF(G1232=$J$1,"SI","NO")</f>
        <v>NO</v>
      </c>
      <c r="U1232" s="72"/>
      <c r="V1232" s="7" t="str">
        <f ca="1">IF(color_Celda(E1232)=12106214,"ROSA",IF(color_Celda(E1232)=65535,"AMARILLO",IF(color_Celda(E1232)=5296274,"VERDE",IF(color_Celda(E1232)=16777215,"BLANCO","NO SE"))))</f>
        <v>ROSA</v>
      </c>
      <c r="W1232" s="336"/>
      <c r="X1232" s="336"/>
      <c r="Y1232" s="336"/>
      <c r="Z1232" s="118" t="s">
        <v>5194</v>
      </c>
      <c r="AA1232" s="72"/>
      <c r="AB1232" s="118" t="s">
        <v>1169</v>
      </c>
      <c r="AC1232" s="336"/>
    </row>
    <row r="1233" spans="1:29" ht="60" customHeight="1">
      <c r="A1233" s="336">
        <v>1228</v>
      </c>
      <c r="B1233" s="349">
        <v>45281</v>
      </c>
      <c r="C1233" s="568">
        <v>0.45833333333333331</v>
      </c>
      <c r="D1233" s="63" t="s">
        <v>4844</v>
      </c>
      <c r="E1233" s="355" t="s">
        <v>4843</v>
      </c>
      <c r="F1233" s="336">
        <v>7</v>
      </c>
      <c r="G1233" s="63" t="s">
        <v>2752</v>
      </c>
      <c r="H1233" s="383">
        <v>45301</v>
      </c>
      <c r="I1233" s="65" t="s">
        <v>75</v>
      </c>
      <c r="J1233" s="65" t="s">
        <v>1220</v>
      </c>
      <c r="K1233" s="63" t="s">
        <v>4057</v>
      </c>
      <c r="L1233" s="63" t="s">
        <v>805</v>
      </c>
      <c r="M1233" s="63" t="s">
        <v>767</v>
      </c>
      <c r="N1233" s="205" t="s">
        <v>5238</v>
      </c>
      <c r="O1233" s="63" t="str">
        <f ca="1">IF(H1233&lt;&gt;"",IF(H1233&lt;=TODAY(),"SI","NO"),"LIMBO")</f>
        <v>SI</v>
      </c>
      <c r="P1233" s="63" t="str">
        <f>IF($P$1=H1233,"DIASOL", "DIANOSOL")</f>
        <v>DIANOSOL</v>
      </c>
      <c r="Q1233" s="63" t="s">
        <v>902</v>
      </c>
      <c r="R1233" s="63" t="str">
        <f>VLOOKUP($Q1233,Resultados!$A$1:$B$49,2,FALSE)</f>
        <v>Juicio Abreviado</v>
      </c>
      <c r="S1233" s="63"/>
      <c r="T1233" s="72" t="str">
        <f>IF(G1233=$J$1,"SI","NO")</f>
        <v>NO</v>
      </c>
      <c r="U1233" s="72"/>
      <c r="V1233" s="7" t="str">
        <f ca="1">IF(color_Celda(E1233)=12106214,"ROSA",IF(color_Celda(E1233)=65535,"AMARILLO",IF(color_Celda(E1233)=5296274,"VERDE",IF(color_Celda(E1233)=16777215,"BLANCO","NO SE"))))</f>
        <v>ROSA</v>
      </c>
      <c r="W1233" s="336"/>
      <c r="X1233" s="336"/>
      <c r="Y1233" s="336"/>
      <c r="Z1233" s="118" t="s">
        <v>748</v>
      </c>
      <c r="AA1233" s="72"/>
      <c r="AB1233" s="118" t="s">
        <v>1173</v>
      </c>
      <c r="AC1233" s="336"/>
    </row>
    <row r="1234" spans="1:29" ht="60" customHeight="1">
      <c r="A1234" s="336">
        <v>1169</v>
      </c>
      <c r="B1234" s="349">
        <v>45273</v>
      </c>
      <c r="C1234" s="568">
        <v>0.37013888888888885</v>
      </c>
      <c r="D1234" s="336" t="s">
        <v>3447</v>
      </c>
      <c r="E1234" s="355" t="s">
        <v>3453</v>
      </c>
      <c r="F1234" s="336">
        <v>2</v>
      </c>
      <c r="G1234" s="63" t="s">
        <v>4749</v>
      </c>
      <c r="H1234" s="383">
        <v>45301</v>
      </c>
      <c r="I1234" s="65" t="s">
        <v>77</v>
      </c>
      <c r="J1234" s="349" t="s">
        <v>4746</v>
      </c>
      <c r="K1234" s="63" t="s">
        <v>3776</v>
      </c>
      <c r="L1234" s="63" t="s">
        <v>812</v>
      </c>
      <c r="M1234" s="63" t="s">
        <v>2680</v>
      </c>
      <c r="N1234" s="63" t="s">
        <v>5241</v>
      </c>
      <c r="O1234" s="63" t="str">
        <f ca="1">IF(H1234&lt;&gt;"",IF(H1234&lt;=TODAY(),"SI","NO"),"LIMBO")</f>
        <v>SI</v>
      </c>
      <c r="P1234" s="63" t="str">
        <f>IF($P$1=H1234,"DIASOL", "DIANOSOL")</f>
        <v>DIANOSOL</v>
      </c>
      <c r="Q1234" s="63" t="s">
        <v>902</v>
      </c>
      <c r="R1234" s="63" t="str">
        <f>VLOOKUP($Q1234,Resultados!$A$1:$B$49,2,FALSE)</f>
        <v>Juicio Abreviado</v>
      </c>
      <c r="S1234" s="63"/>
      <c r="T1234" s="72" t="str">
        <f>IF(G1234=$J$1,"SI","NO")</f>
        <v>NO</v>
      </c>
      <c r="U1234" s="72"/>
      <c r="V1234" s="7" t="str">
        <f ca="1">IF(color_Celda(E1234)=12106214,"ROSA",IF(color_Celda(E1234)=65535,"AMARILLO",IF(color_Celda(E1234)=5296274,"VERDE",IF(color_Celda(E1234)=16777215,"BLANCO","NO SE"))))</f>
        <v>ROSA</v>
      </c>
      <c r="W1234" s="336"/>
      <c r="X1234" s="336"/>
      <c r="Y1234" s="336"/>
      <c r="Z1234" s="118" t="s">
        <v>3368</v>
      </c>
      <c r="AA1234" s="72" t="s">
        <v>2869</v>
      </c>
      <c r="AB1234" s="118" t="s">
        <v>1169</v>
      </c>
      <c r="AC1234" s="336"/>
    </row>
    <row r="1235" spans="1:29" ht="60" customHeight="1">
      <c r="A1235" s="336">
        <v>1240</v>
      </c>
      <c r="B1235" s="349">
        <v>45282</v>
      </c>
      <c r="C1235" s="568">
        <v>0.42708333333333331</v>
      </c>
      <c r="D1235" s="63" t="s">
        <v>4866</v>
      </c>
      <c r="E1235" s="64" t="s">
        <v>4867</v>
      </c>
      <c r="F1235" s="336">
        <v>7</v>
      </c>
      <c r="G1235" s="63" t="s">
        <v>2751</v>
      </c>
      <c r="H1235" s="383">
        <v>45301</v>
      </c>
      <c r="I1235" s="65" t="s">
        <v>77</v>
      </c>
      <c r="J1235" s="65" t="s">
        <v>1220</v>
      </c>
      <c r="K1235" s="63" t="s">
        <v>4057</v>
      </c>
      <c r="L1235" s="63" t="s">
        <v>4781</v>
      </c>
      <c r="M1235" s="7" t="s">
        <v>723</v>
      </c>
      <c r="N1235" s="205" t="s">
        <v>5238</v>
      </c>
      <c r="O1235" s="63" t="str">
        <f ca="1">IF(H1235&lt;&gt;"",IF(H1235&lt;=TODAY(),"SI","NO"),"LIMBO")</f>
        <v>SI</v>
      </c>
      <c r="P1235" s="63" t="str">
        <f>IF($P$1=H1235,"DIASOL", "DIANOSOL")</f>
        <v>DIANOSOL</v>
      </c>
      <c r="Q1235" s="63" t="s">
        <v>902</v>
      </c>
      <c r="R1235" s="63" t="str">
        <f>VLOOKUP($Q1235,Resultados!$A$1:$B$49,2,FALSE)</f>
        <v>Juicio Abreviado</v>
      </c>
      <c r="S1235" s="63"/>
      <c r="T1235" s="72" t="str">
        <f>IF(G1235=$J$1,"SI","NO")</f>
        <v>NO</v>
      </c>
      <c r="U1235" s="72"/>
      <c r="V1235" s="7" t="str">
        <f ca="1">IF(color_Celda(E1235)=12106214,"ROSA",IF(color_Celda(E1235)=65535,"AMARILLO",IF(color_Celda(E1235)=5296274,"VERDE",IF(color_Celda(E1235)=16777215,"BLANCO","NO SE"))))</f>
        <v>ROSA</v>
      </c>
      <c r="W1235" s="336"/>
      <c r="X1235" s="336"/>
      <c r="Y1235" s="336"/>
      <c r="Z1235" s="118" t="s">
        <v>748</v>
      </c>
      <c r="AA1235" s="72"/>
      <c r="AB1235" s="118" t="s">
        <v>1173</v>
      </c>
      <c r="AC1235" s="336"/>
    </row>
    <row r="1236" spans="1:29" ht="60" customHeight="1">
      <c r="A1236" s="336">
        <v>1217</v>
      </c>
      <c r="B1236" s="349">
        <v>45280</v>
      </c>
      <c r="C1236" s="568">
        <v>0.43055555555555558</v>
      </c>
      <c r="D1236" s="63" t="s">
        <v>4820</v>
      </c>
      <c r="E1236" s="64" t="s">
        <v>4821</v>
      </c>
      <c r="F1236" s="336">
        <v>7</v>
      </c>
      <c r="G1236" s="336" t="s">
        <v>4749</v>
      </c>
      <c r="H1236" s="383">
        <v>45301</v>
      </c>
      <c r="I1236" s="65" t="s">
        <v>2011</v>
      </c>
      <c r="J1236" s="349" t="s">
        <v>4746</v>
      </c>
      <c r="K1236" s="63" t="s">
        <v>1341</v>
      </c>
      <c r="L1236" s="63" t="s">
        <v>4766</v>
      </c>
      <c r="M1236" s="63" t="s">
        <v>723</v>
      </c>
      <c r="N1236" s="205" t="s">
        <v>5242</v>
      </c>
      <c r="O1236" s="63" t="str">
        <f ca="1">IF(H1236&lt;&gt;"",IF(H1236&lt;=TODAY(),"SI","NO"),"LIMBO")</f>
        <v>SI</v>
      </c>
      <c r="P1236" s="63" t="str">
        <f>IF($P$1=H1236,"DIASOL", "DIANOSOL")</f>
        <v>DIANOSOL</v>
      </c>
      <c r="Q1236" s="63" t="s">
        <v>151</v>
      </c>
      <c r="R1236" s="63" t="str">
        <f>VLOOKUP($Q1236,Resultados!$A$1:$B$49,2,FALSE)</f>
        <v>Prisión Preventiva</v>
      </c>
      <c r="S1236" s="63"/>
      <c r="T1236" s="72" t="str">
        <f>IF(G1236=$J$1,"SI","NO")</f>
        <v>NO</v>
      </c>
      <c r="U1236" s="72"/>
      <c r="V1236" s="7" t="str">
        <f ca="1">IF(color_Celda(E1236)=12106214,"ROSA",IF(color_Celda(E1236)=65535,"AMARILLO",IF(color_Celda(E1236)=5296274,"VERDE",IF(color_Celda(E1236)=16777215,"BLANCO","NO SE"))))</f>
        <v>ROSA</v>
      </c>
      <c r="W1236" s="336"/>
      <c r="X1236" s="336"/>
      <c r="Y1236" s="336"/>
      <c r="Z1236" s="118" t="s">
        <v>3368</v>
      </c>
      <c r="AA1236" s="336"/>
      <c r="AB1236" s="118" t="s">
        <v>1169</v>
      </c>
      <c r="AC1236" s="336"/>
    </row>
    <row r="1237" spans="1:29" ht="60" customHeight="1">
      <c r="A1237" s="336">
        <v>1206</v>
      </c>
      <c r="B1237" s="349">
        <v>45279</v>
      </c>
      <c r="C1237" s="568">
        <v>0.4770833333333333</v>
      </c>
      <c r="D1237" s="336" t="s">
        <v>3676</v>
      </c>
      <c r="E1237" s="355" t="s">
        <v>3688</v>
      </c>
      <c r="F1237" s="336">
        <v>3</v>
      </c>
      <c r="G1237" s="63" t="s">
        <v>4749</v>
      </c>
      <c r="H1237" s="383">
        <v>45302</v>
      </c>
      <c r="I1237" s="65" t="s">
        <v>76</v>
      </c>
      <c r="J1237" s="65" t="s">
        <v>1220</v>
      </c>
      <c r="K1237" s="63" t="s">
        <v>4057</v>
      </c>
      <c r="L1237" s="63" t="s">
        <v>805</v>
      </c>
      <c r="M1237" s="63" t="s">
        <v>1025</v>
      </c>
      <c r="N1237" s="63" t="s">
        <v>5243</v>
      </c>
      <c r="O1237" s="63" t="str">
        <f ca="1">IF(H1237&lt;&gt;"",IF(H1237&lt;=TODAY(),"SI","NO"),"LIMBO")</f>
        <v>SI</v>
      </c>
      <c r="P1237" s="63" t="str">
        <f>IF($P$1=H1237,"DIASOL", "DIANOSOL")</f>
        <v>DIANOSOL</v>
      </c>
      <c r="Q1237" s="63" t="s">
        <v>151</v>
      </c>
      <c r="R1237" s="63" t="str">
        <f>VLOOKUP($Q1237,Resultados!$A$1:$B$49,2,FALSE)</f>
        <v>Prisión Preventiva</v>
      </c>
      <c r="S1237" s="63"/>
      <c r="T1237" s="72" t="str">
        <f>IF(G1237=$J$1,"SI","NO")</f>
        <v>NO</v>
      </c>
      <c r="U1237" s="72"/>
      <c r="V1237" s="7" t="str">
        <f ca="1">IF(color_Celda(E1237)=12106214,"ROSA",IF(color_Celda(E1237)=65535,"AMARILLO",IF(color_Celda(E1237)=5296274,"VERDE",IF(color_Celda(E1237)=16777215,"BLANCO","NO SE"))))</f>
        <v>ROSA</v>
      </c>
      <c r="W1237" s="336"/>
      <c r="X1237" s="336"/>
      <c r="Y1237" s="336"/>
      <c r="Z1237" s="336"/>
      <c r="AA1237" s="72"/>
      <c r="AB1237" s="336"/>
      <c r="AC1237" s="336"/>
    </row>
    <row r="1238" spans="1:29" ht="60" customHeight="1">
      <c r="A1238" s="336">
        <v>1231</v>
      </c>
      <c r="B1238" s="349">
        <v>45281</v>
      </c>
      <c r="C1238" s="568">
        <v>0.49861111111111112</v>
      </c>
      <c r="D1238" s="63" t="s">
        <v>4849</v>
      </c>
      <c r="E1238" s="355" t="s">
        <v>4848</v>
      </c>
      <c r="F1238" s="336">
        <v>6</v>
      </c>
      <c r="G1238" s="63" t="s">
        <v>3323</v>
      </c>
      <c r="H1238" s="383">
        <v>45302</v>
      </c>
      <c r="I1238" s="65" t="s">
        <v>76</v>
      </c>
      <c r="J1238" s="65" t="s">
        <v>78</v>
      </c>
      <c r="K1238" s="336">
        <f>IFERROR(VLOOKUP(J1238,Jueces!$A$1:$B$11,2,FALSE),"")</f>
        <v>8</v>
      </c>
      <c r="L1238" s="63" t="s">
        <v>582</v>
      </c>
      <c r="M1238" s="339" t="s">
        <v>3381</v>
      </c>
      <c r="N1238" s="205" t="s">
        <v>5244</v>
      </c>
      <c r="O1238" s="63" t="str">
        <f ca="1">IF(H1238&lt;&gt;"",IF(H1238&lt;=TODAY(),"SI","NO"),"LIMBO")</f>
        <v>SI</v>
      </c>
      <c r="P1238" s="63" t="str">
        <f>IF($P$1=H1238,"DIASOL", "DIANOSOL")</f>
        <v>DIANOSOL</v>
      </c>
      <c r="Q1238" s="63" t="s">
        <v>902</v>
      </c>
      <c r="R1238" s="63" t="str">
        <f>VLOOKUP($Q1238,Resultados!$A$1:$B$49,2,FALSE)</f>
        <v>Juicio Abreviado</v>
      </c>
      <c r="S1238" s="63"/>
      <c r="T1238" s="72" t="str">
        <f>IF(G1238=$J$1,"SI","NO")</f>
        <v>NO</v>
      </c>
      <c r="U1238" s="72"/>
      <c r="V1238" s="7" t="str">
        <f ca="1">IF(color_Celda(E1238)=12106214,"ROSA",IF(color_Celda(E1238)=65535,"AMARILLO",IF(color_Celda(E1238)=5296274,"VERDE",IF(color_Celda(E1238)=16777215,"BLANCO","NO SE"))))</f>
        <v>ROSA</v>
      </c>
      <c r="W1238" s="336"/>
      <c r="X1238" s="336"/>
      <c r="Y1238" s="336"/>
      <c r="Z1238" s="336"/>
      <c r="AA1238" s="72"/>
      <c r="AB1238" s="336"/>
      <c r="AC1238" s="336"/>
    </row>
    <row r="1239" spans="1:29" ht="60" customHeight="1">
      <c r="A1239" s="336">
        <v>1235</v>
      </c>
      <c r="B1239" s="349">
        <v>45281</v>
      </c>
      <c r="C1239" s="568">
        <v>0.54166666666666663</v>
      </c>
      <c r="D1239" s="63" t="s">
        <v>4853</v>
      </c>
      <c r="E1239" s="64" t="s">
        <v>4854</v>
      </c>
      <c r="F1239" s="336">
        <v>6</v>
      </c>
      <c r="G1239" s="63" t="s">
        <v>2752</v>
      </c>
      <c r="H1239" s="383">
        <v>45302</v>
      </c>
      <c r="I1239" s="65" t="s">
        <v>76</v>
      </c>
      <c r="J1239" s="65" t="s">
        <v>4746</v>
      </c>
      <c r="K1239" s="63" t="s">
        <v>3776</v>
      </c>
      <c r="L1239" s="63" t="s">
        <v>4790</v>
      </c>
      <c r="M1239" s="63" t="s">
        <v>725</v>
      </c>
      <c r="N1239" s="205" t="s">
        <v>5245</v>
      </c>
      <c r="O1239" s="63" t="str">
        <f ca="1">IF(H1239&lt;&gt;"",IF(H1239&lt;=TODAY(),"SI","NO"),"LIMBO")</f>
        <v>SI</v>
      </c>
      <c r="P1239" s="63" t="str">
        <f>IF($P$1=H1239,"DIASOL", "DIANOSOL")</f>
        <v>DIANOSOL</v>
      </c>
      <c r="Q1239" s="63" t="s">
        <v>902</v>
      </c>
      <c r="R1239" s="63" t="str">
        <f>VLOOKUP($Q1239,Resultados!$A$1:$B$49,2,FALSE)</f>
        <v>Juicio Abreviado</v>
      </c>
      <c r="S1239" s="63"/>
      <c r="T1239" s="72" t="str">
        <f>IF(G1239=$J$1,"SI","NO")</f>
        <v>NO</v>
      </c>
      <c r="U1239" s="72"/>
      <c r="V1239" s="7" t="str">
        <f ca="1">IF(color_Celda(E1239)=12106214,"ROSA",IF(color_Celda(E1239)=65535,"AMARILLO",IF(color_Celda(E1239)=5296274,"VERDE",IF(color_Celda(E1239)=16777215,"BLANCO","NO SE"))))</f>
        <v>ROSA</v>
      </c>
      <c r="W1239" s="336"/>
      <c r="X1239" s="336"/>
      <c r="Y1239" s="336"/>
      <c r="Z1239" s="336"/>
      <c r="AA1239" s="72"/>
      <c r="AB1239" s="336"/>
      <c r="AC1239" s="336"/>
    </row>
    <row r="1240" spans="1:29" ht="60" customHeight="1">
      <c r="A1240" s="336">
        <v>1214</v>
      </c>
      <c r="B1240" s="349">
        <v>45280</v>
      </c>
      <c r="C1240" s="568">
        <v>0.54166666666666663</v>
      </c>
      <c r="D1240" s="63" t="s">
        <v>4814</v>
      </c>
      <c r="E1240" s="64" t="s">
        <v>4815</v>
      </c>
      <c r="F1240" s="336">
        <v>6</v>
      </c>
      <c r="G1240" s="63" t="s">
        <v>568</v>
      </c>
      <c r="H1240" s="383">
        <v>45302</v>
      </c>
      <c r="I1240" s="65" t="s">
        <v>75</v>
      </c>
      <c r="J1240" s="65" t="s">
        <v>1220</v>
      </c>
      <c r="K1240" s="63" t="s">
        <v>4057</v>
      </c>
      <c r="L1240" s="63" t="s">
        <v>4791</v>
      </c>
      <c r="M1240" s="63" t="s">
        <v>725</v>
      </c>
      <c r="N1240" s="205" t="s">
        <v>5235</v>
      </c>
      <c r="O1240" s="63" t="str">
        <f ca="1">IF(H1240&lt;&gt;"",IF(H1240&lt;=TODAY(),"SI","NO"),"LIMBO")</f>
        <v>SI</v>
      </c>
      <c r="P1240" s="63" t="str">
        <f>IF($P$1=H1240,"DIASOL", "DIANOSOL")</f>
        <v>DIANOSOL</v>
      </c>
      <c r="Q1240" s="63" t="s">
        <v>897</v>
      </c>
      <c r="R1240" s="63" t="str">
        <f>VLOOKUP($Q1240,Resultados!$A$1:$B$49,2,FALSE)</f>
        <v>Libertad</v>
      </c>
      <c r="S1240" s="63"/>
      <c r="T1240" s="72" t="str">
        <f>IF(G1240=$J$1,"SI","NO")</f>
        <v>NO</v>
      </c>
      <c r="U1240" s="72"/>
      <c r="V1240" s="7" t="str">
        <f ca="1">IF(color_Celda(E1240)=12106214,"ROSA",IF(color_Celda(E1240)=65535,"AMARILLO",IF(color_Celda(E1240)=5296274,"VERDE",IF(color_Celda(E1240)=16777215,"BLANCO","NO SE"))))</f>
        <v>ROSA</v>
      </c>
      <c r="W1240" s="336"/>
      <c r="X1240" s="336"/>
      <c r="Y1240" s="336"/>
      <c r="Z1240" s="336"/>
      <c r="AA1240" s="72"/>
      <c r="AB1240" s="336"/>
      <c r="AC1240" s="336"/>
    </row>
    <row r="1241" spans="1:29" ht="60" customHeight="1">
      <c r="A1241" s="336">
        <v>1239</v>
      </c>
      <c r="B1241" s="349">
        <v>45282</v>
      </c>
      <c r="C1241" s="568">
        <v>0.42708333333333331</v>
      </c>
      <c r="D1241" s="63" t="s">
        <v>4864</v>
      </c>
      <c r="E1241" s="64" t="s">
        <v>4865</v>
      </c>
      <c r="F1241" s="336">
        <v>7</v>
      </c>
      <c r="G1241" s="336" t="s">
        <v>2753</v>
      </c>
      <c r="H1241" s="383">
        <v>45302</v>
      </c>
      <c r="I1241" s="65" t="s">
        <v>75</v>
      </c>
      <c r="J1241" s="349" t="s">
        <v>78</v>
      </c>
      <c r="K1241" s="336">
        <v>8</v>
      </c>
      <c r="L1241" s="63" t="s">
        <v>4791</v>
      </c>
      <c r="M1241" s="63" t="s">
        <v>767</v>
      </c>
      <c r="N1241" s="205" t="s">
        <v>5271</v>
      </c>
      <c r="O1241" s="78" t="str">
        <f ca="1">IF(H1241&lt;&gt;"",IF(H1241&lt;=TODAY(),"SI","NO"),"LIMBO")</f>
        <v>SI</v>
      </c>
      <c r="P1241" s="78" t="str">
        <f>IF($P$1=H1241,"DIASOL", "DIANOSOL")</f>
        <v>DIANOSOL</v>
      </c>
      <c r="Q1241" s="63" t="s">
        <v>902</v>
      </c>
      <c r="R1241" s="63" t="str">
        <f>VLOOKUP($Q1241,Resultados!$A$1:$B$49,2,FALSE)</f>
        <v>Juicio Abreviado</v>
      </c>
      <c r="S1241" s="63" t="s">
        <v>5269</v>
      </c>
      <c r="T1241" s="81" t="str">
        <f>IF(G1241=$J$1,"SI","NO")</f>
        <v>NO</v>
      </c>
      <c r="U1241" s="81"/>
      <c r="V1241" s="7" t="str">
        <f ca="1">IF(color_Celda(E1241)=12106214,"ROSA",IF(color_Celda(E1241)=65535,"AMARILLO",IF(color_Celda(E1241)=5296274,"VERDE",IF(color_Celda(E1241)=16777215,"BLANCO","NO SE"))))</f>
        <v>ROSA</v>
      </c>
      <c r="W1241" s="63" t="s">
        <v>5270</v>
      </c>
      <c r="X1241" s="336"/>
      <c r="Y1241" s="336"/>
      <c r="Z1241" s="336"/>
      <c r="AA1241" s="336"/>
      <c r="AB1241" s="336"/>
      <c r="AC1241" s="336"/>
    </row>
    <row r="1242" spans="1:29" ht="60" customHeight="1">
      <c r="A1242" s="336">
        <v>1244</v>
      </c>
      <c r="B1242" s="349">
        <v>45282</v>
      </c>
      <c r="C1242" s="568">
        <v>0.54166666666666663</v>
      </c>
      <c r="D1242" s="63" t="s">
        <v>4910</v>
      </c>
      <c r="E1242" s="64" t="s">
        <v>4911</v>
      </c>
      <c r="F1242" s="336">
        <v>6</v>
      </c>
      <c r="G1242" s="336" t="s">
        <v>2815</v>
      </c>
      <c r="H1242" s="208">
        <v>45302</v>
      </c>
      <c r="I1242" s="65" t="s">
        <v>75</v>
      </c>
      <c r="J1242" s="349" t="s">
        <v>4746</v>
      </c>
      <c r="K1242" s="63" t="s">
        <v>1341</v>
      </c>
      <c r="L1242" s="63" t="s">
        <v>4778</v>
      </c>
      <c r="M1242" s="63" t="s">
        <v>723</v>
      </c>
      <c r="N1242" s="205" t="s">
        <v>5246</v>
      </c>
      <c r="O1242" s="63" t="str">
        <f ca="1">IF(H1242&lt;&gt;"",IF(H1242&lt;=TODAY(),"SI","NO"),"LIMBO")</f>
        <v>SI</v>
      </c>
      <c r="P1242" s="63" t="str">
        <f>IF($P$1=H1242,"DIASOL", "DIANOSOL")</f>
        <v>DIANOSOL</v>
      </c>
      <c r="Q1242" s="63" t="s">
        <v>902</v>
      </c>
      <c r="R1242" s="63" t="str">
        <f>VLOOKUP($Q1242,Resultados!$A$1:$B$49,2,FALSE)</f>
        <v>Juicio Abreviado</v>
      </c>
      <c r="S1242" s="63"/>
      <c r="T1242" s="72" t="str">
        <f>IF(G1242=$J$1,"SI","NO")</f>
        <v>NO</v>
      </c>
      <c r="U1242" s="72"/>
      <c r="V1242" s="7" t="str">
        <f ca="1">IF(color_Celda(E1242)=12106214,"ROSA",IF(color_Celda(E1242)=65535,"AMARILLO",IF(color_Celda(E1242)=5296274,"VERDE",IF(color_Celda(E1242)=16777215,"BLANCO","NO SE"))))</f>
        <v>ROSA</v>
      </c>
      <c r="W1242" s="336"/>
      <c r="X1242" s="336"/>
      <c r="Y1242" s="336"/>
      <c r="Z1242" s="336"/>
      <c r="AA1242" s="336"/>
      <c r="AB1242" s="336"/>
      <c r="AC1242" s="336"/>
    </row>
    <row r="1243" spans="1:29" ht="60" customHeight="1">
      <c r="A1243" s="336">
        <v>1216</v>
      </c>
      <c r="B1243" s="65">
        <v>45280</v>
      </c>
      <c r="C1243" s="568">
        <v>0.43055555555555558</v>
      </c>
      <c r="D1243" s="63" t="s">
        <v>4818</v>
      </c>
      <c r="E1243" s="64" t="s">
        <v>4819</v>
      </c>
      <c r="F1243" s="336">
        <v>7</v>
      </c>
      <c r="G1243" s="63" t="s">
        <v>2751</v>
      </c>
      <c r="H1243" s="383">
        <v>45302</v>
      </c>
      <c r="I1243" s="65" t="s">
        <v>77</v>
      </c>
      <c r="J1243" s="65" t="s">
        <v>1220</v>
      </c>
      <c r="K1243" s="63" t="s">
        <v>4057</v>
      </c>
      <c r="L1243" s="63" t="s">
        <v>4791</v>
      </c>
      <c r="M1243" s="63" t="s">
        <v>767</v>
      </c>
      <c r="N1243" s="205" t="s">
        <v>4356</v>
      </c>
      <c r="O1243" s="63" t="str">
        <f ca="1">IF(H1243&lt;&gt;"",IF(H1243&lt;=TODAY(),"SI","NO"),"LIMBO")</f>
        <v>SI</v>
      </c>
      <c r="P1243" s="63" t="str">
        <f>IF($P$1=H1243,"DIASOL", "DIANOSOL")</f>
        <v>DIANOSOL</v>
      </c>
      <c r="Q1243" s="63" t="s">
        <v>151</v>
      </c>
      <c r="R1243" s="63" t="str">
        <f>VLOOKUP($Q1243,Resultados!$A$1:$B$49,2,FALSE)</f>
        <v>Prisión Preventiva</v>
      </c>
      <c r="S1243" s="63"/>
      <c r="T1243" s="72" t="str">
        <f>IF(G1243=$J$1,"SI","NO")</f>
        <v>NO</v>
      </c>
      <c r="U1243" s="72"/>
      <c r="V1243" s="7" t="str">
        <f ca="1">IF(color_Celda(E1243)=12106214,"ROSA",IF(color_Celda(E1243)=65535,"AMARILLO",IF(color_Celda(E1243)=5296274,"VERDE",IF(color_Celda(E1243)=16777215,"BLANCO","NO SE"))))</f>
        <v>ROSA</v>
      </c>
      <c r="W1243" s="336"/>
      <c r="X1243" s="336"/>
      <c r="Y1243" s="336"/>
      <c r="Z1243" s="336"/>
      <c r="AA1243" s="72"/>
      <c r="AB1243" s="336"/>
      <c r="AC1243" s="336"/>
    </row>
    <row r="1244" spans="1:29" ht="60" customHeight="1">
      <c r="A1244" s="336">
        <v>1243</v>
      </c>
      <c r="B1244" s="349">
        <v>45282</v>
      </c>
      <c r="C1244" s="568">
        <v>0.54166666666666663</v>
      </c>
      <c r="D1244" s="63" t="s">
        <v>4908</v>
      </c>
      <c r="E1244" s="64" t="s">
        <v>4909</v>
      </c>
      <c r="F1244" s="336">
        <v>6</v>
      </c>
      <c r="G1244" s="336" t="s">
        <v>3324</v>
      </c>
      <c r="H1244" s="383">
        <v>45302</v>
      </c>
      <c r="I1244" s="65" t="s">
        <v>77</v>
      </c>
      <c r="J1244" s="349" t="s">
        <v>4746</v>
      </c>
      <c r="K1244" s="63" t="s">
        <v>1341</v>
      </c>
      <c r="L1244" s="63" t="s">
        <v>4780</v>
      </c>
      <c r="M1244" s="63" t="s">
        <v>723</v>
      </c>
      <c r="N1244" s="205" t="s">
        <v>5247</v>
      </c>
      <c r="O1244" s="63" t="str">
        <f ca="1">IF(H1244&lt;&gt;"",IF(H1244&lt;=TODAY(),"SI","NO"),"LIMBO")</f>
        <v>SI</v>
      </c>
      <c r="P1244" s="63" t="str">
        <f>IF($P$1=H1244,"DIASOL", "DIANOSOL")</f>
        <v>DIANOSOL</v>
      </c>
      <c r="Q1244" s="63" t="s">
        <v>902</v>
      </c>
      <c r="R1244" s="63" t="str">
        <f>VLOOKUP($Q1244,Resultados!$A$1:$B$49,2,FALSE)</f>
        <v>Juicio Abreviado</v>
      </c>
      <c r="S1244" s="63"/>
      <c r="T1244" s="72" t="str">
        <f>IF(G1244=$J$1,"SI","NO")</f>
        <v>NO</v>
      </c>
      <c r="U1244" s="72"/>
      <c r="V1244" s="7" t="str">
        <f ca="1">IF(color_Celda(E1244)=12106214,"ROSA",IF(color_Celda(E1244)=65535,"AMARILLO",IF(color_Celda(E1244)=5296274,"VERDE",IF(color_Celda(E1244)=16777215,"BLANCO","NO SE"))))</f>
        <v>ROSA</v>
      </c>
      <c r="W1244" s="336"/>
      <c r="X1244" s="336"/>
      <c r="Y1244" s="336"/>
      <c r="Z1244" s="336"/>
      <c r="AA1244" s="336"/>
      <c r="AB1244" s="336"/>
      <c r="AC1244" s="336"/>
    </row>
    <row r="1245" spans="1:29" ht="60" customHeight="1">
      <c r="A1245" s="336">
        <v>1246</v>
      </c>
      <c r="B1245" s="349">
        <v>45282</v>
      </c>
      <c r="C1245" s="568">
        <v>0.47152777777777777</v>
      </c>
      <c r="D1245" s="63" t="s">
        <v>4914</v>
      </c>
      <c r="E1245" s="355" t="s">
        <v>4915</v>
      </c>
      <c r="F1245" s="336">
        <v>7</v>
      </c>
      <c r="G1245" s="336" t="s">
        <v>4749</v>
      </c>
      <c r="H1245" s="208">
        <v>45302</v>
      </c>
      <c r="I1245" s="65" t="s">
        <v>228</v>
      </c>
      <c r="J1245" s="349" t="s">
        <v>78</v>
      </c>
      <c r="K1245" s="336">
        <f>IFERROR(VLOOKUP(J1245,Jueces!$A$1:$B$11,2,FALSE),"")</f>
        <v>8</v>
      </c>
      <c r="L1245" s="63" t="s">
        <v>4790</v>
      </c>
      <c r="M1245" s="63" t="s">
        <v>767</v>
      </c>
      <c r="N1245" s="63" t="s">
        <v>5248</v>
      </c>
      <c r="O1245" s="63" t="str">
        <f ca="1">IF(H1245&lt;&gt;"",IF(H1245&lt;=TODAY(),"SI","NO"),"LIMBO")</f>
        <v>SI</v>
      </c>
      <c r="P1245" s="63" t="str">
        <f>IF($P$1=H1245,"DIASOL", "DIANOSOL")</f>
        <v>DIANOSOL</v>
      </c>
      <c r="Q1245" s="63" t="s">
        <v>902</v>
      </c>
      <c r="R1245" s="63" t="str">
        <f>VLOOKUP($Q1245,Resultados!$A$1:$B$49,2,FALSE)</f>
        <v>Juicio Abreviado</v>
      </c>
      <c r="S1245" s="63"/>
      <c r="T1245" s="72" t="str">
        <f>IF(G1245=$J$1,"SI","NO")</f>
        <v>NO</v>
      </c>
      <c r="U1245" s="72"/>
      <c r="V1245" s="7" t="str">
        <f ca="1">IF(color_Celda(E1245)=12106214,"ROSA",IF(color_Celda(E1245)=65535,"AMARILLO",IF(color_Celda(E1245)=5296274,"VERDE",IF(color_Celda(E1245)=16777215,"BLANCO","NO SE"))))</f>
        <v>ROSA</v>
      </c>
      <c r="W1245" s="336"/>
      <c r="X1245" s="336"/>
      <c r="Y1245" s="336"/>
      <c r="Z1245" s="336"/>
      <c r="AA1245" s="336"/>
      <c r="AB1245" s="336"/>
      <c r="AC1245" s="336"/>
    </row>
    <row r="1246" spans="1:29" ht="60" customHeight="1">
      <c r="A1246" s="336">
        <v>1225</v>
      </c>
      <c r="B1246" s="349">
        <v>45281</v>
      </c>
      <c r="C1246" s="568">
        <v>0.39583333333333331</v>
      </c>
      <c r="D1246" s="63" t="s">
        <v>4837</v>
      </c>
      <c r="E1246" s="64" t="s">
        <v>4838</v>
      </c>
      <c r="F1246" s="336">
        <v>5</v>
      </c>
      <c r="G1246" s="336" t="s">
        <v>568</v>
      </c>
      <c r="H1246" s="383">
        <v>45303</v>
      </c>
      <c r="I1246" s="65" t="s">
        <v>76</v>
      </c>
      <c r="J1246" s="349" t="s">
        <v>78</v>
      </c>
      <c r="K1246" s="336">
        <f>IFERROR(VLOOKUP(J1246,Jueces!$A$1:$B$11,2,FALSE),"")</f>
        <v>8</v>
      </c>
      <c r="L1246" s="63" t="s">
        <v>4767</v>
      </c>
      <c r="M1246" s="63" t="s">
        <v>2201</v>
      </c>
      <c r="N1246" s="205" t="s">
        <v>5346</v>
      </c>
      <c r="O1246" s="78" t="str">
        <f ca="1">IF(H1246&lt;&gt;"",IF(H1246&lt;=TODAY(),"SI","NO"),"LIMBO")</f>
        <v>SI</v>
      </c>
      <c r="P1246" s="78" t="str">
        <f>IF($P$1=H1246,"DIASOL", "DIANOSOL")</f>
        <v>DIANOSOL</v>
      </c>
      <c r="Q1246" s="63" t="s">
        <v>910</v>
      </c>
      <c r="R1246" s="63" t="str">
        <f>VLOOKUP($Q1246,Resultados!$A$1:$B$49,2,FALSE)</f>
        <v>Suspendida</v>
      </c>
      <c r="S1246" s="63" t="s">
        <v>76</v>
      </c>
      <c r="T1246" s="81" t="str">
        <f>IF(G1246=$J$1,"SI","NO")</f>
        <v>NO</v>
      </c>
      <c r="U1246" s="81"/>
      <c r="V1246" s="7" t="str">
        <f ca="1">IF(color_Celda(E1246)=12106214,"ROSA",IF(color_Celda(E1246)=65535,"AMARILLO",IF(color_Celda(E1246)=5296274,"VERDE",IF(color_Celda(E1246)=16777215,"BLANCO","NO SE"))))</f>
        <v>ROSA</v>
      </c>
      <c r="W1246" s="63" t="s">
        <v>1450</v>
      </c>
      <c r="X1246" s="536" t="s">
        <v>5326</v>
      </c>
      <c r="Y1246" s="336"/>
      <c r="Z1246" s="118" t="s">
        <v>748</v>
      </c>
      <c r="AA1246" s="336"/>
      <c r="AB1246" s="118" t="s">
        <v>1169</v>
      </c>
      <c r="AC1246" s="336"/>
    </row>
    <row r="1247" spans="1:29" ht="60" customHeight="1">
      <c r="A1247" s="336">
        <v>1236</v>
      </c>
      <c r="B1247" s="349">
        <v>45282</v>
      </c>
      <c r="C1247" s="568">
        <v>0.33333333333333331</v>
      </c>
      <c r="D1247" s="63" t="s">
        <v>4855</v>
      </c>
      <c r="E1247" s="64" t="s">
        <v>4856</v>
      </c>
      <c r="F1247" s="336">
        <v>7</v>
      </c>
      <c r="G1247" s="336" t="s">
        <v>2753</v>
      </c>
      <c r="H1247" s="383">
        <v>45303</v>
      </c>
      <c r="I1247" s="65" t="s">
        <v>76</v>
      </c>
      <c r="J1247" s="349" t="s">
        <v>4746</v>
      </c>
      <c r="K1247" s="63" t="s">
        <v>1341</v>
      </c>
      <c r="L1247" s="63" t="s">
        <v>802</v>
      </c>
      <c r="M1247" s="63" t="s">
        <v>767</v>
      </c>
      <c r="N1247" s="205" t="s">
        <v>1744</v>
      </c>
      <c r="O1247" s="78" t="str">
        <f ca="1">IF(H1247&lt;&gt;"",IF(H1247&lt;=TODAY(),"SI","NO"),"LIMBO")</f>
        <v>SI</v>
      </c>
      <c r="P1247" s="78" t="str">
        <f>IF($P$1=H1247,"DIASOL", "DIANOSOL")</f>
        <v>DIANOSOL</v>
      </c>
      <c r="Q1247" s="63" t="s">
        <v>151</v>
      </c>
      <c r="R1247" s="63" t="str">
        <f>VLOOKUP($Q1247,Resultados!$A$1:$B$49,2,FALSE)</f>
        <v>Prisión Preventiva</v>
      </c>
      <c r="S1247" s="63" t="s">
        <v>1570</v>
      </c>
      <c r="T1247" s="81" t="str">
        <f>IF(G1247=$J$1,"SI","NO")</f>
        <v>NO</v>
      </c>
      <c r="U1247" s="81"/>
      <c r="V1247" s="7" t="str">
        <f ca="1">IF(color_Celda(E1247)=12106214,"ROSA",IF(color_Celda(E1247)=65535,"AMARILLO",IF(color_Celda(E1247)=5296274,"VERDE",IF(color_Celda(E1247)=16777215,"BLANCO","NO SE"))))</f>
        <v>ROSA</v>
      </c>
      <c r="W1247" s="63" t="s">
        <v>1737</v>
      </c>
      <c r="X1247" s="336"/>
      <c r="Y1247" s="336"/>
      <c r="Z1247" s="118" t="s">
        <v>1039</v>
      </c>
      <c r="AA1247" s="336"/>
      <c r="AB1247" s="118" t="s">
        <v>1173</v>
      </c>
      <c r="AC1247" s="336"/>
    </row>
    <row r="1248" spans="1:29" ht="60" customHeight="1">
      <c r="A1248" s="336">
        <v>1237</v>
      </c>
      <c r="B1248" s="349">
        <v>45282</v>
      </c>
      <c r="C1248" s="568">
        <v>0.3888888888888889</v>
      </c>
      <c r="D1248" s="63" t="s">
        <v>4857</v>
      </c>
      <c r="E1248" s="64" t="s">
        <v>4858</v>
      </c>
      <c r="F1248" s="336">
        <v>5</v>
      </c>
      <c r="G1248" s="336" t="s">
        <v>3323</v>
      </c>
      <c r="H1248" s="383">
        <v>45303</v>
      </c>
      <c r="I1248" s="65" t="s">
        <v>76</v>
      </c>
      <c r="J1248" s="349" t="s">
        <v>1220</v>
      </c>
      <c r="K1248" s="63" t="s">
        <v>4118</v>
      </c>
      <c r="L1248" s="63" t="s">
        <v>582</v>
      </c>
      <c r="M1248" s="335" t="s">
        <v>4859</v>
      </c>
      <c r="N1248" s="205" t="s">
        <v>5325</v>
      </c>
      <c r="O1248" s="78" t="str">
        <f ca="1">IF(H1248&lt;&gt;"",IF(H1248&lt;=TODAY(),"SI","NO"),"LIMBO")</f>
        <v>SI</v>
      </c>
      <c r="P1248" s="78" t="str">
        <f>IF($P$1=H1248,"DIASOL", "DIANOSOL")</f>
        <v>DIANOSOL</v>
      </c>
      <c r="Q1248" s="63" t="s">
        <v>902</v>
      </c>
      <c r="R1248" s="63" t="str">
        <f>VLOOKUP($Q1248,Resultados!$A$1:$B$49,2,FALSE)</f>
        <v>Juicio Abreviado</v>
      </c>
      <c r="S1248" s="63" t="s">
        <v>1081</v>
      </c>
      <c r="T1248" s="81" t="str">
        <f>IF(G1248=$J$1,"SI","NO")</f>
        <v>NO</v>
      </c>
      <c r="U1248" s="81"/>
      <c r="V1248" s="7" t="str">
        <f ca="1">IF(color_Celda(E1248)=12106214,"ROSA",IF(color_Celda(E1248)=65535,"AMARILLO",IF(color_Celda(E1248)=5296274,"VERDE",IF(color_Celda(E1248)=16777215,"BLANCO","NO SE"))))</f>
        <v>ROSA</v>
      </c>
      <c r="W1248" s="63" t="s">
        <v>2878</v>
      </c>
      <c r="X1248" s="63" t="s">
        <v>4170</v>
      </c>
      <c r="Y1248" s="336"/>
      <c r="Z1248" s="118" t="s">
        <v>3368</v>
      </c>
      <c r="AA1248" s="336"/>
      <c r="AB1248" s="118" t="s">
        <v>1169</v>
      </c>
      <c r="AC1248" s="336"/>
    </row>
    <row r="1249" spans="1:29" ht="60" customHeight="1">
      <c r="A1249" s="336">
        <v>1245</v>
      </c>
      <c r="B1249" s="349">
        <v>45282</v>
      </c>
      <c r="C1249" s="568">
        <v>0.47152777777777777</v>
      </c>
      <c r="D1249" s="63" t="s">
        <v>4913</v>
      </c>
      <c r="E1249" s="355" t="s">
        <v>4912</v>
      </c>
      <c r="F1249" s="336">
        <v>7</v>
      </c>
      <c r="G1249" s="336" t="s">
        <v>2751</v>
      </c>
      <c r="H1249" s="383">
        <v>45303</v>
      </c>
      <c r="I1249" s="65" t="s">
        <v>75</v>
      </c>
      <c r="J1249" s="349" t="s">
        <v>78</v>
      </c>
      <c r="K1249" s="336">
        <f>IFERROR(VLOOKUP(J1249,Jueces!$A$1:$B$11,2,FALSE),"")</f>
        <v>8</v>
      </c>
      <c r="L1249" s="63" t="s">
        <v>4789</v>
      </c>
      <c r="M1249" s="63" t="s">
        <v>723</v>
      </c>
      <c r="N1249" s="205" t="s">
        <v>5321</v>
      </c>
      <c r="O1249" s="78" t="str">
        <f ca="1">IF(H1249&lt;&gt;"",IF(H1249&lt;=TODAY(),"SI","NO"),"LIMBO")</f>
        <v>SI</v>
      </c>
      <c r="P1249" s="78" t="str">
        <f>IF($P$1=H1249,"DIASOL", "DIANOSOL")</f>
        <v>DIANOSOL</v>
      </c>
      <c r="Q1249" s="63" t="s">
        <v>902</v>
      </c>
      <c r="R1249" s="63" t="str">
        <f>VLOOKUP($Q1249,Resultados!$A$1:$B$49,2,FALSE)</f>
        <v>Juicio Abreviado</v>
      </c>
      <c r="S1249" s="63" t="s">
        <v>3466</v>
      </c>
      <c r="T1249" s="81" t="str">
        <f>IF(G1249=$J$1,"SI","NO")</f>
        <v>NO</v>
      </c>
      <c r="U1249" s="81"/>
      <c r="V1249" s="7" t="str">
        <f ca="1">IF(color_Celda(E1249)=12106214,"ROSA",IF(color_Celda(E1249)=65535,"AMARILLO",IF(color_Celda(E1249)=5296274,"VERDE",IF(color_Celda(E1249)=16777215,"BLANCO","NO SE"))))</f>
        <v>ROSA</v>
      </c>
      <c r="W1249" s="63" t="s">
        <v>4176</v>
      </c>
      <c r="X1249" s="63" t="s">
        <v>5322</v>
      </c>
      <c r="Y1249" s="336"/>
      <c r="Z1249" s="118" t="s">
        <v>748</v>
      </c>
      <c r="AA1249" s="336"/>
      <c r="AB1249" s="118" t="s">
        <v>5272</v>
      </c>
      <c r="AC1249" s="336"/>
    </row>
    <row r="1250" spans="1:29" ht="60" customHeight="1">
      <c r="A1250" s="336">
        <v>1249</v>
      </c>
      <c r="B1250" s="349">
        <v>45282</v>
      </c>
      <c r="C1250" s="568">
        <v>0.4916666666666667</v>
      </c>
      <c r="D1250" s="63" t="s">
        <v>4921</v>
      </c>
      <c r="E1250" s="355" t="s">
        <v>4920</v>
      </c>
      <c r="F1250" s="336">
        <v>7</v>
      </c>
      <c r="G1250" s="336" t="s">
        <v>3324</v>
      </c>
      <c r="H1250" s="383">
        <v>45303</v>
      </c>
      <c r="I1250" s="65" t="s">
        <v>75</v>
      </c>
      <c r="J1250" s="349" t="s">
        <v>4746</v>
      </c>
      <c r="K1250" s="63" t="s">
        <v>1341</v>
      </c>
      <c r="L1250" s="63" t="s">
        <v>805</v>
      </c>
      <c r="M1250" s="63" t="s">
        <v>767</v>
      </c>
      <c r="N1250" s="205" t="s">
        <v>2832</v>
      </c>
      <c r="O1250" s="78" t="str">
        <f ca="1">IF(H1250&lt;&gt;"",IF(H1250&lt;=TODAY(),"SI","NO"),"LIMBO")</f>
        <v>SI</v>
      </c>
      <c r="P1250" s="78" t="str">
        <f>IF($P$1=H1250,"DIASOL", "DIANOSOL")</f>
        <v>DIANOSOL</v>
      </c>
      <c r="Q1250" s="63" t="s">
        <v>902</v>
      </c>
      <c r="R1250" s="63" t="str">
        <f>VLOOKUP($Q1250,Resultados!$A$1:$B$49,2,FALSE)</f>
        <v>Juicio Abreviado</v>
      </c>
      <c r="S1250" s="63" t="s">
        <v>3161</v>
      </c>
      <c r="T1250" s="81" t="str">
        <f>IF(G1250=$J$1,"SI","NO")</f>
        <v>NO</v>
      </c>
      <c r="U1250" s="81"/>
      <c r="V1250" s="7" t="str">
        <f ca="1">IF(color_Celda(E1250)=12106214,"ROSA",IF(color_Celda(E1250)=65535,"AMARILLO",IF(color_Celda(E1250)=5296274,"VERDE",IF(color_Celda(E1250)=16777215,"BLANCO","NO SE"))))</f>
        <v>ROSA</v>
      </c>
      <c r="W1250" s="63" t="s">
        <v>4388</v>
      </c>
      <c r="X1250" s="63" t="s">
        <v>5323</v>
      </c>
      <c r="Y1250" s="336"/>
      <c r="Z1250" s="118" t="s">
        <v>5194</v>
      </c>
      <c r="AA1250" s="336"/>
      <c r="AB1250" s="118" t="s">
        <v>1169</v>
      </c>
      <c r="AC1250" s="336"/>
    </row>
    <row r="1251" spans="1:29" ht="60" customHeight="1">
      <c r="A1251" s="336">
        <v>1258</v>
      </c>
      <c r="B1251" s="349">
        <v>45287</v>
      </c>
      <c r="C1251" s="568">
        <v>0.44097222222222227</v>
      </c>
      <c r="D1251" s="63" t="s">
        <v>4945</v>
      </c>
      <c r="E1251" s="64" t="s">
        <v>4946</v>
      </c>
      <c r="F1251" s="336">
        <v>7</v>
      </c>
      <c r="G1251" s="336" t="s">
        <v>4749</v>
      </c>
      <c r="H1251" s="383">
        <v>45303</v>
      </c>
      <c r="I1251" s="65" t="s">
        <v>75</v>
      </c>
      <c r="J1251" s="349" t="s">
        <v>1220</v>
      </c>
      <c r="K1251" s="63" t="s">
        <v>4118</v>
      </c>
      <c r="L1251" s="63" t="s">
        <v>569</v>
      </c>
      <c r="M1251" s="63" t="s">
        <v>693</v>
      </c>
      <c r="N1251" s="205" t="s">
        <v>2841</v>
      </c>
      <c r="O1251" s="78" t="str">
        <f ca="1">IF(H1251&lt;&gt;"",IF(H1251&lt;=TODAY(),"SI","NO"),"LIMBO")</f>
        <v>SI</v>
      </c>
      <c r="P1251" s="78" t="str">
        <f>IF($P$1=H1251,"DIASOL", "DIANOSOL")</f>
        <v>DIANOSOL</v>
      </c>
      <c r="Q1251" s="63" t="s">
        <v>903</v>
      </c>
      <c r="R1251" s="63" t="str">
        <f>VLOOKUP($Q1251,Resultados!$A$1:$B$49,2,FALSE)</f>
        <v>Juicio Abreviado</v>
      </c>
      <c r="S1251" s="63" t="s">
        <v>1270</v>
      </c>
      <c r="T1251" s="81" t="str">
        <f>IF(G1251=$J$1,"SI","NO")</f>
        <v>NO</v>
      </c>
      <c r="U1251" s="81"/>
      <c r="V1251" s="7" t="str">
        <f ca="1">IF(color_Celda(E1251)=12106214,"ROSA",IF(color_Celda(E1251)=65535,"AMARILLO",IF(color_Celda(E1251)=5296274,"VERDE",IF(color_Celda(E1251)=16777215,"BLANCO","NO SE"))))</f>
        <v>ROSA</v>
      </c>
      <c r="W1251" s="63" t="s">
        <v>3466</v>
      </c>
      <c r="X1251" s="63" t="s">
        <v>5324</v>
      </c>
      <c r="Y1251" s="336"/>
      <c r="Z1251" s="118" t="s">
        <v>3368</v>
      </c>
      <c r="AA1251" s="336"/>
      <c r="AB1251" s="118" t="s">
        <v>1173</v>
      </c>
      <c r="AC1251" s="336"/>
    </row>
    <row r="1252" spans="1:29" ht="60" customHeight="1">
      <c r="A1252" s="336">
        <v>1208</v>
      </c>
      <c r="B1252" s="349">
        <v>45280</v>
      </c>
      <c r="C1252" s="568">
        <v>0.54166666666666663</v>
      </c>
      <c r="D1252" s="325" t="s">
        <v>4802</v>
      </c>
      <c r="E1252" s="64" t="s">
        <v>4803</v>
      </c>
      <c r="F1252" s="336">
        <v>6</v>
      </c>
      <c r="G1252" s="63" t="s">
        <v>568</v>
      </c>
      <c r="H1252" s="383">
        <v>45303</v>
      </c>
      <c r="I1252" s="65" t="s">
        <v>77</v>
      </c>
      <c r="J1252" s="65" t="s">
        <v>1220</v>
      </c>
      <c r="K1252" s="63" t="s">
        <v>4118</v>
      </c>
      <c r="L1252" s="63" t="s">
        <v>4777</v>
      </c>
      <c r="M1252" s="63" t="s">
        <v>723</v>
      </c>
      <c r="N1252" s="63" t="s">
        <v>5318</v>
      </c>
      <c r="O1252" s="78" t="str">
        <f ca="1">IF(H1252&lt;&gt;"",IF(H1252&lt;=TODAY(),"SI","NO"),"LIMBO")</f>
        <v>SI</v>
      </c>
      <c r="P1252" s="78" t="str">
        <f>IF($P$1=H1252,"DIASOL", "DIANOSOL")</f>
        <v>DIANOSOL</v>
      </c>
      <c r="Q1252" s="63" t="s">
        <v>902</v>
      </c>
      <c r="R1252" s="63" t="str">
        <f>VLOOKUP($Q1252,Resultados!$A$1:$B$49,2,FALSE)</f>
        <v>Juicio Abreviado</v>
      </c>
      <c r="S1252" s="63" t="s">
        <v>3764</v>
      </c>
      <c r="T1252" s="81" t="str">
        <f>IF(G1252=$J$1,"SI","NO")</f>
        <v>NO</v>
      </c>
      <c r="U1252" s="81"/>
      <c r="V1252" s="7" t="str">
        <f ca="1">IF(color_Celda(E1252)=12106214,"ROSA",IF(color_Celda(E1252)=65535,"AMARILLO",IF(color_Celda(E1252)=5296274,"VERDE",IF(color_Celda(E1252)=16777215,"BLANCO","NO SE"))))</f>
        <v>ROSA</v>
      </c>
      <c r="W1252" s="63" t="s">
        <v>1633</v>
      </c>
      <c r="X1252" s="392"/>
      <c r="Y1252" s="336"/>
      <c r="Z1252" s="118" t="s">
        <v>3368</v>
      </c>
      <c r="AA1252" s="72"/>
      <c r="AB1252" s="118" t="s">
        <v>1169</v>
      </c>
      <c r="AC1252" s="336" t="s">
        <v>1792</v>
      </c>
    </row>
    <row r="1253" spans="1:29" ht="60" customHeight="1">
      <c r="A1253" s="336">
        <v>1247</v>
      </c>
      <c r="B1253" s="349">
        <v>45282</v>
      </c>
      <c r="C1253" s="568">
        <v>0.45902777777777781</v>
      </c>
      <c r="D1253" s="63" t="s">
        <v>4916</v>
      </c>
      <c r="E1253" s="64" t="s">
        <v>4917</v>
      </c>
      <c r="F1253" s="336">
        <v>7</v>
      </c>
      <c r="G1253" s="336" t="s">
        <v>2753</v>
      </c>
      <c r="H1253" s="383">
        <v>45303</v>
      </c>
      <c r="I1253" s="65" t="s">
        <v>77</v>
      </c>
      <c r="J1253" s="349" t="s">
        <v>4746</v>
      </c>
      <c r="K1253" s="63" t="s">
        <v>1341</v>
      </c>
      <c r="L1253" s="63" t="s">
        <v>4788</v>
      </c>
      <c r="M1253" s="63" t="s">
        <v>767</v>
      </c>
      <c r="N1253" s="205" t="s">
        <v>5320</v>
      </c>
      <c r="O1253" s="78" t="str">
        <f ca="1">IF(H1253&lt;&gt;"",IF(H1253&lt;=TODAY(),"SI","NO"),"LIMBO")</f>
        <v>SI</v>
      </c>
      <c r="P1253" s="78" t="str">
        <f>IF($P$1=H1253,"DIASOL", "DIANOSOL")</f>
        <v>DIANOSOL</v>
      </c>
      <c r="Q1253" s="63" t="s">
        <v>902</v>
      </c>
      <c r="R1253" s="63" t="str">
        <f>VLOOKUP($Q1253,Resultados!$A$1:$B$49,2,FALSE)</f>
        <v>Juicio Abreviado</v>
      </c>
      <c r="S1253" s="63" t="s">
        <v>3224</v>
      </c>
      <c r="T1253" s="81" t="str">
        <f>IF(G1253=$J$1,"SI","NO")</f>
        <v>NO</v>
      </c>
      <c r="U1253" s="81"/>
      <c r="V1253" s="7" t="str">
        <f ca="1">IF(color_Celda(E1253)=12106214,"ROSA",IF(color_Celda(E1253)=65535,"AMARILLO",IF(color_Celda(E1253)=5296274,"VERDE",IF(color_Celda(E1253)=16777215,"BLANCO","NO SE"))))</f>
        <v>ROSA</v>
      </c>
      <c r="W1253" s="568">
        <v>0.49791666666666662</v>
      </c>
      <c r="X1253" s="536" t="s">
        <v>5319</v>
      </c>
      <c r="Y1253" s="336"/>
      <c r="Z1253" s="118" t="s">
        <v>5194</v>
      </c>
      <c r="AA1253" s="336"/>
      <c r="AB1253" s="118" t="s">
        <v>1169</v>
      </c>
      <c r="AC1253" s="336"/>
    </row>
    <row r="1254" spans="1:29" ht="60" customHeight="1">
      <c r="A1254" s="336">
        <v>1259</v>
      </c>
      <c r="B1254" s="349">
        <v>45286</v>
      </c>
      <c r="C1254" s="568">
        <v>0.43055555555555558</v>
      </c>
      <c r="D1254" s="63" t="s">
        <v>4927</v>
      </c>
      <c r="E1254" s="64" t="s">
        <v>4928</v>
      </c>
      <c r="F1254" s="336">
        <v>7</v>
      </c>
      <c r="G1254" s="336" t="s">
        <v>2815</v>
      </c>
      <c r="H1254" s="383">
        <v>45303</v>
      </c>
      <c r="I1254" s="65" t="s">
        <v>77</v>
      </c>
      <c r="J1254" s="349" t="s">
        <v>78</v>
      </c>
      <c r="K1254" s="336">
        <f>IFERROR(VLOOKUP(J1254,Jueces!$A$1:$B$11,2,FALSE),"")</f>
        <v>8</v>
      </c>
      <c r="L1254" s="63" t="s">
        <v>2092</v>
      </c>
      <c r="M1254" s="335" t="s">
        <v>4929</v>
      </c>
      <c r="N1254" s="205" t="s">
        <v>1744</v>
      </c>
      <c r="O1254" s="78" t="str">
        <f ca="1">IF(H1254&lt;&gt;"",IF(H1254&lt;=TODAY(),"SI","NO"),"LIMBO")</f>
        <v>SI</v>
      </c>
      <c r="P1254" s="78" t="str">
        <f>IF($P$1=H1254,"DIASOL", "DIANOSOL")</f>
        <v>DIANOSOL</v>
      </c>
      <c r="Q1254" s="63" t="s">
        <v>151</v>
      </c>
      <c r="R1254" s="63" t="str">
        <f>VLOOKUP($Q1254,Resultados!$A$1:$B$49,2,FALSE)</f>
        <v>Prisión Preventiva</v>
      </c>
      <c r="S1254" s="63" t="s">
        <v>5313</v>
      </c>
      <c r="T1254" s="81" t="str">
        <f>IF(G1254=$J$1,"SI","NO")</f>
        <v>NO</v>
      </c>
      <c r="U1254" s="81"/>
      <c r="V1254" s="7" t="str">
        <f ca="1">IF(color_Celda(E1254)=12106214,"ROSA",IF(color_Celda(E1254)=65535,"AMARILLO",IF(color_Celda(E1254)=5296274,"VERDE",IF(color_Celda(E1254)=16777215,"BLANCO","NO SE"))))</f>
        <v>ROSA</v>
      </c>
      <c r="W1254" s="63" t="s">
        <v>5314</v>
      </c>
      <c r="X1254" s="63" t="s">
        <v>5315</v>
      </c>
      <c r="Y1254" s="336"/>
      <c r="Z1254" s="118" t="s">
        <v>748</v>
      </c>
      <c r="AA1254" s="336"/>
      <c r="AB1254" s="118" t="s">
        <v>1173</v>
      </c>
      <c r="AC1254" s="336"/>
    </row>
    <row r="1255" spans="1:29" ht="60" customHeight="1">
      <c r="A1255" s="336">
        <v>1251</v>
      </c>
      <c r="B1255" s="65">
        <v>45286</v>
      </c>
      <c r="C1255" s="568">
        <v>0.42430555555555555</v>
      </c>
      <c r="D1255" s="63" t="s">
        <v>4925</v>
      </c>
      <c r="E1255" s="64" t="s">
        <v>4924</v>
      </c>
      <c r="F1255" s="336">
        <v>7</v>
      </c>
      <c r="G1255" s="336" t="s">
        <v>2752</v>
      </c>
      <c r="H1255" s="383">
        <v>45303</v>
      </c>
      <c r="I1255" s="65" t="s">
        <v>228</v>
      </c>
      <c r="J1255" s="349" t="s">
        <v>1220</v>
      </c>
      <c r="K1255" s="63" t="s">
        <v>4118</v>
      </c>
      <c r="L1255" s="63" t="s">
        <v>4781</v>
      </c>
      <c r="M1255" s="63" t="s">
        <v>767</v>
      </c>
      <c r="N1255" s="205" t="s">
        <v>2243</v>
      </c>
      <c r="O1255" s="78" t="str">
        <f ca="1">IF(H1255&lt;&gt;"",IF(H1255&lt;=TODAY(),"SI","NO"),"LIMBO")</f>
        <v>SI</v>
      </c>
      <c r="P1255" s="78" t="str">
        <f>IF($P$1=H1255,"DIASOL", "DIANOSOL")</f>
        <v>DIANOSOL</v>
      </c>
      <c r="Q1255" s="63" t="s">
        <v>897</v>
      </c>
      <c r="R1255" s="63" t="str">
        <f>VLOOKUP($Q1255,Resultados!$A$1:$B$49,2,FALSE)</f>
        <v>Libertad</v>
      </c>
      <c r="S1255" s="63" t="s">
        <v>4390</v>
      </c>
      <c r="T1255" s="81" t="str">
        <f>IF(G1255=$J$1,"SI","NO")</f>
        <v>NO</v>
      </c>
      <c r="U1255" s="81"/>
      <c r="V1255" s="7" t="str">
        <f ca="1">IF(color_Celda(E1255)=12106214,"ROSA",IF(color_Celda(E1255)=65535,"AMARILLO",IF(color_Celda(E1255)=5296274,"VERDE",IF(color_Celda(E1255)=16777215,"BLANCO","NO SE"))))</f>
        <v>ROSA</v>
      </c>
      <c r="W1255" s="63" t="s">
        <v>5316</v>
      </c>
      <c r="X1255" s="63" t="s">
        <v>5317</v>
      </c>
      <c r="Y1255" s="336"/>
      <c r="Z1255" s="118" t="s">
        <v>3368</v>
      </c>
      <c r="AA1255" s="336"/>
      <c r="AB1255" s="118" t="s">
        <v>1173</v>
      </c>
      <c r="AC1255" s="336"/>
    </row>
    <row r="1256" spans="1:29" s="403" customFormat="1" ht="60" customHeight="1">
      <c r="A1256" s="336">
        <v>1238</v>
      </c>
      <c r="B1256" s="349">
        <v>45282</v>
      </c>
      <c r="C1256" s="568">
        <v>0.3888888888888889</v>
      </c>
      <c r="D1256" s="63" t="s">
        <v>4860</v>
      </c>
      <c r="E1256" s="64" t="s">
        <v>4861</v>
      </c>
      <c r="F1256" s="336">
        <v>5</v>
      </c>
      <c r="G1256" s="63" t="s">
        <v>568</v>
      </c>
      <c r="H1256" s="383">
        <v>45306</v>
      </c>
      <c r="I1256" s="65" t="s">
        <v>76</v>
      </c>
      <c r="J1256" s="349" t="s">
        <v>1220</v>
      </c>
      <c r="K1256" s="63" t="s">
        <v>4118</v>
      </c>
      <c r="L1256" s="63" t="s">
        <v>4790</v>
      </c>
      <c r="M1256" s="63" t="s">
        <v>725</v>
      </c>
      <c r="N1256" s="205" t="s">
        <v>2844</v>
      </c>
      <c r="O1256" s="78" t="str">
        <f ca="1">IF(H1256&lt;&gt;"",IF(H1256&lt;=TODAY(),"SI","NO"),"LIMBO")</f>
        <v>SI</v>
      </c>
      <c r="P1256" s="78" t="str">
        <f>IF($P$1=H1256,"DIASOL", "DIANOSOL")</f>
        <v>DIANOSOL</v>
      </c>
      <c r="Q1256" s="63" t="s">
        <v>902</v>
      </c>
      <c r="R1256" s="63" t="str">
        <f>VLOOKUP($Q1256,Resultados!$A$1:$B$49,2,FALSE)</f>
        <v>Juicio Abreviado</v>
      </c>
      <c r="S1256" s="63" t="s">
        <v>1127</v>
      </c>
      <c r="T1256" s="81" t="str">
        <f>IF(G1256=$J$1,"SI","NO")</f>
        <v>NO</v>
      </c>
      <c r="U1256" s="81"/>
      <c r="V1256" s="7" t="str">
        <f ca="1">IF(color_Celda(E1256)=12106214,"ROSA",IF(color_Celda(E1256)=65535,"AMARILLO",IF(color_Celda(E1256)=5296274,"VERDE",IF(color_Celda(E1256)=16777215,"BLANCO","NO SE"))))</f>
        <v>ROSA</v>
      </c>
      <c r="W1256" s="63" t="s">
        <v>1502</v>
      </c>
      <c r="X1256" s="63" t="s">
        <v>1883</v>
      </c>
      <c r="Y1256" s="336"/>
      <c r="Z1256" s="336"/>
      <c r="AA1256" s="336"/>
      <c r="AB1256" s="336"/>
      <c r="AC1256" s="336"/>
    </row>
    <row r="1257" spans="1:29" ht="60" customHeight="1">
      <c r="A1257" s="336">
        <v>1262</v>
      </c>
      <c r="B1257" s="349">
        <v>45287</v>
      </c>
      <c r="C1257" s="568">
        <v>0.45833333333333331</v>
      </c>
      <c r="D1257" s="63" t="s">
        <v>4949</v>
      </c>
      <c r="E1257" s="64" t="s">
        <v>4950</v>
      </c>
      <c r="F1257" s="336">
        <v>7</v>
      </c>
      <c r="G1257" s="336" t="s">
        <v>2753</v>
      </c>
      <c r="H1257" s="383">
        <v>45306</v>
      </c>
      <c r="I1257" s="65" t="s">
        <v>76</v>
      </c>
      <c r="J1257" s="349" t="s">
        <v>4746</v>
      </c>
      <c r="K1257" s="63" t="s">
        <v>1341</v>
      </c>
      <c r="L1257" s="63" t="s">
        <v>2092</v>
      </c>
      <c r="M1257" s="63" t="s">
        <v>767</v>
      </c>
      <c r="N1257" s="63" t="s">
        <v>5335</v>
      </c>
      <c r="O1257" s="78" t="str">
        <f ca="1">IF(H1257&lt;&gt;"",IF(H1257&lt;=TODAY(),"SI","NO"),"LIMBO")</f>
        <v>SI</v>
      </c>
      <c r="P1257" s="78" t="str">
        <f>IF($P$1=H1257,"DIASOL", "DIANOSOL")</f>
        <v>DIANOSOL</v>
      </c>
      <c r="Q1257" s="63" t="s">
        <v>151</v>
      </c>
      <c r="R1257" s="63" t="str">
        <f>VLOOKUP($Q1257,Resultados!$A$1:$B$49,2,FALSE)</f>
        <v>Prisión Preventiva</v>
      </c>
      <c r="S1257" s="63" t="s">
        <v>1004</v>
      </c>
      <c r="T1257" s="81" t="str">
        <f>IF(G1257=$J$1,"SI","NO")</f>
        <v>NO</v>
      </c>
      <c r="U1257" s="81"/>
      <c r="V1257" s="7" t="str">
        <f ca="1">IF(color_Celda(E1257)=12106214,"ROSA",IF(color_Celda(E1257)=65535,"AMARILLO",IF(color_Celda(E1257)=5296274,"VERDE",IF(color_Celda(E1257)=16777215,"BLANCO","NO SE"))))</f>
        <v>ROSA</v>
      </c>
      <c r="W1257" s="63" t="s">
        <v>1298</v>
      </c>
      <c r="X1257" s="336"/>
      <c r="Y1257" s="336"/>
      <c r="Z1257" s="336"/>
      <c r="AA1257" s="336"/>
      <c r="AB1257" s="336"/>
      <c r="AC1257" s="336"/>
    </row>
    <row r="1258" spans="1:29" ht="60" customHeight="1">
      <c r="A1258" s="336">
        <v>1270</v>
      </c>
      <c r="B1258" s="349">
        <v>45288</v>
      </c>
      <c r="C1258" s="63" t="s">
        <v>73</v>
      </c>
      <c r="D1258" s="63" t="s">
        <v>4962</v>
      </c>
      <c r="E1258" s="64" t="s">
        <v>5052</v>
      </c>
      <c r="F1258" s="336">
        <v>6</v>
      </c>
      <c r="G1258" s="336" t="s">
        <v>3324</v>
      </c>
      <c r="H1258" s="383">
        <v>45306</v>
      </c>
      <c r="I1258" s="65" t="s">
        <v>76</v>
      </c>
      <c r="J1258" s="349" t="s">
        <v>78</v>
      </c>
      <c r="K1258" s="336">
        <f>IFERROR(VLOOKUP(J1258,Jueces!$A$1:$B$11,2,FALSE),"")</f>
        <v>8</v>
      </c>
      <c r="L1258" s="63" t="s">
        <v>4795</v>
      </c>
      <c r="M1258" s="63" t="s">
        <v>885</v>
      </c>
      <c r="N1258" s="205" t="s">
        <v>1744</v>
      </c>
      <c r="O1258" s="78" t="str">
        <f ca="1">IF(H1258&lt;&gt;"",IF(H1258&lt;=TODAY(),"SI","NO"),"LIMBO")</f>
        <v>SI</v>
      </c>
      <c r="P1258" s="78" t="str">
        <f>IF($P$1=H1258,"DIASOL", "DIANOSOL")</f>
        <v>DIANOSOL</v>
      </c>
      <c r="Q1258" s="63" t="s">
        <v>151</v>
      </c>
      <c r="R1258" s="63" t="str">
        <f>VLOOKUP($Q1258,Resultados!$A$1:$B$49,2,FALSE)</f>
        <v>Prisión Preventiva</v>
      </c>
      <c r="S1258" s="63" t="s">
        <v>1367</v>
      </c>
      <c r="T1258" s="81" t="str">
        <f>IF(G1258=$J$1,"SI","NO")</f>
        <v>NO</v>
      </c>
      <c r="U1258" s="81"/>
      <c r="V1258" s="7" t="str">
        <f ca="1">IF(color_Celda(E1258)=12106214,"ROSA",IF(color_Celda(E1258)=65535,"AMARILLO",IF(color_Celda(E1258)=5296274,"VERDE",IF(color_Celda(E1258)=16777215,"BLANCO","NO SE"))))</f>
        <v>ROSA</v>
      </c>
      <c r="W1258" s="63" t="s">
        <v>4572</v>
      </c>
      <c r="X1258" s="63" t="s">
        <v>5333</v>
      </c>
      <c r="Y1258" s="336"/>
      <c r="Z1258" s="336"/>
      <c r="AA1258" s="336"/>
      <c r="AB1258" s="336"/>
      <c r="AC1258" s="336"/>
    </row>
    <row r="1259" spans="1:29" ht="60" customHeight="1">
      <c r="A1259" s="336">
        <v>1253</v>
      </c>
      <c r="B1259" s="349">
        <v>45287</v>
      </c>
      <c r="C1259" s="568">
        <v>0.3659722222222222</v>
      </c>
      <c r="D1259" s="63" t="s">
        <v>4942</v>
      </c>
      <c r="E1259" s="64" t="s">
        <v>4997</v>
      </c>
      <c r="F1259" s="336">
        <v>7</v>
      </c>
      <c r="G1259" s="336" t="s">
        <v>4749</v>
      </c>
      <c r="H1259" s="383">
        <v>45306</v>
      </c>
      <c r="I1259" s="65" t="s">
        <v>75</v>
      </c>
      <c r="J1259" s="349" t="s">
        <v>78</v>
      </c>
      <c r="K1259" s="336">
        <f>IFERROR(VLOOKUP(J1259,Jueces!$A$1:$B$11,2,FALSE),"")</f>
        <v>8</v>
      </c>
      <c r="L1259" s="63" t="s">
        <v>4790</v>
      </c>
      <c r="M1259" s="7" t="s">
        <v>885</v>
      </c>
      <c r="N1259" s="205" t="s">
        <v>2243</v>
      </c>
      <c r="O1259" s="78" t="str">
        <f ca="1">IF(H1259&lt;&gt;"",IF(H1259&lt;=TODAY(),"SI","NO"),"LIMBO")</f>
        <v>SI</v>
      </c>
      <c r="P1259" s="78" t="str">
        <f>IF($P$1=H1259,"DIASOL", "DIANOSOL")</f>
        <v>DIANOSOL</v>
      </c>
      <c r="Q1259" s="63" t="s">
        <v>897</v>
      </c>
      <c r="R1259" s="63" t="str">
        <f>VLOOKUP($Q1259,Resultados!$A$1:$B$49,2,FALSE)</f>
        <v>Libertad</v>
      </c>
      <c r="S1259" s="63" t="s">
        <v>5181</v>
      </c>
      <c r="T1259" s="81" t="str">
        <f>IF(G1259=$J$1,"SI","NO")</f>
        <v>NO</v>
      </c>
      <c r="U1259" s="81"/>
      <c r="V1259" s="7" t="str">
        <f ca="1">IF(color_Celda(E1259)=12106214,"ROSA",IF(color_Celda(E1259)=65535,"AMARILLO",IF(color_Celda(E1259)=5296274,"VERDE",IF(color_Celda(E1259)=16777215,"BLANCO","NO SE"))))</f>
        <v>ROSA</v>
      </c>
      <c r="W1259" s="63" t="s">
        <v>3120</v>
      </c>
      <c r="X1259" s="63" t="s">
        <v>5332</v>
      </c>
      <c r="Y1259" s="336"/>
      <c r="Z1259" s="336"/>
      <c r="AA1259" s="336"/>
      <c r="AB1259" s="336"/>
      <c r="AC1259" s="336"/>
    </row>
    <row r="1260" spans="1:29" ht="60" customHeight="1">
      <c r="A1260" s="336">
        <v>1261</v>
      </c>
      <c r="B1260" s="349">
        <v>45287</v>
      </c>
      <c r="C1260" s="568">
        <v>0.45833333333333331</v>
      </c>
      <c r="D1260" s="63" t="s">
        <v>4948</v>
      </c>
      <c r="E1260" s="64" t="s">
        <v>5010</v>
      </c>
      <c r="F1260" s="336">
        <v>7</v>
      </c>
      <c r="G1260" s="336" t="s">
        <v>2751</v>
      </c>
      <c r="H1260" s="383">
        <v>45306</v>
      </c>
      <c r="I1260" s="65" t="s">
        <v>75</v>
      </c>
      <c r="J1260" s="349" t="s">
        <v>1220</v>
      </c>
      <c r="K1260" s="63" t="s">
        <v>4118</v>
      </c>
      <c r="L1260" s="63" t="s">
        <v>791</v>
      </c>
      <c r="M1260" s="63" t="s">
        <v>767</v>
      </c>
      <c r="N1260" s="205" t="s">
        <v>2832</v>
      </c>
      <c r="O1260" s="78" t="str">
        <f ca="1">IF(H1260&lt;&gt;"",IF(H1260&lt;=TODAY(),"SI","NO"),"LIMBO")</f>
        <v>SI</v>
      </c>
      <c r="P1260" s="78" t="str">
        <f>IF($P$1=H1260,"DIASOL", "DIANOSOL")</f>
        <v>DIANOSOL</v>
      </c>
      <c r="Q1260" s="63" t="s">
        <v>902</v>
      </c>
      <c r="R1260" s="63" t="str">
        <f>VLOOKUP($Q1260,Resultados!$A$1:$B$49,2,FALSE)</f>
        <v>Juicio Abreviado</v>
      </c>
      <c r="S1260" s="63" t="s">
        <v>4531</v>
      </c>
      <c r="T1260" s="81" t="str">
        <f>IF(G1260=$J$1,"SI","NO")</f>
        <v>NO</v>
      </c>
      <c r="U1260" s="81"/>
      <c r="V1260" s="7" t="str">
        <f ca="1">IF(color_Celda(E1260)=12106214,"ROSA",IF(color_Celda(E1260)=65535,"AMARILLO",IF(color_Celda(E1260)=5296274,"VERDE",IF(color_Celda(E1260)=16777215,"BLANCO","NO SE"))))</f>
        <v>ROSA</v>
      </c>
      <c r="W1260" s="63" t="s">
        <v>3115</v>
      </c>
      <c r="X1260" s="63" t="s">
        <v>5334</v>
      </c>
      <c r="Y1260" s="336"/>
      <c r="Z1260" s="336"/>
      <c r="AA1260" s="336"/>
      <c r="AB1260" s="336"/>
      <c r="AC1260" s="336"/>
    </row>
    <row r="1261" spans="1:29" ht="60" customHeight="1">
      <c r="A1261" s="336">
        <v>1250</v>
      </c>
      <c r="B1261" s="349">
        <v>45286</v>
      </c>
      <c r="C1261" s="568">
        <v>0.4069444444444445</v>
      </c>
      <c r="D1261" s="63" t="s">
        <v>4922</v>
      </c>
      <c r="E1261" s="355" t="s">
        <v>4923</v>
      </c>
      <c r="F1261" s="336">
        <v>7</v>
      </c>
      <c r="G1261" s="336" t="s">
        <v>2752</v>
      </c>
      <c r="H1261" s="383">
        <v>45306</v>
      </c>
      <c r="I1261" s="65" t="s">
        <v>77</v>
      </c>
      <c r="J1261" s="349" t="s">
        <v>1220</v>
      </c>
      <c r="K1261" s="63" t="s">
        <v>4118</v>
      </c>
      <c r="L1261" s="63" t="s">
        <v>802</v>
      </c>
      <c r="M1261" s="63" t="s">
        <v>767</v>
      </c>
      <c r="N1261" s="205" t="s">
        <v>1744</v>
      </c>
      <c r="O1261" s="78" t="str">
        <f ca="1">IF(H1261&lt;&gt;"",IF(H1261&lt;=TODAY(),"SI","NO"),"LIMBO")</f>
        <v>SI</v>
      </c>
      <c r="P1261" s="78" t="str">
        <f>IF($P$1=H1261,"DIASOL", "DIANOSOL")</f>
        <v>DIANOSOL</v>
      </c>
      <c r="Q1261" s="63" t="s">
        <v>151</v>
      </c>
      <c r="R1261" s="63" t="str">
        <f>VLOOKUP($Q1261,Resultados!$A$1:$B$49,2,FALSE)</f>
        <v>Prisión Preventiva</v>
      </c>
      <c r="S1261" s="63" t="s">
        <v>1554</v>
      </c>
      <c r="T1261" s="81" t="str">
        <f>IF(G1261=$J$1,"SI","NO")</f>
        <v>NO</v>
      </c>
      <c r="U1261" s="81"/>
      <c r="V1261" s="7" t="str">
        <f ca="1">IF(color_Celda(E1261)=12106214,"ROSA",IF(color_Celda(E1261)=65535,"AMARILLO",IF(color_Celda(E1261)=5296274,"VERDE",IF(color_Celda(E1261)=16777215,"BLANCO","NO SE"))))</f>
        <v>ROSA</v>
      </c>
      <c r="W1261" s="63" t="s">
        <v>1763</v>
      </c>
      <c r="X1261" s="63" t="s">
        <v>1757</v>
      </c>
      <c r="Y1261" s="336"/>
      <c r="Z1261" s="336"/>
      <c r="AA1261" s="336"/>
      <c r="AB1261" s="336"/>
      <c r="AC1261" s="336"/>
    </row>
    <row r="1262" spans="1:29" ht="60" customHeight="1">
      <c r="A1262" s="336">
        <v>1292</v>
      </c>
      <c r="B1262" s="349">
        <v>45293</v>
      </c>
      <c r="C1262" s="568">
        <v>0.4513888888888889</v>
      </c>
      <c r="D1262" s="63" t="s">
        <v>5050</v>
      </c>
      <c r="E1262" s="64" t="s">
        <v>5192</v>
      </c>
      <c r="F1262" s="336">
        <v>7</v>
      </c>
      <c r="G1262" s="63" t="s">
        <v>3324</v>
      </c>
      <c r="H1262" s="383">
        <v>45306</v>
      </c>
      <c r="I1262" s="65" t="s">
        <v>77</v>
      </c>
      <c r="J1262" s="65" t="s">
        <v>4746</v>
      </c>
      <c r="K1262" s="63" t="s">
        <v>3776</v>
      </c>
      <c r="L1262" s="63" t="s">
        <v>4781</v>
      </c>
      <c r="M1262" s="339" t="s">
        <v>1281</v>
      </c>
      <c r="N1262" s="63" t="s">
        <v>5330</v>
      </c>
      <c r="O1262" s="78" t="str">
        <f ca="1">IF(H1262&lt;&gt;"",IF(H1262&lt;=TODAY(),"SI","NO"),"LIMBO")</f>
        <v>SI</v>
      </c>
      <c r="P1262" s="78" t="str">
        <f>IF($P$1=H1262,"DIASOL", "DIANOSOL")</f>
        <v>DIANOSOL</v>
      </c>
      <c r="Q1262" s="63" t="s">
        <v>897</v>
      </c>
      <c r="R1262" s="63" t="str">
        <f>VLOOKUP($Q1262,Resultados!$A$1:$B$49,2,FALSE)</f>
        <v>Libertad</v>
      </c>
      <c r="S1262" s="63" t="s">
        <v>1706</v>
      </c>
      <c r="T1262" s="81" t="str">
        <f>IF(G1262=$J$1,"SI","NO")</f>
        <v>NO</v>
      </c>
      <c r="U1262" s="81"/>
      <c r="V1262" s="7" t="str">
        <f ca="1">IF(color_Celda(E1262)=12106214,"ROSA",IF(color_Celda(E1262)=65535,"AMARILLO",IF(color_Celda(E1262)=5296274,"VERDE",IF(color_Celda(E1262)=16777215,"BLANCO","NO SE"))))</f>
        <v>ROSA</v>
      </c>
      <c r="W1262" s="63" t="s">
        <v>5329</v>
      </c>
      <c r="X1262" s="63" t="s">
        <v>5331</v>
      </c>
      <c r="Y1262" s="336"/>
      <c r="Z1262" s="336"/>
      <c r="AA1262" s="336"/>
      <c r="AB1262" s="336"/>
      <c r="AC1262" s="336"/>
    </row>
    <row r="1263" spans="1:29" ht="60" customHeight="1">
      <c r="A1263" s="336">
        <v>1266</v>
      </c>
      <c r="B1263" s="349">
        <v>45287</v>
      </c>
      <c r="C1263" s="568">
        <v>0.47986111111111113</v>
      </c>
      <c r="D1263" s="336" t="s">
        <v>4956</v>
      </c>
      <c r="E1263" s="355" t="s">
        <v>4957</v>
      </c>
      <c r="F1263" s="336">
        <v>7</v>
      </c>
      <c r="G1263" s="336" t="s">
        <v>3323</v>
      </c>
      <c r="H1263" s="383">
        <v>45306</v>
      </c>
      <c r="I1263" s="65" t="s">
        <v>228</v>
      </c>
      <c r="J1263" s="349" t="s">
        <v>4746</v>
      </c>
      <c r="K1263" s="63" t="s">
        <v>1341</v>
      </c>
      <c r="L1263" s="63" t="s">
        <v>4780</v>
      </c>
      <c r="M1263" s="63" t="s">
        <v>767</v>
      </c>
      <c r="N1263" s="205" t="s">
        <v>1744</v>
      </c>
      <c r="O1263" s="78" t="str">
        <f ca="1">IF(H1263&lt;&gt;"",IF(H1263&lt;=TODAY(),"SI","NO"),"LIMBO")</f>
        <v>SI</v>
      </c>
      <c r="P1263" s="78" t="str">
        <f>IF($P$1=H1263,"DIASOL", "DIANOSOL")</f>
        <v>DIANOSOL</v>
      </c>
      <c r="Q1263" s="63" t="s">
        <v>151</v>
      </c>
      <c r="R1263" s="63" t="str">
        <f>VLOOKUP($Q1263,Resultados!$A$1:$B$49,2,FALSE)</f>
        <v>Prisión Preventiva</v>
      </c>
      <c r="S1263" s="63" t="s">
        <v>1123</v>
      </c>
      <c r="T1263" s="81" t="str">
        <f>IF(G1263=$J$1,"SI","NO")</f>
        <v>NO</v>
      </c>
      <c r="U1263" s="81"/>
      <c r="V1263" s="7" t="str">
        <f ca="1">IF(color_Celda(E1263)=12106214,"ROSA",IF(color_Celda(E1263)=65535,"AMARILLO",IF(color_Celda(E1263)=5296274,"VERDE",IF(color_Celda(E1263)=16777215,"BLANCO","NO SE"))))</f>
        <v>ROSA</v>
      </c>
      <c r="W1263" s="63" t="s">
        <v>1777</v>
      </c>
      <c r="X1263" s="63" t="s">
        <v>5328</v>
      </c>
      <c r="Y1263" s="336"/>
      <c r="Z1263" s="336"/>
      <c r="AA1263" s="336"/>
      <c r="AB1263" s="336"/>
      <c r="AC1263" s="336"/>
    </row>
    <row r="1264" spans="1:29" ht="60" customHeight="1">
      <c r="A1264" s="336">
        <v>1334</v>
      </c>
      <c r="B1264" s="349">
        <v>45303</v>
      </c>
      <c r="C1264" s="70">
        <v>0.33333333333333331</v>
      </c>
      <c r="D1264" s="336" t="s">
        <v>3690</v>
      </c>
      <c r="E1264" s="64" t="s">
        <v>5202</v>
      </c>
      <c r="F1264" s="336">
        <v>3</v>
      </c>
      <c r="G1264" s="336" t="s">
        <v>4749</v>
      </c>
      <c r="H1264" s="383">
        <v>45306</v>
      </c>
      <c r="I1264" s="65" t="s">
        <v>228</v>
      </c>
      <c r="J1264" s="349" t="s">
        <v>31</v>
      </c>
      <c r="K1264" s="336">
        <v>2</v>
      </c>
      <c r="L1264" s="63" t="s">
        <v>4778</v>
      </c>
      <c r="M1264" s="63" t="s">
        <v>3725</v>
      </c>
      <c r="N1264" s="63" t="s">
        <v>5327</v>
      </c>
      <c r="O1264" s="78" t="str">
        <f ca="1">IF(H1264&lt;&gt;"",IF(H1264&lt;=TODAY(),"SI","NO"),"LIMBO")</f>
        <v>SI</v>
      </c>
      <c r="P1264" s="78" t="str">
        <f>IF($P$1=H1264,"DIASOL", "DIANOSOL")</f>
        <v>DIANOSOL</v>
      </c>
      <c r="Q1264" s="63" t="s">
        <v>911</v>
      </c>
      <c r="R1264" s="63" t="str">
        <f>VLOOKUP($Q1264,Resultados!$A$1:$B$49,2,FALSE)</f>
        <v>Prision domiciliaria</v>
      </c>
      <c r="S1264" s="63" t="s">
        <v>3363</v>
      </c>
      <c r="T1264" s="81" t="str">
        <f>IF(G1264=$J$1,"SI","NO")</f>
        <v>NO</v>
      </c>
      <c r="U1264" s="81"/>
      <c r="V1264" s="7" t="str">
        <f ca="1">IF(color_Celda(E1264)=12106214,"ROSA",IF(color_Celda(E1264)=65535,"AMARILLO",IF(color_Celda(E1264)=5296274,"VERDE",IF(color_Celda(E1264)=16777215,"BLANCO","NO SE"))))</f>
        <v>ROSA</v>
      </c>
      <c r="W1264" s="63" t="s">
        <v>5143</v>
      </c>
      <c r="X1264" s="63" t="s">
        <v>4170</v>
      </c>
      <c r="Y1264" s="336"/>
      <c r="Z1264" s="336"/>
      <c r="AA1264" s="336"/>
      <c r="AB1264" s="336"/>
      <c r="AC1264" s="336"/>
    </row>
    <row r="1265" spans="1:29" ht="60" customHeight="1">
      <c r="A1265" s="336">
        <v>1265</v>
      </c>
      <c r="B1265" s="349">
        <v>45287</v>
      </c>
      <c r="C1265" s="568">
        <v>0.47569444444444442</v>
      </c>
      <c r="D1265" s="336" t="s">
        <v>4954</v>
      </c>
      <c r="E1265" s="355" t="s">
        <v>4955</v>
      </c>
      <c r="F1265" s="336">
        <v>7</v>
      </c>
      <c r="G1265" s="336" t="s">
        <v>2815</v>
      </c>
      <c r="H1265" s="383">
        <v>45306</v>
      </c>
      <c r="I1265" s="65" t="s">
        <v>74</v>
      </c>
      <c r="J1265" s="349" t="s">
        <v>78</v>
      </c>
      <c r="K1265" s="336">
        <f>IFERROR(VLOOKUP(J1265,Jueces!$A$1:$B$11,2,FALSE),"")</f>
        <v>8</v>
      </c>
      <c r="L1265" s="63" t="s">
        <v>805</v>
      </c>
      <c r="M1265" s="63" t="s">
        <v>767</v>
      </c>
      <c r="N1265" s="63" t="s">
        <v>5343</v>
      </c>
      <c r="O1265" s="63" t="str">
        <f ca="1">IF(H1265&lt;&gt;"",IF(H1265&lt;=TODAY(),"SI","NO"),"LIMBO")</f>
        <v>SI</v>
      </c>
      <c r="P1265" s="63" t="str">
        <f>IF($P$1=H1265,"DIASOL", "DIANOSOL")</f>
        <v>DIANOSOL</v>
      </c>
      <c r="Q1265" s="63" t="s">
        <v>910</v>
      </c>
      <c r="R1265" s="63" t="str">
        <f>VLOOKUP($Q1265,Resultados!$A$1:$B$49,2,FALSE)</f>
        <v>Suspendida</v>
      </c>
      <c r="S1265" s="63"/>
      <c r="T1265" s="72" t="str">
        <f>IF(G1265=$J$1,"SI","NO")</f>
        <v>NO</v>
      </c>
      <c r="U1265" s="72"/>
      <c r="V1265" s="7" t="str">
        <f ca="1">IF(color_Celda(E1265)=12106214,"ROSA",IF(color_Celda(E1265)=65535,"AMARILLO",IF(color_Celda(E1265)=5296274,"VERDE",IF(color_Celda(E1265)=16777215,"BLANCO","NO SE"))))</f>
        <v>ROSA</v>
      </c>
      <c r="W1265" s="336"/>
      <c r="X1265" s="336"/>
      <c r="Y1265" s="336"/>
      <c r="Z1265" s="336"/>
      <c r="AA1265" s="336"/>
      <c r="AB1265" s="336"/>
      <c r="AC1265" s="336"/>
    </row>
    <row r="1266" spans="1:29" ht="60" customHeight="1">
      <c r="A1266" s="336">
        <v>1229</v>
      </c>
      <c r="B1266" s="349">
        <v>45281</v>
      </c>
      <c r="C1266" s="568">
        <v>0.45694444444444443</v>
      </c>
      <c r="D1266" s="63" t="s">
        <v>4845</v>
      </c>
      <c r="E1266" s="64" t="s">
        <v>4847</v>
      </c>
      <c r="F1266" s="336">
        <v>8</v>
      </c>
      <c r="G1266" s="336" t="s">
        <v>1433</v>
      </c>
      <c r="H1266" s="383">
        <v>45307</v>
      </c>
      <c r="I1266" s="65" t="s">
        <v>76</v>
      </c>
      <c r="J1266" s="349" t="s">
        <v>4931</v>
      </c>
      <c r="K1266" s="63" t="s">
        <v>1916</v>
      </c>
      <c r="L1266" s="63" t="s">
        <v>2077</v>
      </c>
      <c r="M1266" s="63" t="s">
        <v>885</v>
      </c>
      <c r="N1266" s="63" t="s">
        <v>5370</v>
      </c>
      <c r="O1266" s="63" t="str">
        <f ca="1">IF(H1266&lt;&gt;"",IF(H1266&lt;=TODAY(),"SI","NO"),"LIMBO")</f>
        <v>SI</v>
      </c>
      <c r="P1266" s="63" t="str">
        <f>IF($P$1=H1266,"DIASOL", "DIANOSOL")</f>
        <v>DIANOSOL</v>
      </c>
      <c r="Q1266" s="63" t="s">
        <v>151</v>
      </c>
      <c r="R1266" s="63" t="str">
        <f>VLOOKUP($Q1266,Resultados!$A$1:$B$49,2,FALSE)</f>
        <v>Prisión Preventiva</v>
      </c>
      <c r="S1266" s="63" t="s">
        <v>1248</v>
      </c>
      <c r="T1266" s="72" t="str">
        <f>IF(G1266=$J$1,"SI","NO")</f>
        <v>NO</v>
      </c>
      <c r="U1266" s="72"/>
      <c r="V1266" s="7" t="str">
        <f ca="1">IF(color_Celda(E1266)=12106214,"ROSA",IF(color_Celda(E1266)=65535,"AMARILLO",IF(color_Celda(E1266)=5296274,"VERDE",IF(color_Celda(E1266)=16777215,"BLANCO","NO SE"))))</f>
        <v>ROSA</v>
      </c>
      <c r="W1266" s="63" t="s">
        <v>1332</v>
      </c>
      <c r="X1266" s="63" t="s">
        <v>4644</v>
      </c>
      <c r="Y1266" s="336"/>
      <c r="Z1266" s="118" t="s">
        <v>5341</v>
      </c>
      <c r="AA1266" s="336"/>
      <c r="AB1266" s="118" t="s">
        <v>3258</v>
      </c>
      <c r="AC1266" s="336"/>
    </row>
    <row r="1267" spans="1:29" ht="60" customHeight="1">
      <c r="A1267" s="336">
        <v>1254</v>
      </c>
      <c r="B1267" s="349">
        <v>45286</v>
      </c>
      <c r="C1267" s="568">
        <v>0.47152777777777777</v>
      </c>
      <c r="D1267" s="63" t="s">
        <v>4926</v>
      </c>
      <c r="E1267" s="64" t="s">
        <v>5001</v>
      </c>
      <c r="F1267" s="336">
        <v>7</v>
      </c>
      <c r="G1267" s="336" t="s">
        <v>3791</v>
      </c>
      <c r="H1267" s="383">
        <v>45307</v>
      </c>
      <c r="I1267" s="65" t="s">
        <v>76</v>
      </c>
      <c r="J1267" s="349" t="s">
        <v>1216</v>
      </c>
      <c r="K1267" s="336">
        <f>IFERROR(VLOOKUP(J1267,Jueces!$A$1:$B$11,2,FALSE),"")</f>
        <v>1</v>
      </c>
      <c r="L1267" s="63" t="s">
        <v>4777</v>
      </c>
      <c r="M1267" s="63" t="s">
        <v>767</v>
      </c>
      <c r="N1267" s="63" t="s">
        <v>900</v>
      </c>
      <c r="O1267" s="63" t="str">
        <f ca="1">IF(H1267&lt;&gt;"",IF(H1267&lt;=TODAY(),"SI","NO"),"LIMBO")</f>
        <v>SI</v>
      </c>
      <c r="P1267" s="63" t="str">
        <f>IF($P$1=H1267,"DIASOL", "DIANOSOL")</f>
        <v>DIANOSOL</v>
      </c>
      <c r="Q1267" s="63" t="s">
        <v>897</v>
      </c>
      <c r="R1267" s="63" t="str">
        <f>VLOOKUP($Q1267,Resultados!$A$1:$B$49,2,FALSE)</f>
        <v>Libertad</v>
      </c>
      <c r="S1267" s="63" t="s">
        <v>547</v>
      </c>
      <c r="T1267" s="72" t="str">
        <f>IF(G1267=$J$1,"SI","NO")</f>
        <v>NO</v>
      </c>
      <c r="U1267" s="72"/>
      <c r="V1267" s="7" t="str">
        <f ca="1">IF(color_Celda(E1267)=12106214,"ROSA",IF(color_Celda(E1267)=65535,"AMARILLO",IF(color_Celda(E1267)=5296274,"VERDE",IF(color_Celda(E1267)=16777215,"BLANCO","NO SE"))))</f>
        <v>ROSA</v>
      </c>
      <c r="W1267" s="63" t="s">
        <v>1755</v>
      </c>
      <c r="X1267" s="63" t="s">
        <v>4644</v>
      </c>
      <c r="Y1267" s="336"/>
      <c r="Z1267" s="118" t="s">
        <v>770</v>
      </c>
      <c r="AA1267" s="336"/>
      <c r="AB1267" s="118" t="s">
        <v>1170</v>
      </c>
      <c r="AC1267" s="336"/>
    </row>
    <row r="1268" spans="1:29" ht="60" customHeight="1">
      <c r="A1268" s="336">
        <v>1256</v>
      </c>
      <c r="B1268" s="349">
        <v>45303</v>
      </c>
      <c r="C1268" s="568">
        <v>0.52847222222222223</v>
      </c>
      <c r="D1268" s="63" t="s">
        <v>4943</v>
      </c>
      <c r="E1268" s="64" t="s">
        <v>4944</v>
      </c>
      <c r="F1268" s="336">
        <v>7</v>
      </c>
      <c r="G1268" s="336" t="s">
        <v>4934</v>
      </c>
      <c r="H1268" s="383">
        <v>45307</v>
      </c>
      <c r="I1268" s="65" t="s">
        <v>76</v>
      </c>
      <c r="J1268" s="349" t="s">
        <v>1217</v>
      </c>
      <c r="K1268" s="336">
        <f>IFERROR(VLOOKUP(J1268,Jueces!$A$1:$B$11,2,FALSE),"")</f>
        <v>7</v>
      </c>
      <c r="L1268" s="63" t="s">
        <v>4791</v>
      </c>
      <c r="M1268" s="335" t="s">
        <v>314</v>
      </c>
      <c r="N1268" s="63" t="s">
        <v>1640</v>
      </c>
      <c r="O1268" s="63" t="str">
        <f ca="1">IF(H1268&lt;&gt;"",IF(H1268&lt;=TODAY(),"SI","NO"),"LIMBO")</f>
        <v>SI</v>
      </c>
      <c r="P1268" s="63" t="str">
        <f>IF($P$1=H1268,"DIASOL", "DIANOSOL")</f>
        <v>DIANOSOL</v>
      </c>
      <c r="Q1268" s="63" t="s">
        <v>151</v>
      </c>
      <c r="R1268" s="63" t="str">
        <f>VLOOKUP($Q1268,Resultados!$A$1:$B$49,2,FALSE)</f>
        <v>Prisión Preventiva</v>
      </c>
      <c r="S1268" s="63" t="s">
        <v>1442</v>
      </c>
      <c r="T1268" s="72" t="str">
        <f>IF(G1268=$J$1,"SI","NO")</f>
        <v>NO</v>
      </c>
      <c r="U1268" s="72"/>
      <c r="V1268" s="7" t="str">
        <f ca="1">IF(color_Celda(E1268)=12106214,"ROSA",IF(color_Celda(E1268)=65535,"AMARILLO",IF(color_Celda(E1268)=5296274,"VERDE",IF(color_Celda(E1268)=16777215,"BLANCO","NO SE"))))</f>
        <v>ROSA</v>
      </c>
      <c r="W1268" s="63" t="s">
        <v>3203</v>
      </c>
      <c r="X1268" s="63" t="s">
        <v>4644</v>
      </c>
      <c r="Y1268" s="336"/>
      <c r="Z1268" s="118" t="s">
        <v>1038</v>
      </c>
      <c r="AA1268" s="336"/>
      <c r="AB1268" s="118" t="s">
        <v>3258</v>
      </c>
      <c r="AC1268" s="336"/>
    </row>
    <row r="1269" spans="1:29" ht="60" customHeight="1">
      <c r="A1269" s="336">
        <v>1263</v>
      </c>
      <c r="B1269" s="349">
        <v>45287</v>
      </c>
      <c r="C1269" s="568">
        <v>0.46597222222222223</v>
      </c>
      <c r="D1269" s="336" t="s">
        <v>4951</v>
      </c>
      <c r="E1269" s="64" t="s">
        <v>5309</v>
      </c>
      <c r="F1269" s="336">
        <v>7</v>
      </c>
      <c r="G1269" s="336" t="s">
        <v>2766</v>
      </c>
      <c r="H1269" s="208">
        <v>45307</v>
      </c>
      <c r="I1269" s="65" t="s">
        <v>75</v>
      </c>
      <c r="J1269" s="349" t="s">
        <v>1216</v>
      </c>
      <c r="K1269" s="336">
        <f>IFERROR(VLOOKUP(J1269,Jueces!$A$1:$B$11,2,FALSE),"")</f>
        <v>1</v>
      </c>
      <c r="L1269" s="63" t="s">
        <v>4780</v>
      </c>
      <c r="M1269" s="63" t="s">
        <v>723</v>
      </c>
      <c r="N1269" s="63" t="s">
        <v>5371</v>
      </c>
      <c r="O1269" s="63" t="str">
        <f ca="1">IF(H1269&lt;&gt;"",IF(H1269&lt;=TODAY(),"SI","NO"),"LIMBO")</f>
        <v>SI</v>
      </c>
      <c r="P1269" s="63" t="str">
        <f>IF($P$1=H1269,"DIASOL", "DIANOSOL")</f>
        <v>DIANOSOL</v>
      </c>
      <c r="Q1269" s="63" t="s">
        <v>902</v>
      </c>
      <c r="R1269" s="63" t="str">
        <f>VLOOKUP($Q1269,Resultados!$A$1:$B$49,2,FALSE)</f>
        <v>Juicio Abreviado</v>
      </c>
      <c r="S1269" s="63" t="s">
        <v>1626</v>
      </c>
      <c r="T1269" s="72" t="str">
        <f>IF(G1269=$J$1,"SI","NO")</f>
        <v>NO</v>
      </c>
      <c r="U1269" s="72"/>
      <c r="V1269" s="7" t="str">
        <f ca="1">IF(color_Celda(E1269)=12106214,"ROSA",IF(color_Celda(E1269)=65535,"AMARILLO",IF(color_Celda(E1269)=5296274,"VERDE",IF(color_Celda(E1269)=16777215,"BLANCO","NO SE"))))</f>
        <v>ROSA</v>
      </c>
      <c r="W1269" s="63" t="s">
        <v>1270</v>
      </c>
      <c r="X1269" s="63" t="s">
        <v>4644</v>
      </c>
      <c r="Y1269" s="336"/>
      <c r="Z1269" s="118" t="s">
        <v>770</v>
      </c>
      <c r="AA1269" s="336"/>
      <c r="AB1269" s="118" t="s">
        <v>1170</v>
      </c>
      <c r="AC1269" s="336"/>
    </row>
    <row r="1270" spans="1:29" ht="60" customHeight="1">
      <c r="A1270" s="336">
        <v>1264</v>
      </c>
      <c r="B1270" s="349">
        <v>45287</v>
      </c>
      <c r="C1270" s="568">
        <v>0.47013888888888888</v>
      </c>
      <c r="D1270" s="336" t="s">
        <v>4952</v>
      </c>
      <c r="E1270" s="355" t="s">
        <v>4953</v>
      </c>
      <c r="F1270" s="336">
        <v>7</v>
      </c>
      <c r="G1270" s="336" t="s">
        <v>283</v>
      </c>
      <c r="H1270" s="383">
        <v>45307</v>
      </c>
      <c r="I1270" s="65" t="s">
        <v>75</v>
      </c>
      <c r="J1270" s="349" t="s">
        <v>1217</v>
      </c>
      <c r="K1270" s="336">
        <f>IFERROR(VLOOKUP(J1270,Jueces!$A$1:$B$11,2,FALSE),"")</f>
        <v>7</v>
      </c>
      <c r="L1270" s="63" t="s">
        <v>4788</v>
      </c>
      <c r="M1270" s="63" t="s">
        <v>885</v>
      </c>
      <c r="N1270" s="63" t="s">
        <v>4688</v>
      </c>
      <c r="O1270" s="63" t="str">
        <f ca="1">IF(H1270&lt;&gt;"",IF(H1270&lt;=TODAY(),"SI","NO"),"LIMBO")</f>
        <v>SI</v>
      </c>
      <c r="P1270" s="63" t="str">
        <f>IF($P$1=H1270,"DIASOL", "DIANOSOL")</f>
        <v>DIANOSOL</v>
      </c>
      <c r="Q1270" s="63" t="s">
        <v>902</v>
      </c>
      <c r="R1270" s="63" t="str">
        <f>VLOOKUP($Q1270,Resultados!$A$1:$B$49,2,FALSE)</f>
        <v>Juicio Abreviado</v>
      </c>
      <c r="S1270" s="63" t="s">
        <v>4387</v>
      </c>
      <c r="T1270" s="72" t="str">
        <f>IF(G1270=$J$1,"SI","NO")</f>
        <v>NO</v>
      </c>
      <c r="U1270" s="72"/>
      <c r="V1270" s="7" t="str">
        <f ca="1">IF(color_Celda(E1270)=12106214,"ROSA",IF(color_Celda(E1270)=65535,"AMARILLO",IF(color_Celda(E1270)=5296274,"VERDE",IF(color_Celda(E1270)=16777215,"BLANCO","NO SE"))))</f>
        <v>ROSA</v>
      </c>
      <c r="W1270" s="63" t="s">
        <v>4388</v>
      </c>
      <c r="X1270" s="63" t="s">
        <v>4891</v>
      </c>
      <c r="Y1270" s="336"/>
      <c r="Z1270" s="118" t="s">
        <v>5342</v>
      </c>
      <c r="AA1270" s="336"/>
      <c r="AB1270" s="118" t="s">
        <v>3258</v>
      </c>
      <c r="AC1270" s="336"/>
    </row>
    <row r="1271" spans="1:29" ht="60" customHeight="1">
      <c r="A1271" s="336">
        <v>1271</v>
      </c>
      <c r="B1271" s="349">
        <v>45288</v>
      </c>
      <c r="C1271" s="63" t="s">
        <v>73</v>
      </c>
      <c r="D1271" s="63" t="s">
        <v>4963</v>
      </c>
      <c r="E1271" s="64" t="s">
        <v>5000</v>
      </c>
      <c r="F1271" s="336">
        <v>7</v>
      </c>
      <c r="G1271" s="336" t="s">
        <v>3639</v>
      </c>
      <c r="H1271" s="383">
        <v>45307</v>
      </c>
      <c r="I1271" s="65" t="s">
        <v>75</v>
      </c>
      <c r="J1271" s="349" t="s">
        <v>4931</v>
      </c>
      <c r="K1271" s="63" t="s">
        <v>1916</v>
      </c>
      <c r="L1271" s="63" t="s">
        <v>4781</v>
      </c>
      <c r="M1271" s="63" t="s">
        <v>767</v>
      </c>
      <c r="N1271" s="63" t="s">
        <v>4638</v>
      </c>
      <c r="O1271" s="63" t="str">
        <f ca="1">IF(H1271&lt;&gt;"",IF(H1271&lt;=TODAY(),"SI","NO"),"LIMBO")</f>
        <v>SI</v>
      </c>
      <c r="P1271" s="63" t="str">
        <f>IF($P$1=H1271,"DIASOL", "DIANOSOL")</f>
        <v>DIANOSOL</v>
      </c>
      <c r="Q1271" s="63" t="s">
        <v>151</v>
      </c>
      <c r="R1271" s="63" t="str">
        <f>VLOOKUP($Q1271,Resultados!$A$1:$B$49,2,FALSE)</f>
        <v>Prisión Preventiva</v>
      </c>
      <c r="S1271" s="63" t="s">
        <v>77</v>
      </c>
      <c r="T1271" s="72" t="str">
        <f>IF(G1271=$J$1,"SI","NO")</f>
        <v>NO</v>
      </c>
      <c r="U1271" s="72"/>
      <c r="V1271" s="7" t="str">
        <f ca="1">IF(color_Celda(E1271)=12106214,"ROSA",IF(color_Celda(E1271)=65535,"AMARILLO",IF(color_Celda(E1271)=5296274,"VERDE",IF(color_Celda(E1271)=16777215,"BLANCO","NO SE"))))</f>
        <v>ROSA</v>
      </c>
      <c r="W1271" s="63" t="s">
        <v>4930</v>
      </c>
      <c r="X1271" s="63" t="s">
        <v>4683</v>
      </c>
      <c r="Y1271" s="336"/>
      <c r="Z1271" s="118" t="s">
        <v>5341</v>
      </c>
      <c r="AA1271" s="336"/>
      <c r="AB1271" s="118" t="s">
        <v>1170</v>
      </c>
      <c r="AC1271" s="336"/>
    </row>
    <row r="1272" spans="1:29" ht="60" customHeight="1">
      <c r="A1272" s="336">
        <v>1267</v>
      </c>
      <c r="B1272" s="349">
        <v>45288</v>
      </c>
      <c r="C1272" s="63" t="s">
        <v>1002</v>
      </c>
      <c r="D1272" s="63" t="s">
        <v>4959</v>
      </c>
      <c r="E1272" s="64" t="s">
        <v>5002</v>
      </c>
      <c r="F1272" s="336">
        <v>7</v>
      </c>
      <c r="G1272" s="336" t="s">
        <v>5009</v>
      </c>
      <c r="H1272" s="383">
        <v>45307</v>
      </c>
      <c r="I1272" s="65" t="s">
        <v>77</v>
      </c>
      <c r="J1272" s="349" t="s">
        <v>1216</v>
      </c>
      <c r="K1272" s="336">
        <f>IFERROR(VLOOKUP(J1272,Jueces!$A$1:$B$11,2,FALSE),"")</f>
        <v>1</v>
      </c>
      <c r="L1272" s="63" t="s">
        <v>805</v>
      </c>
      <c r="M1272" s="193" t="s">
        <v>767</v>
      </c>
      <c r="N1272" s="63" t="s">
        <v>2566</v>
      </c>
      <c r="O1272" s="63" t="str">
        <f ca="1">IF(H1272&lt;&gt;"",IF(H1272&lt;=TODAY(),"SI","NO"),"LIMBO")</f>
        <v>SI</v>
      </c>
      <c r="P1272" s="63" t="str">
        <f>IF($P$1=H1272,"DIASOL", "DIANOSOL")</f>
        <v>DIANOSOL</v>
      </c>
      <c r="Q1272" s="63" t="s">
        <v>902</v>
      </c>
      <c r="R1272" s="63" t="str">
        <f>VLOOKUP($Q1272,Resultados!$A$1:$B$49,2,FALSE)</f>
        <v>Juicio Abreviado</v>
      </c>
      <c r="S1272" s="63" t="s">
        <v>4262</v>
      </c>
      <c r="T1272" s="72" t="str">
        <f>IF(G1272=$J$1,"SI","NO")</f>
        <v>NO</v>
      </c>
      <c r="U1272" s="72"/>
      <c r="V1272" s="7" t="str">
        <f ca="1">IF(color_Celda(E1272)=12106214,"ROSA",IF(color_Celda(E1272)=65535,"AMARILLO",IF(color_Celda(E1272)=5296274,"VERDE",IF(color_Celda(E1272)=16777215,"BLANCO","NO SE"))))</f>
        <v>ROSA</v>
      </c>
      <c r="W1272" s="63" t="s">
        <v>5372</v>
      </c>
      <c r="X1272" s="63" t="s">
        <v>4891</v>
      </c>
      <c r="Y1272" s="336"/>
      <c r="Z1272" s="118" t="s">
        <v>770</v>
      </c>
      <c r="AA1272" s="336"/>
      <c r="AB1272" s="118" t="s">
        <v>3258</v>
      </c>
      <c r="AC1272" s="336"/>
    </row>
    <row r="1273" spans="1:29" ht="60" customHeight="1">
      <c r="A1273" s="336">
        <v>1274</v>
      </c>
      <c r="B1273" s="349">
        <v>45303</v>
      </c>
      <c r="C1273" s="70">
        <v>0.33333333333333331</v>
      </c>
      <c r="D1273" s="325" t="s">
        <v>5008</v>
      </c>
      <c r="E1273" s="64" t="s">
        <v>5310</v>
      </c>
      <c r="F1273" s="336">
        <v>7</v>
      </c>
      <c r="G1273" s="336" t="s">
        <v>43</v>
      </c>
      <c r="H1273" s="383">
        <v>45307</v>
      </c>
      <c r="I1273" s="65" t="s">
        <v>228</v>
      </c>
      <c r="J1273" s="349" t="s">
        <v>4931</v>
      </c>
      <c r="K1273" s="63" t="s">
        <v>1916</v>
      </c>
      <c r="L1273" s="63" t="s">
        <v>4780</v>
      </c>
      <c r="M1273" s="63" t="s">
        <v>767</v>
      </c>
      <c r="N1273" s="63" t="s">
        <v>5367</v>
      </c>
      <c r="O1273" s="63" t="str">
        <f ca="1">IF(H1273&lt;&gt;"",IF(H1273&lt;=TODAY(),"SI","NO"),"LIMBO")</f>
        <v>SI</v>
      </c>
      <c r="P1273" s="63" t="str">
        <f>IF($P$1=H1273,"DIASOL", "DIANOSOL")</f>
        <v>DIANOSOL</v>
      </c>
      <c r="Q1273" s="63" t="s">
        <v>911</v>
      </c>
      <c r="R1273" s="63" t="str">
        <f>VLOOKUP($Q1273,Resultados!$A$1:$B$49,2,FALSE)</f>
        <v>Prision domiciliaria</v>
      </c>
      <c r="S1273" s="63" t="s">
        <v>74</v>
      </c>
      <c r="T1273" s="72" t="str">
        <f>IF(G1273=$J$1,"SI","NO")</f>
        <v>NO</v>
      </c>
      <c r="U1273" s="72"/>
      <c r="V1273" s="7" t="str">
        <f ca="1">IF(color_Celda(E1273)=12106214,"ROSA",IF(color_Celda(E1273)=65535,"AMARILLO",IF(color_Celda(E1273)=5296274,"VERDE",IF(color_Celda(E1273)=16777215,"BLANCO","NO SE"))))</f>
        <v>ROSA</v>
      </c>
      <c r="W1273" s="63" t="s">
        <v>5368</v>
      </c>
      <c r="X1273" s="63" t="s">
        <v>5369</v>
      </c>
      <c r="Y1273" s="336"/>
      <c r="Z1273" s="118" t="s">
        <v>5341</v>
      </c>
      <c r="AA1273" s="336"/>
      <c r="AB1273" s="118" t="s">
        <v>1170</v>
      </c>
      <c r="AC1273" s="336" t="s">
        <v>1792</v>
      </c>
    </row>
    <row r="1274" spans="1:29" ht="60" customHeight="1">
      <c r="A1274" s="336">
        <v>1252</v>
      </c>
      <c r="B1274" s="349">
        <v>45287</v>
      </c>
      <c r="C1274" s="568">
        <v>0.42777777777777781</v>
      </c>
      <c r="D1274" s="63" t="s">
        <v>4940</v>
      </c>
      <c r="E1274" s="64" t="s">
        <v>4941</v>
      </c>
      <c r="F1274" s="336">
        <v>7</v>
      </c>
      <c r="G1274" s="336" t="s">
        <v>2766</v>
      </c>
      <c r="H1274" s="383">
        <v>45308</v>
      </c>
      <c r="I1274" s="65" t="s">
        <v>76</v>
      </c>
      <c r="J1274" s="349" t="s">
        <v>1216</v>
      </c>
      <c r="K1274" s="336">
        <f>IFERROR(VLOOKUP(J1274,Jueces!$A$1:$B$11,2,FALSE),"")</f>
        <v>1</v>
      </c>
      <c r="L1274" s="63" t="s">
        <v>802</v>
      </c>
      <c r="M1274" s="422" t="s">
        <v>4039</v>
      </c>
      <c r="N1274" s="63" t="s">
        <v>5376</v>
      </c>
      <c r="O1274" s="78" t="str">
        <f ca="1">IF(H1274&lt;&gt;"",IF(H1274&lt;=TODAY(),"SI","NO"),"LIMBO")</f>
        <v>SI</v>
      </c>
      <c r="P1274" s="78" t="str">
        <f>IF($P$1=H1274,"DIASOL", "DIANOSOL")</f>
        <v>DIANOSOL</v>
      </c>
      <c r="Q1274" s="63" t="s">
        <v>903</v>
      </c>
      <c r="R1274" s="63" t="str">
        <f>VLOOKUP($Q1274,Resultados!$A$1:$B$49,2,FALSE)</f>
        <v>Juicio Abreviado</v>
      </c>
      <c r="S1274" s="63" t="s">
        <v>1298</v>
      </c>
      <c r="T1274" s="81" t="str">
        <f>IF(G1274=$J$1,"SI","NO")</f>
        <v>NO</v>
      </c>
      <c r="U1274" s="81"/>
      <c r="V1274" s="7" t="str">
        <f ca="1">IF(color_Celda(E1274)=12106214,"ROSA",IF(color_Celda(E1274)=65535,"AMARILLO",IF(color_Celda(E1274)=5296274,"VERDE",IF(color_Celda(E1274)=16777215,"BLANCO","NO SE"))))</f>
        <v>ROSA</v>
      </c>
      <c r="W1274" s="63" t="s">
        <v>3232</v>
      </c>
      <c r="X1274" s="63" t="s">
        <v>5377</v>
      </c>
      <c r="Y1274" s="336"/>
      <c r="Z1274" s="118" t="s">
        <v>5361</v>
      </c>
      <c r="AA1274" s="336"/>
      <c r="AB1274" s="118" t="s">
        <v>1170</v>
      </c>
      <c r="AC1274" s="336"/>
    </row>
    <row r="1275" spans="1:29" ht="60" customHeight="1">
      <c r="A1275" s="336">
        <v>1273</v>
      </c>
      <c r="B1275" s="349">
        <v>45288</v>
      </c>
      <c r="C1275" s="63" t="s">
        <v>1270</v>
      </c>
      <c r="D1275" s="63" t="s">
        <v>2724</v>
      </c>
      <c r="E1275" s="64" t="s">
        <v>4998</v>
      </c>
      <c r="F1275" s="63">
        <v>7</v>
      </c>
      <c r="G1275" s="63" t="s">
        <v>283</v>
      </c>
      <c r="H1275" s="208">
        <v>45308</v>
      </c>
      <c r="I1275" s="65" t="s">
        <v>76</v>
      </c>
      <c r="J1275" s="65" t="s">
        <v>1217</v>
      </c>
      <c r="K1275" s="63">
        <v>7</v>
      </c>
      <c r="L1275" s="63" t="s">
        <v>688</v>
      </c>
      <c r="M1275" s="63" t="s">
        <v>2736</v>
      </c>
      <c r="N1275" s="63" t="s">
        <v>4638</v>
      </c>
      <c r="O1275" s="78" t="str">
        <f ca="1">IF(H1275&lt;&gt;"",IF(H1275&lt;=TODAY(),"SI","NO"),"LIMBO")</f>
        <v>SI</v>
      </c>
      <c r="P1275" s="78" t="str">
        <f>IF($P$1=H1275,"DIASOL", "DIANOSOL")</f>
        <v>DIANOSOL</v>
      </c>
      <c r="Q1275" s="63" t="s">
        <v>151</v>
      </c>
      <c r="R1275" s="63" t="str">
        <f>VLOOKUP($Q1275,Resultados!$A$1:$B$49,2,FALSE)</f>
        <v>Prisión Preventiva</v>
      </c>
      <c r="S1275" s="63" t="s">
        <v>1206</v>
      </c>
      <c r="T1275" s="81" t="str">
        <f>IF(G1275=$J$1,"SI","NO")</f>
        <v>NO</v>
      </c>
      <c r="U1275" s="81"/>
      <c r="V1275" s="7" t="str">
        <f ca="1">IF(color_Celda(E1275)=12106214,"ROSA",IF(color_Celda(E1275)=65535,"AMARILLO",IF(color_Celda(E1275)=5296274,"VERDE",IF(color_Celda(E1275)=16777215,"BLANCO","NO SE"))))</f>
        <v>ROSA</v>
      </c>
      <c r="W1275" s="63" t="s">
        <v>2878</v>
      </c>
      <c r="X1275" s="63" t="s">
        <v>4644</v>
      </c>
      <c r="Y1275" s="336"/>
      <c r="Z1275" s="118" t="s">
        <v>770</v>
      </c>
      <c r="AA1275" s="336"/>
      <c r="AB1275" s="118" t="s">
        <v>3258</v>
      </c>
      <c r="AC1275" s="336"/>
    </row>
    <row r="1276" spans="1:29" ht="60" customHeight="1">
      <c r="A1276" s="336">
        <v>1277</v>
      </c>
      <c r="B1276" s="349">
        <v>45272</v>
      </c>
      <c r="C1276" s="568" t="s">
        <v>5011</v>
      </c>
      <c r="D1276" s="336" t="s">
        <v>3419</v>
      </c>
      <c r="E1276" s="355" t="s">
        <v>3420</v>
      </c>
      <c r="F1276" s="336">
        <v>1</v>
      </c>
      <c r="G1276" s="336" t="s">
        <v>43</v>
      </c>
      <c r="H1276" s="383">
        <v>45308</v>
      </c>
      <c r="I1276" s="65" t="s">
        <v>75</v>
      </c>
      <c r="J1276" s="349" t="s">
        <v>1216</v>
      </c>
      <c r="K1276" s="336">
        <f>IFERROR(VLOOKUP(J1276,Jueces!$A$1:$B$11,2,FALSE),"")</f>
        <v>1</v>
      </c>
      <c r="L1276" s="63" t="s">
        <v>810</v>
      </c>
      <c r="M1276" s="63" t="s">
        <v>783</v>
      </c>
      <c r="N1276" s="63" t="s">
        <v>5378</v>
      </c>
      <c r="O1276" s="78" t="str">
        <f ca="1">IF(H1276&lt;&gt;"",IF(H1276&lt;=TODAY(),"SI","NO"),"LIMBO")</f>
        <v>SI</v>
      </c>
      <c r="P1276" s="78" t="str">
        <f>IF($P$1=H1276,"DIASOL", "DIANOSOL")</f>
        <v>DIANOSOL</v>
      </c>
      <c r="Q1276" s="63" t="s">
        <v>897</v>
      </c>
      <c r="R1276" s="63" t="str">
        <f>VLOOKUP($Q1276,Resultados!$A$1:$B$49,2,FALSE)</f>
        <v>Libertad</v>
      </c>
      <c r="S1276" s="63" t="s">
        <v>3309</v>
      </c>
      <c r="T1276" s="81" t="str">
        <f>IF(G1276=$J$1,"SI","NO")</f>
        <v>NO</v>
      </c>
      <c r="U1276" s="81"/>
      <c r="V1276" s="7" t="str">
        <f ca="1">IF(color_Celda(E1276)=12106214,"ROSA",IF(color_Celda(E1276)=65535,"AMARILLO",IF(color_Celda(E1276)=5296274,"VERDE",IF(color_Celda(E1276)=16777215,"BLANCO","NO SE"))))</f>
        <v>ROSA</v>
      </c>
      <c r="W1276" s="63" t="s">
        <v>3563</v>
      </c>
      <c r="X1276" s="63" t="s">
        <v>5379</v>
      </c>
      <c r="Y1276" s="336"/>
      <c r="Z1276" s="118" t="s">
        <v>5361</v>
      </c>
      <c r="AA1276" s="336"/>
      <c r="AB1276" s="118" t="s">
        <v>5362</v>
      </c>
      <c r="AC1276" s="336"/>
    </row>
    <row r="1277" spans="1:29" ht="60" customHeight="1">
      <c r="A1277" s="336">
        <v>1275</v>
      </c>
      <c r="B1277" s="65">
        <v>45306</v>
      </c>
      <c r="C1277" s="70">
        <v>0.33333333333333331</v>
      </c>
      <c r="D1277" s="63" t="s">
        <v>5006</v>
      </c>
      <c r="E1277" s="64" t="s">
        <v>5357</v>
      </c>
      <c r="F1277" s="336">
        <v>7</v>
      </c>
      <c r="G1277" s="336" t="s">
        <v>4934</v>
      </c>
      <c r="H1277" s="383">
        <v>45308</v>
      </c>
      <c r="I1277" s="65" t="s">
        <v>75</v>
      </c>
      <c r="J1277" s="349" t="s">
        <v>1217</v>
      </c>
      <c r="K1277" s="336">
        <f>IFERROR(VLOOKUP(J1277,Jueces!$A$1:$B$11,2,FALSE),"")</f>
        <v>7</v>
      </c>
      <c r="L1277" s="63" t="s">
        <v>4791</v>
      </c>
      <c r="M1277" s="63" t="s">
        <v>885</v>
      </c>
      <c r="N1277" s="63" t="s">
        <v>5391</v>
      </c>
      <c r="O1277" s="63" t="str">
        <f ca="1">IF(H1277&lt;&gt;"",IF(H1277&lt;=TODAY(),"SI","NO"),"LIMBO")</f>
        <v>SI</v>
      </c>
      <c r="P1277" s="63" t="str">
        <f>IF($P$1=H1277,"DIASOL", "DIANOSOL")</f>
        <v>DIANOSOL</v>
      </c>
      <c r="Q1277" s="63" t="s">
        <v>902</v>
      </c>
      <c r="R1277" s="63" t="str">
        <f>VLOOKUP($Q1277,Resultados!$A$1:$B$49,2,FALSE)</f>
        <v>Juicio Abreviado</v>
      </c>
      <c r="S1277" s="63" t="s">
        <v>1796</v>
      </c>
      <c r="T1277" s="72" t="str">
        <f>IF(G1277=$J$1,"SI","NO")</f>
        <v>NO</v>
      </c>
      <c r="U1277" s="72"/>
      <c r="V1277" s="7" t="str">
        <f ca="1">IF(color_Celda(E1277)=12106214,"ROSA",IF(color_Celda(E1277)=65535,"AMARILLO",IF(color_Celda(E1277)=5296274,"VERDE",IF(color_Celda(E1277)=16777215,"BLANCO","NO SE"))))</f>
        <v>ROSA</v>
      </c>
      <c r="W1277" s="63" t="s">
        <v>4387</v>
      </c>
      <c r="X1277" s="63" t="s">
        <v>4891</v>
      </c>
      <c r="Y1277" s="336"/>
      <c r="Z1277" s="118" t="s">
        <v>770</v>
      </c>
      <c r="AA1277" s="336"/>
      <c r="AB1277" s="118" t="s">
        <v>1170</v>
      </c>
      <c r="AC1277" s="336"/>
    </row>
    <row r="1278" spans="1:29" ht="60" customHeight="1">
      <c r="A1278" s="336">
        <v>1285</v>
      </c>
      <c r="B1278" s="349">
        <v>45289</v>
      </c>
      <c r="C1278" s="568">
        <v>0.52083333333333337</v>
      </c>
      <c r="D1278" s="63" t="s">
        <v>5037</v>
      </c>
      <c r="E1278" s="64" t="s">
        <v>5038</v>
      </c>
      <c r="F1278" s="336">
        <v>7</v>
      </c>
      <c r="G1278" s="336" t="s">
        <v>5009</v>
      </c>
      <c r="H1278" s="383">
        <v>45308</v>
      </c>
      <c r="I1278" s="65" t="s">
        <v>77</v>
      </c>
      <c r="J1278" s="349" t="s">
        <v>1217</v>
      </c>
      <c r="K1278" s="336">
        <f>IFERROR(VLOOKUP(J1278,Jueces!$A$1:$B$11,2,FALSE),"")</f>
        <v>7</v>
      </c>
      <c r="L1278" s="63" t="s">
        <v>4792</v>
      </c>
      <c r="M1278" s="63" t="s">
        <v>767</v>
      </c>
      <c r="N1278" s="63" t="s">
        <v>4638</v>
      </c>
      <c r="O1278" s="63" t="str">
        <f ca="1">IF(H1278&lt;&gt;"",IF(H1278&lt;=TODAY(),"SI","NO"),"LIMBO")</f>
        <v>SI</v>
      </c>
      <c r="P1278" s="63" t="str">
        <f>IF($P$1=H1278,"DIASOL", "DIANOSOL")</f>
        <v>DIANOSOL</v>
      </c>
      <c r="Q1278" s="63" t="s">
        <v>151</v>
      </c>
      <c r="R1278" s="63" t="str">
        <f>VLOOKUP($Q1278,Resultados!$A$1:$B$49,2,FALSE)</f>
        <v>Prisión Preventiva</v>
      </c>
      <c r="S1278" s="63" t="s">
        <v>3764</v>
      </c>
      <c r="T1278" s="72" t="str">
        <f>IF(G1278=$J$1,"SI","NO")</f>
        <v>NO</v>
      </c>
      <c r="U1278" s="72"/>
      <c r="V1278" s="7" t="str">
        <f ca="1">IF(color_Celda(E1278)=12106214,"ROSA",IF(color_Celda(E1278)=65535,"AMARILLO",IF(color_Celda(E1278)=5296274,"VERDE",IF(color_Celda(E1278)=16777215,"BLANCO","NO SE"))))</f>
        <v>ROSA</v>
      </c>
      <c r="W1278" s="63" t="s">
        <v>4988</v>
      </c>
      <c r="X1278" s="63" t="s">
        <v>4891</v>
      </c>
      <c r="Y1278" s="336"/>
      <c r="Z1278" s="118" t="s">
        <v>770</v>
      </c>
      <c r="AA1278" s="336"/>
      <c r="AB1278" s="118" t="s">
        <v>1170</v>
      </c>
      <c r="AC1278" s="336"/>
    </row>
    <row r="1279" spans="1:29" ht="60" customHeight="1">
      <c r="A1279" s="336">
        <v>1288</v>
      </c>
      <c r="B1279" s="349">
        <v>45289</v>
      </c>
      <c r="C1279" s="568">
        <v>0.52083333333333337</v>
      </c>
      <c r="D1279" s="63" t="s">
        <v>5043</v>
      </c>
      <c r="E1279" s="64" t="s">
        <v>5044</v>
      </c>
      <c r="F1279" s="336">
        <v>7</v>
      </c>
      <c r="G1279" s="336" t="s">
        <v>1433</v>
      </c>
      <c r="H1279" s="208">
        <v>45308</v>
      </c>
      <c r="I1279" s="65" t="s">
        <v>77</v>
      </c>
      <c r="J1279" s="349" t="s">
        <v>1216</v>
      </c>
      <c r="K1279" s="336">
        <f>IFERROR(VLOOKUP(J1279,Jueces!$A$1:$B$11,2,FALSE),"")</f>
        <v>1</v>
      </c>
      <c r="L1279" s="63" t="s">
        <v>4790</v>
      </c>
      <c r="M1279" s="339" t="s">
        <v>4186</v>
      </c>
      <c r="N1279" s="63" t="s">
        <v>5383</v>
      </c>
      <c r="O1279" s="78" t="str">
        <f ca="1">IF(H1279&lt;&gt;"",IF(H1279&lt;=TODAY(),"SI","NO"),"LIMBO")</f>
        <v>SI</v>
      </c>
      <c r="P1279" s="78" t="str">
        <f>IF($P$1=H1279,"DIASOL", "DIANOSOL")</f>
        <v>DIANOSOL</v>
      </c>
      <c r="Q1279" s="63" t="s">
        <v>903</v>
      </c>
      <c r="R1279" s="63" t="str">
        <f>VLOOKUP($Q1279,Resultados!$A$1:$B$49,2,FALSE)</f>
        <v>Juicio Abreviado</v>
      </c>
      <c r="S1279" s="63" t="s">
        <v>3738</v>
      </c>
      <c r="T1279" s="81" t="str">
        <f>IF(G1279=$J$1,"SI","NO")</f>
        <v>NO</v>
      </c>
      <c r="U1279" s="81"/>
      <c r="V1279" s="7" t="str">
        <f ca="1">IF(color_Celda(E1279)=12106214,"ROSA",IF(color_Celda(E1279)=65535,"AMARILLO",IF(color_Celda(E1279)=5296274,"VERDE",IF(color_Celda(E1279)=16777215,"BLANCO","NO SE"))))</f>
        <v>ROSA</v>
      </c>
      <c r="W1279" s="63" t="s">
        <v>3997</v>
      </c>
      <c r="X1279" s="63" t="s">
        <v>4644</v>
      </c>
      <c r="Y1279" s="336"/>
      <c r="Z1279" s="118" t="s">
        <v>5361</v>
      </c>
      <c r="AA1279" s="336"/>
      <c r="AB1279" s="118" t="s">
        <v>5362</v>
      </c>
      <c r="AC1279" s="336"/>
    </row>
    <row r="1280" spans="1:29" ht="60" customHeight="1">
      <c r="A1280" s="336">
        <v>1276</v>
      </c>
      <c r="B1280" s="65">
        <v>45306</v>
      </c>
      <c r="C1280" s="70">
        <v>0.33333333333333331</v>
      </c>
      <c r="D1280" s="63" t="s">
        <v>5007</v>
      </c>
      <c r="E1280" s="64" t="s">
        <v>4999</v>
      </c>
      <c r="F1280" s="336">
        <v>7</v>
      </c>
      <c r="G1280" s="336" t="s">
        <v>3791</v>
      </c>
      <c r="H1280" s="383">
        <v>45308</v>
      </c>
      <c r="I1280" s="65" t="s">
        <v>77</v>
      </c>
      <c r="J1280" s="349" t="s">
        <v>4931</v>
      </c>
      <c r="K1280" s="63" t="s">
        <v>1916</v>
      </c>
      <c r="L1280" s="63" t="s">
        <v>4788</v>
      </c>
      <c r="M1280" s="63" t="s">
        <v>885</v>
      </c>
      <c r="N1280" s="63" t="s">
        <v>621</v>
      </c>
      <c r="O1280" s="78" t="str">
        <f ca="1">IF(H1280&lt;&gt;"",IF(H1280&lt;=TODAY(),"SI","NO"),"LIMBO")</f>
        <v>SI</v>
      </c>
      <c r="P1280" s="78" t="str">
        <f>IF($P$1=H1280,"DIASOL", "DIANOSOL")</f>
        <v>DIANOSOL</v>
      </c>
      <c r="Q1280" s="63" t="s">
        <v>151</v>
      </c>
      <c r="R1280" s="63" t="str">
        <f>VLOOKUP($Q1280,Resultados!$A$1:$B$49,2,FALSE)</f>
        <v>Prisión Preventiva</v>
      </c>
      <c r="S1280" s="63" t="s">
        <v>1630</v>
      </c>
      <c r="T1280" s="81" t="str">
        <f>IF(G1280=$J$1,"SI","NO")</f>
        <v>NO</v>
      </c>
      <c r="U1280" s="81"/>
      <c r="V1280" s="7" t="str">
        <f ca="1">IF(color_Celda(E1280)=12106214,"ROSA",IF(color_Celda(E1280)=65535,"AMARILLO",IF(color_Celda(E1280)=5296274,"VERDE",IF(color_Celda(E1280)=16777215,"BLANCO","NO SE"))))</f>
        <v>ROSA</v>
      </c>
      <c r="W1280" s="63" t="s">
        <v>5382</v>
      </c>
      <c r="X1280" s="63" t="s">
        <v>4891</v>
      </c>
      <c r="Y1280" s="336"/>
      <c r="Z1280" s="118" t="s">
        <v>5360</v>
      </c>
      <c r="AA1280" s="336"/>
      <c r="AB1280" s="118" t="s">
        <v>3258</v>
      </c>
      <c r="AC1280" s="336"/>
    </row>
    <row r="1281" spans="1:29" ht="60" customHeight="1">
      <c r="A1281" s="336">
        <v>1349</v>
      </c>
      <c r="B1281" s="349">
        <v>45281</v>
      </c>
      <c r="C1281" s="336"/>
      <c r="D1281" s="63" t="s">
        <v>5232</v>
      </c>
      <c r="E1281" s="64" t="s">
        <v>5233</v>
      </c>
      <c r="F1281" s="63">
        <v>5</v>
      </c>
      <c r="G1281" s="63" t="s">
        <v>43</v>
      </c>
      <c r="H1281" s="383">
        <v>45308</v>
      </c>
      <c r="I1281" s="65" t="s">
        <v>2011</v>
      </c>
      <c r="J1281" s="65" t="s">
        <v>1217</v>
      </c>
      <c r="K1281" s="336">
        <f>IFERROR(VLOOKUP(J1281,Jueces!$A$1:$B$11,2,FALSE),"")</f>
        <v>7</v>
      </c>
      <c r="L1281" s="63" t="s">
        <v>569</v>
      </c>
      <c r="M1281" s="63" t="s">
        <v>3381</v>
      </c>
      <c r="N1281" s="63" t="s">
        <v>4638</v>
      </c>
      <c r="O1281" s="63" t="str">
        <f ca="1">IF(H1281&lt;&gt;"",IF(H1281&lt;=TODAY(),"SI","NO"),"LIMBO")</f>
        <v>SI</v>
      </c>
      <c r="P1281" s="63" t="str">
        <f>IF($P$1=H1281,"DIASOL", "DIANOSOL")</f>
        <v>DIANOSOL</v>
      </c>
      <c r="Q1281" s="63" t="s">
        <v>151</v>
      </c>
      <c r="R1281" s="63" t="str">
        <f>VLOOKUP($Q1281,Resultados!$A$1:$B$49,2,FALSE)</f>
        <v>Prisión Preventiva</v>
      </c>
      <c r="S1281" s="63" t="s">
        <v>4390</v>
      </c>
      <c r="T1281" s="72" t="str">
        <f>IF(G1281=$J$1,"SI","NO")</f>
        <v>NO</v>
      </c>
      <c r="U1281" s="72"/>
      <c r="V1281" s="7" t="str">
        <f ca="1">IF(color_Celda(E1281)=12106214,"ROSA",IF(color_Celda(E1281)=65535,"AMARILLO",IF(color_Celda(E1281)=5296274,"VERDE",IF(color_Celda(E1281)=16777215,"BLANCO","NO SE"))))</f>
        <v>ROSA</v>
      </c>
      <c r="W1281" s="63" t="s">
        <v>5392</v>
      </c>
      <c r="X1281" s="336"/>
      <c r="Y1281" s="336"/>
      <c r="Z1281" s="118" t="s">
        <v>770</v>
      </c>
      <c r="AA1281" s="336"/>
      <c r="AB1281" s="118" t="s">
        <v>3258</v>
      </c>
      <c r="AC1281" s="336"/>
    </row>
    <row r="1282" spans="1:29" ht="60" customHeight="1">
      <c r="A1282" s="336">
        <v>1268</v>
      </c>
      <c r="B1282" s="349">
        <v>45288</v>
      </c>
      <c r="C1282" s="63" t="s">
        <v>2685</v>
      </c>
      <c r="D1282" s="63" t="s">
        <v>4960</v>
      </c>
      <c r="E1282" s="64" t="s">
        <v>5116</v>
      </c>
      <c r="F1282" s="336">
        <v>7</v>
      </c>
      <c r="G1282" s="336" t="s">
        <v>3639</v>
      </c>
      <c r="H1282" s="383">
        <v>45308</v>
      </c>
      <c r="I1282" s="65" t="s">
        <v>74</v>
      </c>
      <c r="J1282" s="349" t="s">
        <v>4931</v>
      </c>
      <c r="K1282" s="63" t="s">
        <v>1916</v>
      </c>
      <c r="L1282" s="63" t="s">
        <v>802</v>
      </c>
      <c r="M1282" s="63" t="s">
        <v>885</v>
      </c>
      <c r="N1282" s="63" t="s">
        <v>5380</v>
      </c>
      <c r="O1282" s="78" t="str">
        <f ca="1">IF(H1282&lt;&gt;"",IF(H1282&lt;=TODAY(),"SI","NO"),"LIMBO")</f>
        <v>SI</v>
      </c>
      <c r="P1282" s="78" t="str">
        <f>IF($P$1=H1282,"DIASOL", "DIANOSOL")</f>
        <v>DIANOSOL</v>
      </c>
      <c r="Q1282" s="63" t="s">
        <v>151</v>
      </c>
      <c r="R1282" s="63" t="str">
        <f>VLOOKUP($Q1282,Resultados!$A$1:$B$49,2,FALSE)</f>
        <v>Prisión Preventiva</v>
      </c>
      <c r="S1282" s="63" t="s">
        <v>1687</v>
      </c>
      <c r="T1282" s="81" t="str">
        <f>IF(G1282=$J$1,"SI","NO")</f>
        <v>NO</v>
      </c>
      <c r="U1282" s="81"/>
      <c r="V1282" s="7" t="str">
        <f ca="1">IF(color_Celda(E1282)=12106214,"ROSA",IF(color_Celda(E1282)=65535,"AMARILLO",IF(color_Celda(E1282)=5296274,"VERDE",IF(color_Celda(E1282)=16777215,"BLANCO","NO SE"))))</f>
        <v>ROSA</v>
      </c>
      <c r="W1282" s="63" t="s">
        <v>3439</v>
      </c>
      <c r="X1282" s="63" t="s">
        <v>5381</v>
      </c>
      <c r="Y1282" s="336"/>
      <c r="Z1282" s="118" t="s">
        <v>5360</v>
      </c>
      <c r="AA1282" s="336"/>
      <c r="AB1282" s="118" t="s">
        <v>1170</v>
      </c>
      <c r="AC1282" s="336"/>
    </row>
    <row r="1283" spans="1:29" ht="60" customHeight="1">
      <c r="A1283" s="336">
        <v>1282</v>
      </c>
      <c r="B1283" s="349">
        <v>45289</v>
      </c>
      <c r="C1283" s="568">
        <v>0.4680555555555555</v>
      </c>
      <c r="D1283" s="63" t="s">
        <v>5032</v>
      </c>
      <c r="E1283" s="64" t="s">
        <v>5356</v>
      </c>
      <c r="F1283" s="336">
        <v>7</v>
      </c>
      <c r="G1283" s="336" t="s">
        <v>283</v>
      </c>
      <c r="H1283" s="383">
        <v>45309</v>
      </c>
      <c r="I1283" s="65" t="s">
        <v>76</v>
      </c>
      <c r="J1283" s="349" t="s">
        <v>4931</v>
      </c>
      <c r="K1283" s="63" t="s">
        <v>1916</v>
      </c>
      <c r="L1283" s="63" t="s">
        <v>4791</v>
      </c>
      <c r="M1283" s="63" t="s">
        <v>885</v>
      </c>
      <c r="N1283" s="336" t="s">
        <v>5393</v>
      </c>
      <c r="O1283" s="63" t="str">
        <f ca="1">IF(H1283&lt;&gt;"",IF(H1283&lt;=TODAY(),"SI","NO"),"LIMBO")</f>
        <v>SI</v>
      </c>
      <c r="P1283" s="63" t="str">
        <f>IF($P$1=H1283,"DIASOL", "DIANOSOL")</f>
        <v>DIANOSOL</v>
      </c>
      <c r="Q1283" s="63" t="s">
        <v>151</v>
      </c>
      <c r="R1283" s="63" t="str">
        <f>VLOOKUP($Q1283,Resultados!$A$1:$B$49,2,FALSE)</f>
        <v>Prisión Preventiva</v>
      </c>
      <c r="S1283" s="63" t="s">
        <v>1457</v>
      </c>
      <c r="T1283" s="72" t="str">
        <f>IF(G1283=$J$1,"SI","NO")</f>
        <v>NO</v>
      </c>
      <c r="U1283" s="72"/>
      <c r="V1283" s="7" t="str">
        <f ca="1">IF(color_Celda(E1283)=12106214,"ROSA",IF(color_Celda(E1283)=65535,"AMARILLO",IF(color_Celda(E1283)=5296274,"VERDE",IF(color_Celda(E1283)=16777215,"BLANCO","NO SE"))))</f>
        <v>ROSA</v>
      </c>
      <c r="W1283" s="336" t="s">
        <v>3521</v>
      </c>
      <c r="X1283" s="336" t="s">
        <v>5394</v>
      </c>
      <c r="Y1283" s="336"/>
      <c r="Z1283" s="336"/>
      <c r="AA1283" s="336"/>
      <c r="AB1283" s="336"/>
      <c r="AC1283" s="336"/>
    </row>
    <row r="1284" spans="1:29" ht="60" customHeight="1">
      <c r="A1284" s="336">
        <v>1287</v>
      </c>
      <c r="B1284" s="349">
        <v>45289</v>
      </c>
      <c r="C1284" s="568">
        <v>0.52083333333333337</v>
      </c>
      <c r="D1284" s="63" t="s">
        <v>5041</v>
      </c>
      <c r="E1284" s="64" t="s">
        <v>5042</v>
      </c>
      <c r="F1284" s="336">
        <v>7</v>
      </c>
      <c r="G1284" s="336" t="s">
        <v>4934</v>
      </c>
      <c r="H1284" s="383">
        <v>45309</v>
      </c>
      <c r="I1284" s="65" t="s">
        <v>76</v>
      </c>
      <c r="J1284" s="349" t="s">
        <v>1216</v>
      </c>
      <c r="K1284" s="336">
        <f>IFERROR(VLOOKUP(J1284,Jueces!$A$1:$B$11,2,FALSE),"")</f>
        <v>1</v>
      </c>
      <c r="L1284" s="63" t="s">
        <v>4788</v>
      </c>
      <c r="M1284" s="63" t="s">
        <v>767</v>
      </c>
      <c r="N1284" s="336" t="s">
        <v>5395</v>
      </c>
      <c r="O1284" s="63" t="str">
        <f ca="1">IF(H1284&lt;&gt;"",IF(H1284&lt;=TODAY(),"SI","NO"),"LIMBO")</f>
        <v>SI</v>
      </c>
      <c r="P1284" s="63" t="str">
        <f>IF($P$1=H1284,"DIASOL", "DIANOSOL")</f>
        <v>DIANOSOL</v>
      </c>
      <c r="Q1284" s="63" t="s">
        <v>151</v>
      </c>
      <c r="R1284" s="63" t="str">
        <f>VLOOKUP($Q1284,Resultados!$A$1:$B$49,2,FALSE)</f>
        <v>Prisión Preventiva</v>
      </c>
      <c r="S1284" s="63" t="s">
        <v>4531</v>
      </c>
      <c r="T1284" s="72" t="str">
        <f>IF(G1284=$J$1,"SI","NO")</f>
        <v>NO</v>
      </c>
      <c r="U1284" s="72"/>
      <c r="V1284" s="7" t="str">
        <f ca="1">IF(color_Celda(E1284)=12106214,"ROSA",IF(color_Celda(E1284)=65535,"AMARILLO",IF(color_Celda(E1284)=5296274,"VERDE",IF(color_Celda(E1284)=16777215,"BLANCO","NO SE"))))</f>
        <v>ROSA</v>
      </c>
      <c r="W1284" s="336" t="s">
        <v>4052</v>
      </c>
      <c r="X1284" s="336" t="s">
        <v>5396</v>
      </c>
      <c r="Y1284" s="336"/>
      <c r="Z1284" s="336"/>
      <c r="AA1284" s="336"/>
      <c r="AB1284" s="336"/>
      <c r="AC1284" s="336"/>
    </row>
    <row r="1285" spans="1:29" ht="60" customHeight="1">
      <c r="A1285" s="336">
        <v>1304</v>
      </c>
      <c r="B1285" s="349">
        <v>45293</v>
      </c>
      <c r="C1285" s="568">
        <v>0.46736111111111112</v>
      </c>
      <c r="D1285" s="375" t="s">
        <v>3413</v>
      </c>
      <c r="E1285" s="64" t="s">
        <v>5086</v>
      </c>
      <c r="F1285" s="336">
        <v>2</v>
      </c>
      <c r="G1285" s="336" t="s">
        <v>3791</v>
      </c>
      <c r="H1285" s="383">
        <v>45309</v>
      </c>
      <c r="I1285" s="65" t="s">
        <v>76</v>
      </c>
      <c r="J1285" s="349" t="s">
        <v>1217</v>
      </c>
      <c r="K1285" s="336">
        <f>IFERROR(VLOOKUP(J1285,Jueces!$A$1:$B$11,2,FALSE),"")</f>
        <v>7</v>
      </c>
      <c r="L1285" s="63" t="s">
        <v>797</v>
      </c>
      <c r="M1285" s="63" t="s">
        <v>692</v>
      </c>
      <c r="N1285" s="336" t="s">
        <v>5399</v>
      </c>
      <c r="O1285" s="78" t="str">
        <f ca="1">IF(H1285&lt;&gt;"",IF(H1285&lt;=TODAY(),"SI","NO"),"LIMBO")</f>
        <v>SI</v>
      </c>
      <c r="P1285" s="78" t="str">
        <f>IF($P$1=H1285,"DIASOL", "DIANOSOL")</f>
        <v>DIANOSOL</v>
      </c>
      <c r="Q1285" s="63" t="s">
        <v>902</v>
      </c>
      <c r="R1285" s="63" t="str">
        <f>VLOOKUP($Q1285,Resultados!$A$1:$B$49,2,FALSE)</f>
        <v>Juicio Abreviado</v>
      </c>
      <c r="S1285" s="63" t="s">
        <v>1003</v>
      </c>
      <c r="T1285" s="81" t="str">
        <f>IF(G1285=$J$1,"SI","NO")</f>
        <v>NO</v>
      </c>
      <c r="U1285" s="81"/>
      <c r="V1285" s="7" t="str">
        <f ca="1">IF(color_Celda(E1285)=12106214,"ROSA",IF(color_Celda(E1285)=65535,"AMARILLO",IF(color_Celda(E1285)=5296274,"VERDE",IF(color_Celda(E1285)=16777215,"BLANCO","NO SE"))))</f>
        <v>ROSA</v>
      </c>
      <c r="W1285" s="336" t="s">
        <v>1272</v>
      </c>
      <c r="X1285" s="63" t="s">
        <v>4877</v>
      </c>
      <c r="Y1285" s="336"/>
      <c r="Z1285" s="336"/>
      <c r="AA1285" s="336"/>
      <c r="AB1285" s="336"/>
      <c r="AC1285" s="336" t="s">
        <v>1792</v>
      </c>
    </row>
    <row r="1286" spans="1:29" ht="60" customHeight="1">
      <c r="A1286" s="336">
        <v>1317</v>
      </c>
      <c r="B1286" s="65">
        <v>45306</v>
      </c>
      <c r="C1286" s="70">
        <v>0.33333333333333331</v>
      </c>
      <c r="D1286" s="63" t="s">
        <v>4622</v>
      </c>
      <c r="E1286" s="64" t="s">
        <v>4623</v>
      </c>
      <c r="F1286" s="336">
        <v>4</v>
      </c>
      <c r="G1286" s="63" t="s">
        <v>1433</v>
      </c>
      <c r="H1286" s="383">
        <v>45309</v>
      </c>
      <c r="I1286" s="65" t="s">
        <v>75</v>
      </c>
      <c r="J1286" s="65" t="s">
        <v>1216</v>
      </c>
      <c r="K1286" s="63" t="s">
        <v>3776</v>
      </c>
      <c r="L1286" s="63" t="s">
        <v>569</v>
      </c>
      <c r="M1286" s="63" t="s">
        <v>725</v>
      </c>
      <c r="N1286" s="336" t="s">
        <v>5400</v>
      </c>
      <c r="O1286" s="78" t="str">
        <f ca="1">IF(H1286&lt;&gt;"",IF(H1286&lt;=TODAY(),"SI","NO"),"LIMBO")</f>
        <v>SI</v>
      </c>
      <c r="P1286" s="78" t="str">
        <f>IF($P$1=H1286,"DIASOL", "DIANOSOL")</f>
        <v>DIANOSOL</v>
      </c>
      <c r="Q1286" s="63" t="s">
        <v>902</v>
      </c>
      <c r="R1286" s="63" t="str">
        <f>VLOOKUP($Q1286,Resultados!$A$1:$B$49,2,FALSE)</f>
        <v>Juicio Abreviado</v>
      </c>
      <c r="S1286" s="63" t="s">
        <v>1146</v>
      </c>
      <c r="T1286" s="81" t="str">
        <f>IF(G1286=$J$1,"SI","NO")</f>
        <v>NO</v>
      </c>
      <c r="U1286" s="81"/>
      <c r="V1286" s="7" t="str">
        <f ca="1">IF(color_Celda(E1286)=12106214,"ROSA",IF(color_Celda(E1286)=65535,"AMARILLO",IF(color_Celda(E1286)=5296274,"VERDE",IF(color_Celda(E1286)=16777215,"BLANCO","NO SE"))))</f>
        <v>ROSA</v>
      </c>
      <c r="W1286" s="63" t="s">
        <v>5398</v>
      </c>
      <c r="X1286" s="63" t="s">
        <v>4644</v>
      </c>
      <c r="Y1286" s="336"/>
      <c r="Z1286" s="336"/>
      <c r="AA1286" s="336"/>
      <c r="AB1286" s="336"/>
      <c r="AC1286" s="336"/>
    </row>
    <row r="1287" spans="1:29" ht="60" customHeight="1">
      <c r="A1287" s="336">
        <v>1286</v>
      </c>
      <c r="B1287" s="349">
        <v>45289</v>
      </c>
      <c r="C1287" s="568">
        <v>0.52083333333333337</v>
      </c>
      <c r="D1287" s="63" t="s">
        <v>5039</v>
      </c>
      <c r="E1287" s="64" t="s">
        <v>5040</v>
      </c>
      <c r="F1287" s="336">
        <v>7</v>
      </c>
      <c r="G1287" s="336" t="s">
        <v>43</v>
      </c>
      <c r="H1287" s="383">
        <v>45309</v>
      </c>
      <c r="I1287" s="65" t="s">
        <v>77</v>
      </c>
      <c r="J1287" s="349" t="s">
        <v>4931</v>
      </c>
      <c r="K1287" s="63" t="s">
        <v>1916</v>
      </c>
      <c r="L1287" s="63" t="s">
        <v>4791</v>
      </c>
      <c r="M1287" s="63" t="s">
        <v>885</v>
      </c>
      <c r="N1287" s="336" t="s">
        <v>4638</v>
      </c>
      <c r="O1287" s="78" t="str">
        <f ca="1">IF(H1287&lt;&gt;"",IF(H1287&lt;=TODAY(),"SI","NO"),"LIMBO")</f>
        <v>SI</v>
      </c>
      <c r="P1287" s="78" t="str">
        <f>IF($P$1=H1287,"DIASOL", "DIANOSOL")</f>
        <v>DIANOSOL</v>
      </c>
      <c r="Q1287" s="63" t="s">
        <v>151</v>
      </c>
      <c r="R1287" s="63" t="str">
        <f>VLOOKUP($Q1287,Resultados!$A$1:$B$49,2,FALSE)</f>
        <v>Prisión Preventiva</v>
      </c>
      <c r="S1287" s="63" t="s">
        <v>4476</v>
      </c>
      <c r="T1287" s="81" t="str">
        <f>IF(G1287=$J$1,"SI","NO")</f>
        <v>NO</v>
      </c>
      <c r="U1287" s="81"/>
      <c r="V1287" s="7" t="str">
        <f ca="1">IF(color_Celda(E1287)=12106214,"ROSA",IF(color_Celda(E1287)=65535,"AMARILLO",IF(color_Celda(E1287)=5296274,"VERDE",IF(color_Celda(E1287)=16777215,"BLANCO","NO SE"))))</f>
        <v>ROSA</v>
      </c>
      <c r="W1287" s="336" t="s">
        <v>1123</v>
      </c>
      <c r="X1287" s="336" t="s">
        <v>4891</v>
      </c>
      <c r="Y1287" s="336"/>
      <c r="Z1287" s="336"/>
      <c r="AA1287" s="336"/>
      <c r="AB1287" s="336"/>
      <c r="AC1287" s="336"/>
    </row>
    <row r="1288" spans="1:29" ht="60" customHeight="1">
      <c r="A1288" s="336">
        <v>1305</v>
      </c>
      <c r="B1288" s="349">
        <v>45294</v>
      </c>
      <c r="C1288" s="568">
        <v>0.45555555555555555</v>
      </c>
      <c r="D1288" s="63" t="s">
        <v>5087</v>
      </c>
      <c r="E1288" s="64" t="s">
        <v>5088</v>
      </c>
      <c r="F1288" s="336">
        <v>1</v>
      </c>
      <c r="G1288" s="336" t="s">
        <v>3639</v>
      </c>
      <c r="H1288" s="383">
        <v>45309</v>
      </c>
      <c r="I1288" s="65" t="s">
        <v>77</v>
      </c>
      <c r="J1288" s="349" t="s">
        <v>1217</v>
      </c>
      <c r="K1288" s="336">
        <f>IFERROR(VLOOKUP(J1288,Jueces!$A$1:$B$11,2,FALSE),"")</f>
        <v>7</v>
      </c>
      <c r="L1288" s="63" t="s">
        <v>4790</v>
      </c>
      <c r="M1288" s="63" t="s">
        <v>1084</v>
      </c>
      <c r="N1288" s="336" t="s">
        <v>5397</v>
      </c>
      <c r="O1288" s="78" t="str">
        <f ca="1">IF(H1288&lt;&gt;"",IF(H1288&lt;=TODAY(),"SI","NO"),"LIMBO")</f>
        <v>SI</v>
      </c>
      <c r="P1288" s="78" t="str">
        <f>IF($P$1=H1288,"DIASOL", "DIANOSOL")</f>
        <v>DIANOSOL</v>
      </c>
      <c r="Q1288" s="63" t="s">
        <v>902</v>
      </c>
      <c r="R1288" s="63" t="str">
        <f>VLOOKUP($Q1288,Resultados!$A$1:$B$49,2,FALSE)</f>
        <v>Juicio Abreviado</v>
      </c>
      <c r="S1288" s="63" t="s">
        <v>1146</v>
      </c>
      <c r="T1288" s="81" t="str">
        <f>IF(G1288=$J$1,"SI","NO")</f>
        <v>NO</v>
      </c>
      <c r="U1288" s="81"/>
      <c r="V1288" s="7" t="str">
        <f ca="1">IF(color_Celda(E1288)=12106214,"ROSA",IF(color_Celda(E1288)=65535,"AMARILLO",IF(color_Celda(E1288)=5296274,"VERDE",IF(color_Celda(E1288)=16777215,"BLANCO","NO SE"))))</f>
        <v>ROSA</v>
      </c>
      <c r="W1288" s="336" t="s">
        <v>5398</v>
      </c>
      <c r="X1288" s="336" t="s">
        <v>4891</v>
      </c>
      <c r="Y1288" s="336"/>
      <c r="Z1288" s="336"/>
      <c r="AA1288" s="336"/>
      <c r="AB1288" s="336"/>
      <c r="AC1288" s="336"/>
    </row>
    <row r="1289" spans="1:29" ht="60" customHeight="1">
      <c r="A1289" s="336">
        <v>1308</v>
      </c>
      <c r="B1289" s="349">
        <v>45294</v>
      </c>
      <c r="C1289" s="568">
        <v>0.52638888888888891</v>
      </c>
      <c r="D1289" s="63" t="s">
        <v>5109</v>
      </c>
      <c r="E1289" s="64" t="s">
        <v>5111</v>
      </c>
      <c r="F1289" s="336">
        <v>1</v>
      </c>
      <c r="G1289" s="336" t="s">
        <v>3791</v>
      </c>
      <c r="H1289" s="383">
        <v>45309</v>
      </c>
      <c r="I1289" s="65" t="s">
        <v>228</v>
      </c>
      <c r="J1289" s="349" t="s">
        <v>4931</v>
      </c>
      <c r="K1289" s="63" t="s">
        <v>1916</v>
      </c>
      <c r="L1289" s="63" t="s">
        <v>4781</v>
      </c>
      <c r="M1289" s="63" t="s">
        <v>1084</v>
      </c>
      <c r="N1289" s="374" t="s">
        <v>621</v>
      </c>
      <c r="O1289" s="63" t="str">
        <f ca="1">IF(H1289&lt;&gt;"",IF(H1289&lt;=TODAY(),"SI","NO"),"LIMBO")</f>
        <v>SI</v>
      </c>
      <c r="P1289" s="63" t="str">
        <f>IF($P$1=H1289,"DIASOL", "DIANOSOL")</f>
        <v>DIANOSOL</v>
      </c>
      <c r="Q1289" s="63" t="s">
        <v>151</v>
      </c>
      <c r="R1289" s="63" t="str">
        <f>VLOOKUP($Q1289,Resultados!$A$1:$B$49,2,FALSE)</f>
        <v>Prisión Preventiva</v>
      </c>
      <c r="S1289" s="63" t="s">
        <v>1777</v>
      </c>
      <c r="T1289" s="72" t="str">
        <f>IF(G1289=$J$1,"SI","NO")</f>
        <v>NO</v>
      </c>
      <c r="U1289" s="72"/>
      <c r="V1289" s="7" t="str">
        <f ca="1">IF(color_Celda(E1289)=12106214,"ROSA",IF(color_Celda(E1289)=65535,"AMARILLO",IF(color_Celda(E1289)=5296274,"VERDE",IF(color_Celda(E1289)=16777215,"BLANCO","NO SE"))))</f>
        <v>ROSA</v>
      </c>
      <c r="W1289" s="336" t="s">
        <v>5412</v>
      </c>
      <c r="X1289" s="336" t="s">
        <v>4891</v>
      </c>
      <c r="Y1289" s="336"/>
      <c r="Z1289" s="336"/>
      <c r="AA1289" s="336"/>
      <c r="AB1289" s="336"/>
      <c r="AC1289" s="336"/>
    </row>
    <row r="1290" spans="1:29" ht="60" customHeight="1">
      <c r="A1290" s="336">
        <v>1290</v>
      </c>
      <c r="B1290" s="349">
        <v>45289</v>
      </c>
      <c r="C1290" s="568">
        <v>0.52083333333333337</v>
      </c>
      <c r="D1290" s="63" t="s">
        <v>5047</v>
      </c>
      <c r="E1290" s="64" t="s">
        <v>5048</v>
      </c>
      <c r="F1290" s="336">
        <v>7</v>
      </c>
      <c r="G1290" s="336" t="s">
        <v>1433</v>
      </c>
      <c r="H1290" s="383">
        <v>45310</v>
      </c>
      <c r="I1290" s="65" t="s">
        <v>76</v>
      </c>
      <c r="J1290" s="349" t="s">
        <v>1216</v>
      </c>
      <c r="K1290" s="336">
        <f>IFERROR(VLOOKUP(J1290,Jueces!$A$1:$B$11,2,FALSE),"")</f>
        <v>1</v>
      </c>
      <c r="L1290" s="63" t="s">
        <v>4789</v>
      </c>
      <c r="M1290" s="63" t="s">
        <v>885</v>
      </c>
      <c r="N1290" s="63" t="s">
        <v>5414</v>
      </c>
      <c r="O1290" s="78" t="str">
        <f ca="1">IF(H1290&lt;&gt;"",IF(H1290&lt;=TODAY(),"SI","NO"),"LIMBO")</f>
        <v>SI</v>
      </c>
      <c r="P1290" s="78" t="str">
        <f>IF($P$1=H1290,"DIASOL", "DIANOSOL")</f>
        <v>DIANOSOL</v>
      </c>
      <c r="Q1290" s="63" t="s">
        <v>902</v>
      </c>
      <c r="R1290" s="63" t="str">
        <f>VLOOKUP($Q1290,Resultados!$A$1:$B$49,2,FALSE)</f>
        <v>Juicio Abreviado</v>
      </c>
      <c r="S1290" s="63" t="s">
        <v>3360</v>
      </c>
      <c r="T1290" s="81" t="str">
        <f>IF(G1290=$J$1,"SI","NO")</f>
        <v>NO</v>
      </c>
      <c r="U1290" s="81"/>
      <c r="V1290" s="7" t="str">
        <f ca="1">IF(color_Celda(E1290)=12106214,"ROSA",IF(color_Celda(E1290)=65535,"AMARILLO",IF(color_Celda(E1290)=5296274,"VERDE",IF(color_Celda(E1290)=16777215,"BLANCO","NO SE"))))</f>
        <v>ROSA</v>
      </c>
      <c r="W1290" s="63" t="s">
        <v>2882</v>
      </c>
      <c r="X1290" s="63" t="s">
        <v>5415</v>
      </c>
      <c r="Y1290" s="336"/>
      <c r="Z1290" s="63" t="s">
        <v>5361</v>
      </c>
      <c r="AA1290" s="336"/>
      <c r="AB1290" s="63" t="s">
        <v>3258</v>
      </c>
      <c r="AC1290" s="336"/>
    </row>
    <row r="1291" spans="1:29" ht="60" customHeight="1">
      <c r="A1291" s="336">
        <v>1293</v>
      </c>
      <c r="B1291" s="349">
        <v>45293</v>
      </c>
      <c r="C1291" s="568">
        <v>0.45833333333333331</v>
      </c>
      <c r="D1291" s="63" t="s">
        <v>5024</v>
      </c>
      <c r="E1291" s="64" t="s">
        <v>5053</v>
      </c>
      <c r="F1291" s="336">
        <v>7</v>
      </c>
      <c r="G1291" s="336" t="s">
        <v>283</v>
      </c>
      <c r="H1291" s="383">
        <v>45310</v>
      </c>
      <c r="I1291" s="65" t="s">
        <v>76</v>
      </c>
      <c r="J1291" s="349" t="s">
        <v>1217</v>
      </c>
      <c r="K1291" s="336">
        <f>IFERROR(VLOOKUP(J1291,Jueces!$A$1:$B$11,2,FALSE),"")</f>
        <v>7</v>
      </c>
      <c r="L1291" s="63" t="s">
        <v>4783</v>
      </c>
      <c r="M1291" s="63" t="s">
        <v>4515</v>
      </c>
      <c r="N1291" s="63" t="s">
        <v>5416</v>
      </c>
      <c r="O1291" s="206" t="str">
        <f ca="1">IF(H1291&lt;&gt;"",IF(H1291&lt;=TODAY(),"SI","NO"),"LIMBO")</f>
        <v>SI</v>
      </c>
      <c r="P1291" s="206" t="str">
        <f>IF($P$1=H1291,"DIASOL", "DIANOSOL")</f>
        <v>DIANOSOL</v>
      </c>
      <c r="Q1291" s="63" t="s">
        <v>902</v>
      </c>
      <c r="R1291" s="63" t="str">
        <f>VLOOKUP($Q1291,Resultados!$A$1:$B$49,2,FALSE)</f>
        <v>Juicio Abreviado</v>
      </c>
      <c r="S1291" s="63" t="s">
        <v>1442</v>
      </c>
      <c r="T1291" s="267" t="str">
        <f>IF(G1291=$J$1,"SI","NO")</f>
        <v>NO</v>
      </c>
      <c r="U1291" s="267"/>
      <c r="V1291" s="7" t="str">
        <f ca="1">IF(color_Celda(E1291)=12106214,"ROSA",IF(color_Celda(E1291)=65535,"AMARILLO",IF(color_Celda(E1291)=5296274,"VERDE",IF(color_Celda(E1291)=16777215,"BLANCO","NO SE"))))</f>
        <v>ROSA</v>
      </c>
      <c r="W1291" s="63" t="s">
        <v>3171</v>
      </c>
      <c r="X1291" s="63" t="s">
        <v>5417</v>
      </c>
      <c r="Y1291" s="336"/>
      <c r="Z1291" s="63" t="s">
        <v>5360</v>
      </c>
      <c r="AA1291" s="336"/>
      <c r="AB1291" s="63" t="s">
        <v>1170</v>
      </c>
      <c r="AC1291" s="336"/>
    </row>
    <row r="1292" spans="1:29" ht="60" customHeight="1">
      <c r="A1292" s="336">
        <v>1318</v>
      </c>
      <c r="B1292" s="349">
        <v>45299</v>
      </c>
      <c r="C1292" s="568">
        <v>0.3923611111111111</v>
      </c>
      <c r="D1292" s="63" t="s">
        <v>4086</v>
      </c>
      <c r="E1292" s="355" t="s">
        <v>4087</v>
      </c>
      <c r="F1292" s="336">
        <v>4</v>
      </c>
      <c r="G1292" s="336" t="s">
        <v>2766</v>
      </c>
      <c r="H1292" s="383">
        <v>45310</v>
      </c>
      <c r="I1292" s="65" t="s">
        <v>76</v>
      </c>
      <c r="J1292" s="349" t="s">
        <v>4931</v>
      </c>
      <c r="K1292" s="63" t="s">
        <v>1916</v>
      </c>
      <c r="L1292" s="63" t="s">
        <v>4778</v>
      </c>
      <c r="M1292" s="63" t="s">
        <v>4088</v>
      </c>
      <c r="N1292" s="336" t="s">
        <v>1395</v>
      </c>
      <c r="O1292" s="78" t="str">
        <f ca="1">IF(H1292&lt;&gt;"",IF(H1292&lt;=TODAY(),"SI","NO"),"LIMBO")</f>
        <v>SI</v>
      </c>
      <c r="P1292" s="78" t="str">
        <f>IF($P$1=H1292,"DIASOL", "DIANOSOL")</f>
        <v>DIANOSOL</v>
      </c>
      <c r="Q1292" s="63" t="s">
        <v>911</v>
      </c>
      <c r="R1292" s="63" t="str">
        <f>VLOOKUP($Q1292,Resultados!$A$1:$B$49,2,FALSE)</f>
        <v>Prision domiciliaria</v>
      </c>
      <c r="S1292" s="63" t="s">
        <v>1626</v>
      </c>
      <c r="T1292" s="81" t="str">
        <f>IF(G1292=$J$1,"SI","NO")</f>
        <v>NO</v>
      </c>
      <c r="U1292" s="81"/>
      <c r="V1292" s="7" t="str">
        <f ca="1">IF(color_Celda(E1292)=12106214,"ROSA",IF(color_Celda(E1292)=65535,"AMARILLO",IF(color_Celda(E1292)=5296274,"VERDE",IF(color_Celda(E1292)=16777215,"BLANCO","NO SE"))))</f>
        <v>ROSA</v>
      </c>
      <c r="W1292" s="336" t="s">
        <v>3436</v>
      </c>
      <c r="X1292" s="336" t="s">
        <v>4644</v>
      </c>
      <c r="Y1292" s="336"/>
      <c r="Z1292" s="63" t="s">
        <v>770</v>
      </c>
      <c r="AA1292" s="336"/>
      <c r="AB1292" s="63" t="s">
        <v>5362</v>
      </c>
      <c r="AC1292" s="336"/>
    </row>
    <row r="1293" spans="1:29" ht="60" customHeight="1">
      <c r="A1293" s="336">
        <v>1289</v>
      </c>
      <c r="B1293" s="349">
        <v>45289</v>
      </c>
      <c r="C1293" s="568">
        <v>0.52500000000000002</v>
      </c>
      <c r="D1293" s="63" t="s">
        <v>5046</v>
      </c>
      <c r="E1293" s="355" t="s">
        <v>5045</v>
      </c>
      <c r="F1293" s="336">
        <v>7</v>
      </c>
      <c r="G1293" s="336" t="s">
        <v>5009</v>
      </c>
      <c r="H1293" s="383">
        <v>45310</v>
      </c>
      <c r="I1293" s="65" t="s">
        <v>75</v>
      </c>
      <c r="J1293" s="349" t="s">
        <v>1216</v>
      </c>
      <c r="K1293" s="336">
        <f>IFERROR(VLOOKUP(J1293,Jueces!$A$1:$B$11,2,FALSE),"")</f>
        <v>1</v>
      </c>
      <c r="L1293" s="63" t="s">
        <v>4791</v>
      </c>
      <c r="M1293" s="63" t="s">
        <v>885</v>
      </c>
      <c r="N1293" s="336" t="s">
        <v>621</v>
      </c>
      <c r="O1293" s="78" t="str">
        <f ca="1">IF(H1293&lt;&gt;"",IF(H1293&lt;=TODAY(),"SI","NO"),"LIMBO")</f>
        <v>SI</v>
      </c>
      <c r="P1293" s="78" t="str">
        <f>IF($P$1=H1293,"DIASOL", "DIANOSOL")</f>
        <v>DIANOSOL</v>
      </c>
      <c r="Q1293" s="63" t="s">
        <v>151</v>
      </c>
      <c r="R1293" s="63" t="str">
        <f>VLOOKUP($Q1293,Resultados!$A$1:$B$49,2,FALSE)</f>
        <v>Prisión Preventiva</v>
      </c>
      <c r="S1293" s="63" t="s">
        <v>3682</v>
      </c>
      <c r="T1293" s="81" t="str">
        <f>IF(G1293=$J$1,"SI","NO")</f>
        <v>NO</v>
      </c>
      <c r="U1293" s="81"/>
      <c r="V1293" s="7" t="str">
        <f ca="1">IF(color_Celda(E1293)=12106214,"ROSA",IF(color_Celda(E1293)=65535,"AMARILLO",IF(color_Celda(E1293)=5296274,"VERDE",IF(color_Celda(E1293)=16777215,"BLANCO","NO SE"))))</f>
        <v>ROSA</v>
      </c>
      <c r="W1293" s="336" t="s">
        <v>1706</v>
      </c>
      <c r="X1293" s="336" t="s">
        <v>4891</v>
      </c>
      <c r="Y1293" s="336"/>
      <c r="Z1293" s="63" t="s">
        <v>5361</v>
      </c>
      <c r="AA1293" s="336"/>
      <c r="AB1293" s="63" t="s">
        <v>3258</v>
      </c>
      <c r="AC1293" s="336"/>
    </row>
    <row r="1294" spans="1:29" ht="60" customHeight="1">
      <c r="A1294" s="336">
        <v>1303</v>
      </c>
      <c r="B1294" s="349">
        <v>45294</v>
      </c>
      <c r="C1294" s="568">
        <v>0.45833333333333331</v>
      </c>
      <c r="D1294" s="63" t="s">
        <v>2980</v>
      </c>
      <c r="E1294" s="64" t="s">
        <v>5085</v>
      </c>
      <c r="F1294" s="336">
        <v>8</v>
      </c>
      <c r="G1294" s="336" t="s">
        <v>3639</v>
      </c>
      <c r="H1294" s="383">
        <v>45310</v>
      </c>
      <c r="I1294" s="65" t="s">
        <v>75</v>
      </c>
      <c r="J1294" s="349" t="s">
        <v>1217</v>
      </c>
      <c r="K1294" s="336">
        <f>IFERROR(VLOOKUP(J1294,Jueces!$A$1:$B$11,2,FALSE),"")</f>
        <v>7</v>
      </c>
      <c r="L1294" s="63" t="s">
        <v>2077</v>
      </c>
      <c r="M1294" s="63" t="s">
        <v>711</v>
      </c>
      <c r="N1294" s="63" t="s">
        <v>1395</v>
      </c>
      <c r="O1294" s="78" t="str">
        <f ca="1">IF(H1294&lt;&gt;"",IF(H1294&lt;=TODAY(),"SI","NO"),"LIMBO")</f>
        <v>SI</v>
      </c>
      <c r="P1294" s="78" t="str">
        <f>IF($P$1=H1294,"DIASOL", "DIANOSOL")</f>
        <v>DIANOSOL</v>
      </c>
      <c r="Q1294" s="63" t="s">
        <v>911</v>
      </c>
      <c r="R1294" s="63" t="str">
        <f>VLOOKUP($Q1294,Resultados!$A$1:$B$49,2,FALSE)</f>
        <v>Prision domiciliaria</v>
      </c>
      <c r="S1294" s="63" t="s">
        <v>1708</v>
      </c>
      <c r="T1294" s="81" t="str">
        <f>IF(G1294=$J$1,"SI","NO")</f>
        <v>NO</v>
      </c>
      <c r="U1294" s="81"/>
      <c r="V1294" s="7" t="str">
        <f ca="1">IF(color_Celda(E1294)=12106214,"ROSA",IF(color_Celda(E1294)=65535,"AMARILLO",IF(color_Celda(E1294)=5296274,"VERDE",IF(color_Celda(E1294)=16777215,"BLANCO","NO SE"))))</f>
        <v>ROSA</v>
      </c>
      <c r="W1294" s="63" t="s">
        <v>3059</v>
      </c>
      <c r="X1294" s="63" t="s">
        <v>4891</v>
      </c>
      <c r="Y1294" s="336"/>
      <c r="Z1294" s="63" t="s">
        <v>5360</v>
      </c>
      <c r="AA1294" s="336"/>
      <c r="AB1294" s="63" t="s">
        <v>1170</v>
      </c>
      <c r="AC1294" s="336"/>
    </row>
    <row r="1295" spans="1:29" ht="60" customHeight="1">
      <c r="A1295" s="336">
        <v>1269</v>
      </c>
      <c r="B1295" s="349">
        <v>45288</v>
      </c>
      <c r="C1295" s="63" t="s">
        <v>1383</v>
      </c>
      <c r="D1295" s="63" t="s">
        <v>4961</v>
      </c>
      <c r="E1295" s="64" t="s">
        <v>5141</v>
      </c>
      <c r="F1295" s="336">
        <v>7</v>
      </c>
      <c r="G1295" s="336" t="s">
        <v>1433</v>
      </c>
      <c r="H1295" s="383">
        <v>45310</v>
      </c>
      <c r="I1295" s="65" t="s">
        <v>1755</v>
      </c>
      <c r="J1295" s="349" t="s">
        <v>4931</v>
      </c>
      <c r="K1295" s="63" t="s">
        <v>1916</v>
      </c>
      <c r="L1295" s="63" t="s">
        <v>791</v>
      </c>
      <c r="M1295" s="63" t="s">
        <v>767</v>
      </c>
      <c r="N1295" s="63" t="s">
        <v>5418</v>
      </c>
      <c r="O1295" s="78" t="str">
        <f ca="1">IF(H1295&lt;&gt;"",IF(H1295&lt;=TODAY(),"SI","NO"),"LIMBO")</f>
        <v>SI</v>
      </c>
      <c r="P1295" s="78" t="str">
        <f>IF($P$1=H1295,"DIASOL", "DIANOSOL")</f>
        <v>DIANOSOL</v>
      </c>
      <c r="Q1295" s="63" t="s">
        <v>897</v>
      </c>
      <c r="R1295" s="63" t="str">
        <f>VLOOKUP($Q1295,Resultados!$A$1:$B$49,2,FALSE)</f>
        <v>Libertad</v>
      </c>
      <c r="S1295" s="63" t="s">
        <v>5174</v>
      </c>
      <c r="T1295" s="81" t="str">
        <f>IF(G1295=$J$1,"SI","NO")</f>
        <v>NO</v>
      </c>
      <c r="U1295" s="81"/>
      <c r="V1295" s="7" t="str">
        <f ca="1">IF(color_Celda(E1295)=12106214,"ROSA",IF(color_Celda(E1295)=65535,"AMARILLO",IF(color_Celda(E1295)=5296274,"VERDE",IF(color_Celda(E1295)=16777215,"BLANCO","NO SE"))))</f>
        <v>ROSA</v>
      </c>
      <c r="W1295" s="336" t="s">
        <v>2011</v>
      </c>
      <c r="X1295" s="336" t="s">
        <v>4644</v>
      </c>
      <c r="Y1295" s="336"/>
      <c r="Z1295" s="118" t="s">
        <v>770</v>
      </c>
      <c r="AA1295" s="336"/>
      <c r="AB1295" s="63" t="s">
        <v>3258</v>
      </c>
      <c r="AC1295" s="336"/>
    </row>
    <row r="1296" spans="1:29" ht="60" customHeight="1">
      <c r="A1296" s="336">
        <v>1294</v>
      </c>
      <c r="B1296" s="349">
        <v>45293</v>
      </c>
      <c r="C1296" s="568">
        <v>0.45833333333333331</v>
      </c>
      <c r="D1296" s="63" t="s">
        <v>5054</v>
      </c>
      <c r="E1296" s="64" t="s">
        <v>5055</v>
      </c>
      <c r="F1296" s="336">
        <v>7</v>
      </c>
      <c r="G1296" s="336" t="s">
        <v>43</v>
      </c>
      <c r="H1296" s="383">
        <v>45310</v>
      </c>
      <c r="I1296" s="65" t="s">
        <v>77</v>
      </c>
      <c r="J1296" s="349" t="s">
        <v>1216</v>
      </c>
      <c r="K1296" s="336">
        <f>IFERROR(VLOOKUP(J1296,Jueces!$A$1:$B$11,2,FALSE),"")</f>
        <v>1</v>
      </c>
      <c r="L1296" s="63" t="s">
        <v>4791</v>
      </c>
      <c r="M1296" s="63" t="s">
        <v>885</v>
      </c>
      <c r="N1296" s="336" t="s">
        <v>577</v>
      </c>
      <c r="O1296" s="78" t="str">
        <f ca="1">IF(H1296&lt;&gt;"",IF(H1296&lt;=TODAY(),"SI","NO"),"LIMBO")</f>
        <v>SI</v>
      </c>
      <c r="P1296" s="78" t="str">
        <f>IF($P$1=H1296,"DIASOL", "DIANOSOL")</f>
        <v>DIANOSOL</v>
      </c>
      <c r="Q1296" s="63" t="s">
        <v>151</v>
      </c>
      <c r="R1296" s="63" t="str">
        <f>VLOOKUP($Q1296,Resultados!$A$1:$B$49,2,FALSE)</f>
        <v>Prisión Preventiva</v>
      </c>
      <c r="S1296" s="63" t="s">
        <v>3998</v>
      </c>
      <c r="T1296" s="81" t="str">
        <f>IF(G1296=$J$1,"SI","NO")</f>
        <v>NO</v>
      </c>
      <c r="U1296" s="81"/>
      <c r="V1296" s="7" t="str">
        <f ca="1">IF(color_Celda(E1296)=12106214,"ROSA",IF(color_Celda(E1296)=65535,"AMARILLO",IF(color_Celda(E1296)=5296274,"VERDE",IF(color_Celda(E1296)=16777215,"BLANCO","NO SE"))))</f>
        <v>ROSA</v>
      </c>
      <c r="W1296" s="336" t="s">
        <v>2657</v>
      </c>
      <c r="X1296" s="336" t="s">
        <v>4644</v>
      </c>
      <c r="Y1296" s="336"/>
      <c r="Z1296" s="63" t="s">
        <v>5361</v>
      </c>
      <c r="AA1296" s="336"/>
      <c r="AB1296" s="63" t="s">
        <v>1170</v>
      </c>
      <c r="AC1296" s="336"/>
    </row>
    <row r="1297" spans="1:29" ht="60" customHeight="1">
      <c r="A1297" s="336">
        <v>1296</v>
      </c>
      <c r="B1297" s="349">
        <v>45293</v>
      </c>
      <c r="C1297" s="568">
        <v>0.45833333333333331</v>
      </c>
      <c r="D1297" s="63" t="s">
        <v>5057</v>
      </c>
      <c r="E1297" s="64" t="s">
        <v>5058</v>
      </c>
      <c r="F1297" s="336">
        <v>7</v>
      </c>
      <c r="G1297" s="336" t="s">
        <v>5009</v>
      </c>
      <c r="H1297" s="383">
        <v>45310</v>
      </c>
      <c r="I1297" s="65" t="s">
        <v>1146</v>
      </c>
      <c r="J1297" s="349" t="s">
        <v>1216</v>
      </c>
      <c r="K1297" s="336">
        <f>IFERROR(VLOOKUP(J1297,Jueces!$A$1:$B$11,2,FALSE),"")</f>
        <v>1</v>
      </c>
      <c r="L1297" s="63" t="s">
        <v>4781</v>
      </c>
      <c r="M1297" s="330" t="s">
        <v>5059</v>
      </c>
      <c r="N1297" s="336" t="s">
        <v>621</v>
      </c>
      <c r="O1297" s="63" t="str">
        <f ca="1">IF(H1297&lt;&gt;"",IF(H1297&lt;=TODAY(),"SI","NO"),"LIMBO")</f>
        <v>SI</v>
      </c>
      <c r="P1297" s="63" t="str">
        <f>IF($P$1=H1297,"DIASOL", "DIANOSOL")</f>
        <v>DIANOSOL</v>
      </c>
      <c r="Q1297" s="63" t="s">
        <v>151</v>
      </c>
      <c r="R1297" s="63" t="str">
        <f>VLOOKUP($Q1297,Resultados!$A$1:$B$49,2,FALSE)</f>
        <v>Prisión Preventiva</v>
      </c>
      <c r="S1297" s="63" t="s">
        <v>1912</v>
      </c>
      <c r="T1297" s="72" t="str">
        <f>IF(G1297=$J$1,"SI","NO")</f>
        <v>NO</v>
      </c>
      <c r="U1297" s="72"/>
      <c r="V1297" s="7" t="str">
        <f ca="1">IF(color_Celda(E1297)=12106214,"ROSA",IF(color_Celda(E1297)=65535,"AMARILLO",IF(color_Celda(E1297)=5296274,"VERDE",IF(color_Celda(E1297)=16777215,"BLANCO","NO SE"))))</f>
        <v>ROSA</v>
      </c>
      <c r="W1297" s="336" t="s">
        <v>5423</v>
      </c>
      <c r="X1297" s="336" t="s">
        <v>4644</v>
      </c>
      <c r="Y1297" s="336"/>
      <c r="Z1297" s="63" t="s">
        <v>5361</v>
      </c>
      <c r="AA1297" s="336"/>
      <c r="AB1297" s="63" t="s">
        <v>5362</v>
      </c>
      <c r="AC1297" s="336"/>
    </row>
    <row r="1298" spans="1:29" ht="60" customHeight="1">
      <c r="A1298" s="336">
        <v>1279</v>
      </c>
      <c r="B1298" s="349">
        <v>45289</v>
      </c>
      <c r="C1298" s="568">
        <v>0.6069444444444444</v>
      </c>
      <c r="D1298" s="63" t="s">
        <v>5025</v>
      </c>
      <c r="E1298" s="64" t="s">
        <v>5026</v>
      </c>
      <c r="F1298" s="336">
        <v>7</v>
      </c>
      <c r="G1298" s="336" t="s">
        <v>4934</v>
      </c>
      <c r="H1298" s="383">
        <v>45310</v>
      </c>
      <c r="I1298" s="65" t="s">
        <v>228</v>
      </c>
      <c r="J1298" s="349" t="s">
        <v>1217</v>
      </c>
      <c r="K1298" s="336">
        <f>IFERROR(VLOOKUP(J1298,Jueces!$A$1:$B$11,2,FALSE),"")</f>
        <v>7</v>
      </c>
      <c r="L1298" s="63" t="s">
        <v>4778</v>
      </c>
      <c r="M1298" s="63" t="s">
        <v>885</v>
      </c>
      <c r="N1298" s="336" t="s">
        <v>5421</v>
      </c>
      <c r="O1298" s="63" t="str">
        <f ca="1">IF(H1298&lt;&gt;"",IF(H1298&lt;=TODAY(),"SI","NO"),"LIMBO")</f>
        <v>SI</v>
      </c>
      <c r="P1298" s="63" t="str">
        <f>IF($P$1=H1298,"DIASOL", "DIANOSOL")</f>
        <v>DIANOSOL</v>
      </c>
      <c r="Q1298" s="63" t="s">
        <v>902</v>
      </c>
      <c r="R1298" s="63" t="str">
        <f>VLOOKUP($Q1298,Resultados!$A$1:$B$49,2,FALSE)</f>
        <v>Juicio Abreviado</v>
      </c>
      <c r="S1298" s="63" t="s">
        <v>5420</v>
      </c>
      <c r="T1298" s="72" t="str">
        <f>IF(G1298=$J$1,"SI","NO")</f>
        <v>NO</v>
      </c>
      <c r="U1298" s="72"/>
      <c r="V1298" s="7" t="str">
        <f ca="1">IF(color_Celda(E1298)=12106214,"ROSA",IF(color_Celda(E1298)=65535,"AMARILLO",IF(color_Celda(E1298)=5296274,"VERDE",IF(color_Celda(E1298)=16777215,"BLANCO","NO SE"))))</f>
        <v>ROSA</v>
      </c>
      <c r="W1298" s="336" t="s">
        <v>5316</v>
      </c>
      <c r="X1298" s="336" t="s">
        <v>5422</v>
      </c>
      <c r="Y1298" s="336"/>
      <c r="Z1298" s="63" t="s">
        <v>5360</v>
      </c>
      <c r="AA1298" s="336"/>
      <c r="AB1298" s="63" t="s">
        <v>3258</v>
      </c>
      <c r="AC1298" s="336"/>
    </row>
    <row r="1299" spans="1:29" ht="60" customHeight="1">
      <c r="A1299" s="336">
        <v>1323</v>
      </c>
      <c r="B1299" s="349">
        <v>45299</v>
      </c>
      <c r="C1299" s="568">
        <v>0.45208333333333334</v>
      </c>
      <c r="D1299" s="63" t="s">
        <v>5162</v>
      </c>
      <c r="E1299" s="64" t="s">
        <v>5163</v>
      </c>
      <c r="F1299" s="63">
        <v>7</v>
      </c>
      <c r="G1299" s="336" t="s">
        <v>283</v>
      </c>
      <c r="H1299" s="383">
        <v>45310</v>
      </c>
      <c r="I1299" s="65" t="s">
        <v>228</v>
      </c>
      <c r="J1299" s="349" t="s">
        <v>4931</v>
      </c>
      <c r="K1299" s="63" t="s">
        <v>1916</v>
      </c>
      <c r="L1299" s="63" t="s">
        <v>4788</v>
      </c>
      <c r="M1299" s="63" t="s">
        <v>767</v>
      </c>
      <c r="N1299" s="63" t="s">
        <v>1744</v>
      </c>
      <c r="O1299" s="63" t="str">
        <f ca="1">IF(H1299&lt;&gt;"",IF(H1299&lt;=TODAY(),"SI","NO"),"LIMBO")</f>
        <v>SI</v>
      </c>
      <c r="P1299" s="63" t="str">
        <f>IF($P$1=H1299,"DIASOL", "DIANOSOL")</f>
        <v>DIANOSOL</v>
      </c>
      <c r="Q1299" s="63" t="s">
        <v>151</v>
      </c>
      <c r="R1299" s="63" t="str">
        <f>VLOOKUP($Q1299,Resultados!$A$1:$B$49,2,FALSE)</f>
        <v>Prisión Preventiva</v>
      </c>
      <c r="S1299" s="63" t="s">
        <v>74</v>
      </c>
      <c r="T1299" s="72" t="str">
        <f>IF(G1299=$J$1,"SI","NO")</f>
        <v>NO</v>
      </c>
      <c r="U1299" s="72"/>
      <c r="V1299" s="7" t="str">
        <f ca="1">IF(color_Celda(E1299)=12106214,"ROSA",IF(color_Celda(E1299)=65535,"AMARILLO",IF(color_Celda(E1299)=5296274,"VERDE",IF(color_Celda(E1299)=16777215,"BLANCO","NO SE"))))</f>
        <v>ROSA</v>
      </c>
      <c r="W1299" s="336" t="s">
        <v>5419</v>
      </c>
      <c r="X1299" s="336" t="s">
        <v>4891</v>
      </c>
      <c r="Y1299" s="336"/>
      <c r="Z1299" s="63" t="s">
        <v>770</v>
      </c>
      <c r="AA1299" s="336"/>
      <c r="AB1299" s="63" t="s">
        <v>1170</v>
      </c>
      <c r="AC1299" s="336"/>
    </row>
    <row r="1300" spans="1:29" ht="60" customHeight="1">
      <c r="A1300" s="336">
        <v>1297</v>
      </c>
      <c r="B1300" s="349">
        <v>45293</v>
      </c>
      <c r="C1300" s="568">
        <v>0.45833333333333331</v>
      </c>
      <c r="D1300" s="63" t="s">
        <v>5060</v>
      </c>
      <c r="E1300" s="64" t="s">
        <v>5061</v>
      </c>
      <c r="F1300" s="336">
        <v>7</v>
      </c>
      <c r="G1300" s="336" t="s">
        <v>43</v>
      </c>
      <c r="H1300" s="383">
        <v>45313</v>
      </c>
      <c r="I1300" s="65" t="s">
        <v>76</v>
      </c>
      <c r="J1300" s="349" t="s">
        <v>4931</v>
      </c>
      <c r="K1300" s="63" t="s">
        <v>1916</v>
      </c>
      <c r="L1300" s="63" t="s">
        <v>790</v>
      </c>
      <c r="M1300" s="63" t="s">
        <v>885</v>
      </c>
      <c r="N1300" s="63" t="s">
        <v>621</v>
      </c>
      <c r="O1300" s="63" t="str">
        <f ca="1">IF(H1300&lt;&gt;"",IF(H1300&lt;=TODAY(),"SI","NO"),"LIMBO")</f>
        <v>SI</v>
      </c>
      <c r="P1300" s="63" t="str">
        <f>IF($P$1=H1300,"DIASOL", "DIANOSOL")</f>
        <v>DIANOSOL</v>
      </c>
      <c r="Q1300" s="63" t="s">
        <v>151</v>
      </c>
      <c r="R1300" s="63" t="str">
        <f>VLOOKUP($Q1300,Resultados!$A$1:$B$49,2,FALSE)</f>
        <v>Prisión Preventiva</v>
      </c>
      <c r="S1300" s="63" t="s">
        <v>1332</v>
      </c>
      <c r="T1300" s="72" t="str">
        <f>IF(G1300=$J$1,"SI","NO")</f>
        <v>NO</v>
      </c>
      <c r="U1300" s="72"/>
      <c r="V1300" s="7" t="str">
        <f ca="1">IF(color_Celda(E1300)=12106214,"ROSA",IF(color_Celda(E1300)=65535,"AMARILLO",IF(color_Celda(E1300)=5296274,"VERDE",IF(color_Celda(E1300)=16777215,"BLANCO","NO SE"))))</f>
        <v>ROSA</v>
      </c>
      <c r="W1300" s="63" t="s">
        <v>3115</v>
      </c>
      <c r="X1300" s="63" t="s">
        <v>4644</v>
      </c>
      <c r="Y1300" s="336"/>
      <c r="Z1300" s="336" t="s">
        <v>770</v>
      </c>
      <c r="AA1300" s="336"/>
      <c r="AB1300" s="336" t="s">
        <v>1170</v>
      </c>
      <c r="AC1300" s="336"/>
    </row>
    <row r="1301" spans="1:29" ht="60" customHeight="1">
      <c r="A1301" s="336">
        <v>1307</v>
      </c>
      <c r="B1301" s="349">
        <v>45295</v>
      </c>
      <c r="C1301" s="568">
        <v>0.375</v>
      </c>
      <c r="D1301" s="63" t="s">
        <v>5108</v>
      </c>
      <c r="E1301" s="64" t="s">
        <v>5128</v>
      </c>
      <c r="F1301" s="336">
        <v>2</v>
      </c>
      <c r="G1301" s="336" t="s">
        <v>4934</v>
      </c>
      <c r="H1301" s="383">
        <v>45313</v>
      </c>
      <c r="I1301" s="65" t="s">
        <v>76</v>
      </c>
      <c r="J1301" s="349" t="s">
        <v>1216</v>
      </c>
      <c r="K1301" s="336">
        <f>IFERROR(VLOOKUP(J1301,Jueces!$A$1:$B$11,2,FALSE),"")</f>
        <v>1</v>
      </c>
      <c r="L1301" s="63" t="s">
        <v>4790</v>
      </c>
      <c r="M1301" s="63" t="s">
        <v>1084</v>
      </c>
      <c r="N1301" s="63" t="s">
        <v>2566</v>
      </c>
      <c r="O1301" s="78" t="str">
        <f ca="1">IF(H1301&lt;&gt;"",IF(H1301&lt;=TODAY(),"SI","NO"),"LIMBO")</f>
        <v>SI</v>
      </c>
      <c r="P1301" s="78" t="str">
        <f>IF($P$1=H1301,"DIASOL", "DIANOSOL")</f>
        <v>DIANOSOL</v>
      </c>
      <c r="Q1301" s="63" t="s">
        <v>902</v>
      </c>
      <c r="R1301" s="63" t="str">
        <f>VLOOKUP($Q1301,Resultados!$A$1:$B$49,2,FALSE)</f>
        <v>Juicio Abreviado</v>
      </c>
      <c r="S1301" s="63" t="s">
        <v>1332</v>
      </c>
      <c r="T1301" s="81" t="str">
        <f>IF(G1301=$J$1,"SI","NO")</f>
        <v>NO</v>
      </c>
      <c r="U1301" s="81"/>
      <c r="V1301" s="7" t="str">
        <f ca="1">IF(color_Celda(E1301)=12106214,"ROSA",IF(color_Celda(E1301)=65535,"AMARILLO",IF(color_Celda(E1301)=5296274,"VERDE",IF(color_Celda(E1301)=16777215,"BLANCO","NO SE"))))</f>
        <v>ROSA</v>
      </c>
      <c r="W1301" s="63" t="s">
        <v>3232</v>
      </c>
      <c r="X1301" s="63" t="s">
        <v>5487</v>
      </c>
      <c r="Y1301" s="336"/>
      <c r="Z1301" s="336" t="s">
        <v>5361</v>
      </c>
      <c r="AA1301" s="336"/>
      <c r="AB1301" s="336" t="s">
        <v>5362</v>
      </c>
      <c r="AC1301" s="336"/>
    </row>
    <row r="1302" spans="1:29" ht="60" customHeight="1">
      <c r="A1302" s="336">
        <v>1291</v>
      </c>
      <c r="B1302" s="349">
        <v>45293</v>
      </c>
      <c r="C1302" s="568">
        <v>0.44444444444444442</v>
      </c>
      <c r="D1302" s="63" t="s">
        <v>5049</v>
      </c>
      <c r="E1302" s="64" t="s">
        <v>5222</v>
      </c>
      <c r="F1302" s="336">
        <v>7</v>
      </c>
      <c r="G1302" s="336" t="s">
        <v>283</v>
      </c>
      <c r="H1302" s="383">
        <v>45313</v>
      </c>
      <c r="I1302" s="65" t="s">
        <v>75</v>
      </c>
      <c r="J1302" s="349" t="s">
        <v>4931</v>
      </c>
      <c r="K1302" s="63" t="s">
        <v>1916</v>
      </c>
      <c r="L1302" s="63" t="s">
        <v>789</v>
      </c>
      <c r="M1302" s="63" t="s">
        <v>885</v>
      </c>
      <c r="N1302" s="63" t="s">
        <v>4007</v>
      </c>
      <c r="O1302" s="63" t="str">
        <f ca="1">IF(H1302&lt;&gt;"",IF(H1302&lt;=TODAY(),"SI","NO"),"LIMBO")</f>
        <v>SI</v>
      </c>
      <c r="P1302" s="63" t="str">
        <f>IF($P$1=H1302,"DIASOL", "DIANOSOL")</f>
        <v>DIANOSOL</v>
      </c>
      <c r="Q1302" s="63" t="s">
        <v>902</v>
      </c>
      <c r="R1302" s="63" t="str">
        <f>VLOOKUP($Q1302,Resultados!$A$1:$B$49,2,FALSE)</f>
        <v>Juicio Abreviado</v>
      </c>
      <c r="S1302" s="63" t="s">
        <v>1203</v>
      </c>
      <c r="T1302" s="72" t="str">
        <f>IF(G1302=$J$1,"SI","NO")</f>
        <v>NO</v>
      </c>
      <c r="U1302" s="72"/>
      <c r="V1302" s="7" t="str">
        <f ca="1">IF(color_Celda(E1302)=12106214,"ROSA",IF(color_Celda(E1302)=65535,"AMARILLO",IF(color_Celda(E1302)=5296274,"VERDE",IF(color_Celda(E1302)=16777215,"BLANCO","NO SE"))))</f>
        <v>ROSA</v>
      </c>
      <c r="W1302" s="63" t="s">
        <v>4390</v>
      </c>
      <c r="X1302" s="63" t="s">
        <v>4891</v>
      </c>
      <c r="Y1302" s="336"/>
      <c r="Z1302" s="336" t="s">
        <v>770</v>
      </c>
      <c r="AA1302" s="336"/>
      <c r="AB1302" s="336" t="s">
        <v>3258</v>
      </c>
      <c r="AC1302" s="336"/>
    </row>
    <row r="1303" spans="1:29" ht="60" customHeight="1">
      <c r="A1303" s="336">
        <v>1299</v>
      </c>
      <c r="B1303" s="349">
        <v>45293</v>
      </c>
      <c r="C1303" s="568">
        <v>0.42222222222222222</v>
      </c>
      <c r="D1303" s="63" t="s">
        <v>2855</v>
      </c>
      <c r="E1303" s="64" t="s">
        <v>5079</v>
      </c>
      <c r="F1303" s="336">
        <v>1</v>
      </c>
      <c r="G1303" s="336" t="s">
        <v>1433</v>
      </c>
      <c r="H1303" s="383">
        <v>45313</v>
      </c>
      <c r="I1303" s="65" t="s">
        <v>75</v>
      </c>
      <c r="J1303" s="349" t="s">
        <v>1217</v>
      </c>
      <c r="K1303" s="336">
        <f>IFERROR(VLOOKUP(J1303,Jueces!$A$1:$B$11,2,FALSE),"")</f>
        <v>7</v>
      </c>
      <c r="L1303" s="63" t="s">
        <v>4791</v>
      </c>
      <c r="M1303" s="63" t="s">
        <v>711</v>
      </c>
      <c r="N1303" s="63" t="s">
        <v>5488</v>
      </c>
      <c r="O1303" s="78" t="str">
        <f ca="1">IF(H1303&lt;&gt;"",IF(H1303&lt;=TODAY(),"SI","NO"),"LIMBO")</f>
        <v>SI</v>
      </c>
      <c r="P1303" s="78" t="str">
        <f>IF($P$1=H1303,"DIASOL", "DIANOSOL")</f>
        <v>DIANOSOL</v>
      </c>
      <c r="Q1303" s="63" t="s">
        <v>151</v>
      </c>
      <c r="R1303" s="63" t="str">
        <f>VLOOKUP($Q1303,Resultados!$A$1:$B$49,2,FALSE)</f>
        <v>Prisión Preventiva</v>
      </c>
      <c r="S1303" s="63" t="s">
        <v>3201</v>
      </c>
      <c r="T1303" s="81" t="str">
        <f>IF(G1303=$J$1,"SI","NO")</f>
        <v>NO</v>
      </c>
      <c r="U1303" s="81"/>
      <c r="V1303" s="7" t="str">
        <f ca="1">IF(color_Celda(E1303)=12106214,"ROSA",IF(color_Celda(E1303)=65535,"AMARILLO",IF(color_Celda(E1303)=5296274,"VERDE",IF(color_Celda(E1303)=16777215,"BLANCO","NO SE"))))</f>
        <v>ROSA</v>
      </c>
      <c r="W1303" s="63" t="s">
        <v>4176</v>
      </c>
      <c r="X1303" s="63" t="s">
        <v>4644</v>
      </c>
      <c r="Y1303" s="336"/>
      <c r="Z1303" s="336" t="s">
        <v>5360</v>
      </c>
      <c r="AA1303" s="336"/>
      <c r="AB1303" s="336" t="s">
        <v>1170</v>
      </c>
      <c r="AC1303" s="336"/>
    </row>
    <row r="1304" spans="1:29" ht="60" customHeight="1">
      <c r="A1304" s="336">
        <v>1324</v>
      </c>
      <c r="B1304" s="65">
        <v>45299</v>
      </c>
      <c r="C1304" s="568">
        <v>0.44791666666666669</v>
      </c>
      <c r="D1304" s="63" t="s">
        <v>5164</v>
      </c>
      <c r="E1304" s="64" t="s">
        <v>5165</v>
      </c>
      <c r="F1304" s="336">
        <v>7</v>
      </c>
      <c r="G1304" s="336" t="s">
        <v>2766</v>
      </c>
      <c r="H1304" s="383">
        <v>45313</v>
      </c>
      <c r="I1304" s="65" t="s">
        <v>75</v>
      </c>
      <c r="J1304" s="349" t="s">
        <v>1216</v>
      </c>
      <c r="K1304" s="336">
        <f>IFERROR(VLOOKUP(J1304,Jueces!$A$1:$B$11,2,FALSE),"")</f>
        <v>1</v>
      </c>
      <c r="L1304" s="63" t="s">
        <v>4778</v>
      </c>
      <c r="M1304" s="63" t="s">
        <v>767</v>
      </c>
      <c r="N1304" s="63" t="s">
        <v>621</v>
      </c>
      <c r="O1304" s="78" t="str">
        <f ca="1">IF(H1304&lt;&gt;"",IF(H1304&lt;=TODAY(),"SI","NO"),"LIMBO")</f>
        <v>SI</v>
      </c>
      <c r="P1304" s="78" t="str">
        <f>IF($P$1=H1304,"DIASOL", "DIANOSOL")</f>
        <v>DIANOSOL</v>
      </c>
      <c r="Q1304" s="63" t="s">
        <v>151</v>
      </c>
      <c r="R1304" s="63" t="str">
        <f>VLOOKUP($Q1304,Resultados!$A$1:$B$49,2,FALSE)</f>
        <v>Prisión Preventiva</v>
      </c>
      <c r="S1304" s="63" t="s">
        <v>1797</v>
      </c>
      <c r="T1304" s="81" t="str">
        <f>IF(G1304=$J$1,"SI","NO")</f>
        <v>NO</v>
      </c>
      <c r="U1304" s="81"/>
      <c r="V1304" s="7" t="str">
        <f ca="1">IF(color_Celda(E1304)=12106214,"ROSA",IF(color_Celda(E1304)=65535,"AMARILLO",IF(color_Celda(E1304)=5296274,"VERDE",IF(color_Celda(E1304)=16777215,"BLANCO","NO SE"))))</f>
        <v>ROSA</v>
      </c>
      <c r="W1304" s="63" t="s">
        <v>3682</v>
      </c>
      <c r="X1304" s="63" t="s">
        <v>4891</v>
      </c>
      <c r="Y1304" s="336"/>
      <c r="Z1304" s="336" t="s">
        <v>5361</v>
      </c>
      <c r="AA1304" s="336"/>
      <c r="AB1304" s="336" t="s">
        <v>5362</v>
      </c>
      <c r="AC1304" s="336"/>
    </row>
    <row r="1305" spans="1:29" ht="60" customHeight="1">
      <c r="A1305" s="336">
        <v>1241</v>
      </c>
      <c r="B1305" s="349">
        <v>45282</v>
      </c>
      <c r="C1305" s="568">
        <v>0.52777777777777779</v>
      </c>
      <c r="D1305" s="63" t="s">
        <v>4869</v>
      </c>
      <c r="E1305" s="64" t="s">
        <v>4870</v>
      </c>
      <c r="F1305" s="336">
        <v>5</v>
      </c>
      <c r="G1305" s="63" t="s">
        <v>3639</v>
      </c>
      <c r="H1305" s="383">
        <v>45313</v>
      </c>
      <c r="I1305" s="65" t="s">
        <v>77</v>
      </c>
      <c r="J1305" s="65" t="s">
        <v>1217</v>
      </c>
      <c r="K1305" s="336">
        <f>IFERROR(VLOOKUP(J1305,Jueces!$A$1:$B$11,2,FALSE),"")</f>
        <v>7</v>
      </c>
      <c r="L1305" s="63" t="s">
        <v>4786</v>
      </c>
      <c r="M1305" s="373" t="s">
        <v>4871</v>
      </c>
      <c r="N1305" s="63" t="s">
        <v>5489</v>
      </c>
      <c r="O1305" s="78" t="str">
        <f ca="1">IF(H1305&lt;&gt;"",IF(H1305&lt;=TODAY(),"SI","NO"),"LIMBO")</f>
        <v>SI</v>
      </c>
      <c r="P1305" s="78" t="str">
        <f>IF($P$1=H1305,"DIASOL", "DIANOSOL")</f>
        <v>DIANOSOL</v>
      </c>
      <c r="Q1305" s="63" t="s">
        <v>907</v>
      </c>
      <c r="R1305" s="63" t="str">
        <f>VLOOKUP($Q1305,Resultados!$A$1:$B$49,2,FALSE)</f>
        <v>Suspensión de juicio a prueba</v>
      </c>
      <c r="S1305" s="63" t="s">
        <v>1123</v>
      </c>
      <c r="T1305" s="81" t="str">
        <f>IF(G1305=$J$1,"SI","NO")</f>
        <v>NO</v>
      </c>
      <c r="U1305" s="81"/>
      <c r="V1305" s="7" t="str">
        <f ca="1">IF(color_Celda(E1305)=12106214,"ROSA",IF(color_Celda(E1305)=65535,"AMARILLO",IF(color_Celda(E1305)=5296274,"VERDE",IF(color_Celda(E1305)=16777215,"BLANCO","NO SE"))))</f>
        <v>ROSA</v>
      </c>
      <c r="W1305" s="63" t="s">
        <v>5420</v>
      </c>
      <c r="X1305" s="63" t="s">
        <v>4891</v>
      </c>
      <c r="Y1305" s="336"/>
      <c r="Z1305" s="336" t="s">
        <v>5360</v>
      </c>
      <c r="AA1305" s="72"/>
      <c r="AB1305" s="336" t="s">
        <v>3258</v>
      </c>
      <c r="AC1305" s="336"/>
    </row>
    <row r="1306" spans="1:29" ht="60" customHeight="1">
      <c r="A1306" s="336">
        <v>1284</v>
      </c>
      <c r="B1306" s="349">
        <v>45289</v>
      </c>
      <c r="C1306" s="568">
        <v>0.52083333333333337</v>
      </c>
      <c r="D1306" s="63" t="s">
        <v>5035</v>
      </c>
      <c r="E1306" s="64" t="s">
        <v>5036</v>
      </c>
      <c r="F1306" s="336">
        <v>7</v>
      </c>
      <c r="G1306" s="336" t="s">
        <v>3791</v>
      </c>
      <c r="H1306" s="383">
        <v>45313</v>
      </c>
      <c r="I1306" s="65" t="s">
        <v>77</v>
      </c>
      <c r="J1306" s="349" t="s">
        <v>4931</v>
      </c>
      <c r="K1306" s="63" t="s">
        <v>1916</v>
      </c>
      <c r="L1306" s="63" t="s">
        <v>4791</v>
      </c>
      <c r="M1306" s="63" t="s">
        <v>885</v>
      </c>
      <c r="N1306" s="63" t="s">
        <v>4896</v>
      </c>
      <c r="O1306" s="63" t="str">
        <f ca="1">IF(H1306&lt;&gt;"",IF(H1306&lt;=TODAY(),"SI","NO"),"LIMBO")</f>
        <v>SI</v>
      </c>
      <c r="P1306" s="63" t="str">
        <f>IF($P$1=H1306,"DIASOL", "DIANOSOL")</f>
        <v>DIANOSOL</v>
      </c>
      <c r="Q1306" s="63" t="s">
        <v>902</v>
      </c>
      <c r="R1306" s="63" t="str">
        <f>VLOOKUP($Q1306,Resultados!$A$1:$B$49,2,FALSE)</f>
        <v>Juicio Abreviado</v>
      </c>
      <c r="S1306" s="63" t="s">
        <v>3997</v>
      </c>
      <c r="T1306" s="72" t="str">
        <f>IF(G1306=$J$1,"SI","NO")</f>
        <v>NO</v>
      </c>
      <c r="U1306" s="72"/>
      <c r="V1306" s="7" t="str">
        <f ca="1">IF(color_Celda(E1306)=12106214,"ROSA",IF(color_Celda(E1306)=65535,"AMARILLO",IF(color_Celda(E1306)=5296274,"VERDE",IF(color_Celda(E1306)=16777215,"BLANCO","NO SE"))))</f>
        <v>ROSA</v>
      </c>
      <c r="W1306" s="63" t="s">
        <v>5534</v>
      </c>
      <c r="X1306" s="63" t="s">
        <v>4891</v>
      </c>
      <c r="Y1306" s="336"/>
      <c r="Z1306" s="336" t="s">
        <v>770</v>
      </c>
      <c r="AA1306" s="336"/>
      <c r="AB1306" s="336" t="s">
        <v>1170</v>
      </c>
      <c r="AC1306" s="336"/>
    </row>
    <row r="1307" spans="1:29" ht="60" customHeight="1">
      <c r="A1307" s="336">
        <v>1301</v>
      </c>
      <c r="B1307" s="349">
        <v>45294</v>
      </c>
      <c r="C1307" s="568">
        <v>0.38125000000000003</v>
      </c>
      <c r="D1307" s="63" t="s">
        <v>5080</v>
      </c>
      <c r="E1307" s="64" t="s">
        <v>5081</v>
      </c>
      <c r="F1307" s="336">
        <v>7</v>
      </c>
      <c r="G1307" s="336" t="s">
        <v>43</v>
      </c>
      <c r="H1307" s="383">
        <v>45313</v>
      </c>
      <c r="I1307" s="65" t="s">
        <v>228</v>
      </c>
      <c r="J1307" s="349" t="s">
        <v>1216</v>
      </c>
      <c r="K1307" s="336">
        <f>IFERROR(VLOOKUP(J1307,Jueces!$A$1:$B$11,2,FALSE),"")</f>
        <v>1</v>
      </c>
      <c r="L1307" s="63" t="s">
        <v>4791</v>
      </c>
      <c r="M1307" s="63" t="s">
        <v>885</v>
      </c>
      <c r="N1307" s="63" t="s">
        <v>621</v>
      </c>
      <c r="O1307" s="78" t="str">
        <f ca="1">IF(H1307&lt;&gt;"",IF(H1307&lt;=TODAY(),"SI","NO"),"LIMBO")</f>
        <v>SI</v>
      </c>
      <c r="P1307" s="78" t="str">
        <f>IF($P$1=H1307,"DIASOL", "DIANOSOL")</f>
        <v>DIANOSOL</v>
      </c>
      <c r="Q1307" s="63" t="s">
        <v>151</v>
      </c>
      <c r="R1307" s="63" t="str">
        <f>VLOOKUP($Q1307,Resultados!$A$1:$B$49,2,FALSE)</f>
        <v>Prisión Preventiva</v>
      </c>
      <c r="S1307" s="63" t="s">
        <v>5490</v>
      </c>
      <c r="T1307" s="81" t="str">
        <f>IF(G1307=$J$1,"SI","NO")</f>
        <v>NO</v>
      </c>
      <c r="U1307" s="81"/>
      <c r="V1307" s="7" t="str">
        <f ca="1">IF(color_Celda(E1307)=12106214,"ROSA",IF(color_Celda(E1307)=65535,"AMARILLO",IF(color_Celda(E1307)=5296274,"VERDE",IF(color_Celda(E1307)=16777215,"BLANCO","NO SE"))))</f>
        <v>ROSA</v>
      </c>
      <c r="W1307" s="63" t="s">
        <v>5491</v>
      </c>
      <c r="X1307" s="63" t="s">
        <v>4891</v>
      </c>
      <c r="Y1307" s="336"/>
      <c r="Z1307" s="336" t="s">
        <v>5361</v>
      </c>
      <c r="AA1307" s="336"/>
      <c r="AB1307" s="336" t="s">
        <v>3258</v>
      </c>
      <c r="AC1307" s="336"/>
    </row>
    <row r="1308" spans="1:29" ht="60" customHeight="1">
      <c r="A1308" s="336">
        <v>1326</v>
      </c>
      <c r="B1308" s="349">
        <v>45297</v>
      </c>
      <c r="C1308" s="63" t="s">
        <v>5168</v>
      </c>
      <c r="D1308" s="63">
        <v>187666</v>
      </c>
      <c r="E1308" s="64" t="s">
        <v>4551</v>
      </c>
      <c r="F1308" s="336">
        <v>5</v>
      </c>
      <c r="G1308" s="336" t="s">
        <v>3791</v>
      </c>
      <c r="H1308" s="383">
        <v>45313</v>
      </c>
      <c r="I1308" s="65" t="s">
        <v>228</v>
      </c>
      <c r="J1308" s="349" t="s">
        <v>4931</v>
      </c>
      <c r="K1308" s="63" t="s">
        <v>1916</v>
      </c>
      <c r="L1308" s="63" t="s">
        <v>508</v>
      </c>
      <c r="M1308" s="335" t="s">
        <v>1426</v>
      </c>
      <c r="N1308" s="63" t="s">
        <v>5547</v>
      </c>
      <c r="O1308" s="63" t="str">
        <f ca="1">IF(H1308&lt;&gt;"",IF(H1308&lt;=TODAY(),"SI","NO"),"LIMBO")</f>
        <v>SI</v>
      </c>
      <c r="P1308" s="63" t="str">
        <f>IF($P$1=H1308,"DIASOL", "DIANOSOL")</f>
        <v>DIANOSOL</v>
      </c>
      <c r="Q1308" s="63" t="s">
        <v>909</v>
      </c>
      <c r="R1308" s="63" t="str">
        <f>VLOOKUP($Q1308,Resultados!$A$1:$B$49,2,FALSE)</f>
        <v>Suspendida</v>
      </c>
      <c r="S1308" s="63"/>
      <c r="T1308" s="72" t="str">
        <f>IF(G1308=$J$1,"SI","NO")</f>
        <v>NO</v>
      </c>
      <c r="U1308" s="72"/>
      <c r="V1308" s="7" t="str">
        <f ca="1">IF(color_Celda(E1308)=12106214,"ROSA",IF(color_Celda(E1308)=65535,"AMARILLO",IF(color_Celda(E1308)=5296274,"VERDE",IF(color_Celda(E1308)=16777215,"BLANCO","NO SE"))))</f>
        <v>ROSA</v>
      </c>
      <c r="W1308" s="336"/>
      <c r="X1308" s="336"/>
      <c r="Y1308" s="336"/>
      <c r="Z1308" s="63" t="s">
        <v>770</v>
      </c>
      <c r="AA1308" s="336"/>
      <c r="AB1308" s="336" t="s">
        <v>5362</v>
      </c>
      <c r="AC1308" s="336"/>
    </row>
    <row r="1309" spans="1:29" ht="60" customHeight="1">
      <c r="A1309" s="336">
        <v>1325</v>
      </c>
      <c r="B1309" s="349">
        <v>45299</v>
      </c>
      <c r="C1309" s="568">
        <v>0.50347222222222221</v>
      </c>
      <c r="D1309" s="63" t="s">
        <v>5167</v>
      </c>
      <c r="E1309" s="64" t="s">
        <v>5413</v>
      </c>
      <c r="F1309" s="336">
        <v>2</v>
      </c>
      <c r="G1309" s="336" t="s">
        <v>4934</v>
      </c>
      <c r="H1309" s="383">
        <v>45314</v>
      </c>
      <c r="I1309" s="65" t="s">
        <v>76</v>
      </c>
      <c r="J1309" s="349" t="s">
        <v>1217</v>
      </c>
      <c r="K1309" s="336">
        <f>IFERROR(VLOOKUP(J1309,Jueces!$A$1:$B$11,2,FALSE),"")</f>
        <v>7</v>
      </c>
      <c r="L1309" s="63" t="s">
        <v>791</v>
      </c>
      <c r="M1309" s="63" t="s">
        <v>1084</v>
      </c>
      <c r="N1309" s="63" t="s">
        <v>621</v>
      </c>
      <c r="O1309" s="63" t="str">
        <f ca="1">IF(H1309&lt;&gt;"",IF(H1309&lt;=TODAY(),"SI","NO"),"LIMBO")</f>
        <v>SI</v>
      </c>
      <c r="P1309" s="63" t="str">
        <f>IF($P$1=H1309,"DIASOL", "DIANOSOL")</f>
        <v>DIANOSOL</v>
      </c>
      <c r="Q1309" s="63" t="s">
        <v>151</v>
      </c>
      <c r="R1309" s="63" t="str">
        <f>VLOOKUP($Q1309,Resultados!$A$1:$B$49,2,FALSE)</f>
        <v>Prisión Preventiva</v>
      </c>
      <c r="S1309" s="63" t="s">
        <v>2878</v>
      </c>
      <c r="T1309" s="72" t="str">
        <f>IF(G1309=$J$1,"SI","NO")</f>
        <v>NO</v>
      </c>
      <c r="U1309" s="72"/>
      <c r="V1309" s="7" t="str">
        <f ca="1">IF(color_Celda(E1309)=12106214,"ROSA",IF(color_Celda(E1309)=65535,"AMARILLO",IF(color_Celda(E1309)=5296274,"VERDE",IF(color_Celda(E1309)=16777215,"BLANCO","NO SE"))))</f>
        <v>ROSA</v>
      </c>
      <c r="W1309" s="63" t="s">
        <v>1122</v>
      </c>
      <c r="X1309" s="63" t="s">
        <v>4644</v>
      </c>
      <c r="Y1309" s="336"/>
      <c r="Z1309" s="118" t="s">
        <v>770</v>
      </c>
      <c r="AA1309" s="336"/>
      <c r="AB1309" s="118" t="s">
        <v>5362</v>
      </c>
      <c r="AC1309" s="336"/>
    </row>
    <row r="1310" spans="1:29" ht="60" customHeight="1">
      <c r="A1310" s="336">
        <v>1316</v>
      </c>
      <c r="B1310" s="349">
        <v>45296</v>
      </c>
      <c r="C1310" s="568">
        <v>0.48749999999999999</v>
      </c>
      <c r="D1310" s="63" t="s">
        <v>4669</v>
      </c>
      <c r="E1310" s="355" t="s">
        <v>4705</v>
      </c>
      <c r="F1310" s="336">
        <v>8</v>
      </c>
      <c r="G1310" s="336" t="s">
        <v>2766</v>
      </c>
      <c r="H1310" s="383">
        <v>45314</v>
      </c>
      <c r="I1310" s="65" t="s">
        <v>75</v>
      </c>
      <c r="J1310" s="349" t="s">
        <v>1217</v>
      </c>
      <c r="K1310" s="336">
        <f>IFERROR(VLOOKUP(J1310,Jueces!$A$1:$B$11,2,FALSE),"")</f>
        <v>7</v>
      </c>
      <c r="L1310" s="63" t="s">
        <v>4781</v>
      </c>
      <c r="M1310" s="63" t="s">
        <v>723</v>
      </c>
      <c r="N1310" s="63" t="s">
        <v>621</v>
      </c>
      <c r="O1310" s="63" t="str">
        <f ca="1">IF(H1310&lt;&gt;"",IF(H1310&lt;=TODAY(),"SI","NO"),"LIMBO")</f>
        <v>SI</v>
      </c>
      <c r="P1310" s="63" t="str">
        <f>IF($P$1=H1310,"DIASOL", "DIANOSOL")</f>
        <v>DIANOSOL</v>
      </c>
      <c r="Q1310" s="63" t="s">
        <v>151</v>
      </c>
      <c r="R1310" s="63" t="str">
        <f>VLOOKUP($Q1310,Resultados!$A$1:$B$49,2,FALSE)</f>
        <v>Prisión Preventiva</v>
      </c>
      <c r="S1310" s="63" t="s">
        <v>3115</v>
      </c>
      <c r="T1310" s="72" t="str">
        <f>IF(G1310=$J$1,"SI","NO")</f>
        <v>NO</v>
      </c>
      <c r="U1310" s="72"/>
      <c r="V1310" s="7" t="str">
        <f ca="1">IF(color_Celda(E1310)=12106214,"ROSA",IF(color_Celda(E1310)=65535,"AMARILLO",IF(color_Celda(E1310)=5296274,"VERDE",IF(color_Celda(E1310)=16777215,"BLANCO","NO SE"))))</f>
        <v>ROSA</v>
      </c>
      <c r="W1310" s="63" t="s">
        <v>5535</v>
      </c>
      <c r="X1310" s="63" t="s">
        <v>4673</v>
      </c>
      <c r="Y1310" s="336"/>
      <c r="Z1310" s="118" t="s">
        <v>5486</v>
      </c>
      <c r="AA1310" s="336"/>
      <c r="AB1310" s="118" t="s">
        <v>3258</v>
      </c>
      <c r="AC1310" s="336"/>
    </row>
    <row r="1311" spans="1:29" ht="60" customHeight="1">
      <c r="A1311" s="336">
        <v>1319</v>
      </c>
      <c r="B1311" s="349">
        <v>45299</v>
      </c>
      <c r="C1311" s="568">
        <v>0.43958333333333338</v>
      </c>
      <c r="D1311" s="63" t="s">
        <v>5154</v>
      </c>
      <c r="E1311" s="64" t="s">
        <v>5155</v>
      </c>
      <c r="F1311" s="336">
        <v>7</v>
      </c>
      <c r="G1311" s="336" t="s">
        <v>3791</v>
      </c>
      <c r="H1311" s="383">
        <v>45314</v>
      </c>
      <c r="I1311" s="65" t="s">
        <v>75</v>
      </c>
      <c r="J1311" s="349" t="s">
        <v>33</v>
      </c>
      <c r="K1311" s="336">
        <f>IFERROR(VLOOKUP(J1311,Jueces!$A$1:$B$11,2,FALSE),"")</f>
        <v>4</v>
      </c>
      <c r="L1311" s="63" t="s">
        <v>4792</v>
      </c>
      <c r="M1311" s="63" t="s">
        <v>885</v>
      </c>
      <c r="N1311" s="63" t="s">
        <v>4249</v>
      </c>
      <c r="O1311" s="63" t="str">
        <f ca="1">IF(H1311&lt;&gt;"",IF(H1311&lt;=TODAY(),"SI","NO"),"LIMBO")</f>
        <v>SI</v>
      </c>
      <c r="P1311" s="63" t="str">
        <f>IF($P$1=H1311,"DIASOL", "DIANOSOL")</f>
        <v>DIANOSOL</v>
      </c>
      <c r="Q1311" s="63" t="s">
        <v>903</v>
      </c>
      <c r="R1311" s="63" t="str">
        <f>VLOOKUP($Q1311,Resultados!$A$1:$B$49,2,FALSE)</f>
        <v>Juicio Abreviado</v>
      </c>
      <c r="S1311" s="63" t="s">
        <v>2575</v>
      </c>
      <c r="T1311" s="72" t="str">
        <f>IF(G1311=$J$1,"SI","NO")</f>
        <v>NO</v>
      </c>
      <c r="U1311" s="72"/>
      <c r="V1311" s="7" t="str">
        <f ca="1">IF(color_Celda(E1311)=12106214,"ROSA",IF(color_Celda(E1311)=65535,"AMARILLO",IF(color_Celda(E1311)=5296274,"VERDE",IF(color_Celda(E1311)=16777215,"BLANCO","NO SE"))))</f>
        <v>ROSA</v>
      </c>
      <c r="W1311" s="63" t="s">
        <v>3253</v>
      </c>
      <c r="X1311" s="63" t="s">
        <v>4644</v>
      </c>
      <c r="Y1311" s="336"/>
      <c r="Z1311" s="118" t="s">
        <v>5360</v>
      </c>
      <c r="AA1311" s="336"/>
      <c r="AB1311" s="118" t="s">
        <v>1170</v>
      </c>
      <c r="AC1311" s="336"/>
    </row>
    <row r="1312" spans="1:29" ht="60" customHeight="1">
      <c r="A1312" s="336">
        <v>1314</v>
      </c>
      <c r="B1312" s="349">
        <v>45296</v>
      </c>
      <c r="C1312" s="568">
        <v>0.4513888888888889</v>
      </c>
      <c r="D1312" s="63" t="s">
        <v>5136</v>
      </c>
      <c r="E1312" s="64" t="s">
        <v>5166</v>
      </c>
      <c r="F1312" s="336">
        <v>1</v>
      </c>
      <c r="G1312" s="336" t="s">
        <v>43</v>
      </c>
      <c r="H1312" s="383">
        <v>45314</v>
      </c>
      <c r="I1312" s="65" t="s">
        <v>77</v>
      </c>
      <c r="J1312" s="349" t="s">
        <v>1216</v>
      </c>
      <c r="K1312" s="336">
        <f>IFERROR(VLOOKUP(J1312,Jueces!$A$1:$B$11,2,FALSE),"")</f>
        <v>1</v>
      </c>
      <c r="L1312" s="63" t="s">
        <v>4791</v>
      </c>
      <c r="M1312" s="63" t="s">
        <v>1084</v>
      </c>
      <c r="N1312" s="63" t="s">
        <v>5536</v>
      </c>
      <c r="O1312" s="63" t="str">
        <f ca="1">IF(H1312&lt;&gt;"",IF(H1312&lt;=TODAY(),"SI","NO"),"LIMBO")</f>
        <v>SI</v>
      </c>
      <c r="P1312" s="63" t="str">
        <f>IF($P$1=H1312,"DIASOL", "DIANOSOL")</f>
        <v>DIANOSOL</v>
      </c>
      <c r="Q1312" s="63" t="s">
        <v>897</v>
      </c>
      <c r="R1312" s="63" t="str">
        <f>VLOOKUP($Q1312,Resultados!$A$1:$B$49,2,FALSE)</f>
        <v>Libertad</v>
      </c>
      <c r="S1312" s="63" t="s">
        <v>5177</v>
      </c>
      <c r="T1312" s="72" t="str">
        <f>IF(G1312=$J$1,"SI","NO")</f>
        <v>NO</v>
      </c>
      <c r="U1312" s="72"/>
      <c r="V1312" s="7" t="str">
        <f ca="1">IF(color_Celda(E1312)=12106214,"ROSA",IF(color_Celda(E1312)=65535,"AMARILLO",IF(color_Celda(E1312)=5296274,"VERDE",IF(color_Celda(E1312)=16777215,"BLANCO","NO SE"))))</f>
        <v>ROSA</v>
      </c>
      <c r="W1312" s="63" t="s">
        <v>5117</v>
      </c>
      <c r="X1312" s="63" t="s">
        <v>4891</v>
      </c>
      <c r="Y1312" s="336"/>
      <c r="Z1312" s="118" t="s">
        <v>5361</v>
      </c>
      <c r="AA1312" s="336"/>
      <c r="AB1312" s="118" t="s">
        <v>5362</v>
      </c>
      <c r="AC1312" s="336"/>
    </row>
    <row r="1313" spans="1:29" ht="60" customHeight="1">
      <c r="A1313" s="336">
        <v>1295</v>
      </c>
      <c r="B1313" s="349">
        <v>45293</v>
      </c>
      <c r="C1313" s="568">
        <v>0.45833333333333331</v>
      </c>
      <c r="D1313" s="63" t="s">
        <v>5056</v>
      </c>
      <c r="E1313" s="64" t="s">
        <v>5432</v>
      </c>
      <c r="F1313" s="336">
        <v>7</v>
      </c>
      <c r="G1313" s="336" t="s">
        <v>43</v>
      </c>
      <c r="H1313" s="383">
        <v>45315</v>
      </c>
      <c r="I1313" s="65" t="s">
        <v>686</v>
      </c>
      <c r="J1313" s="349" t="s">
        <v>1217</v>
      </c>
      <c r="K1313" s="336">
        <f>IFERROR(VLOOKUP(J1313,Jueces!$A$1:$B$11,2,FALSE),"")</f>
        <v>7</v>
      </c>
      <c r="L1313" s="63" t="s">
        <v>4791</v>
      </c>
      <c r="M1313" s="63" t="s">
        <v>767</v>
      </c>
      <c r="N1313" s="63" t="s">
        <v>5537</v>
      </c>
      <c r="O1313" s="63" t="str">
        <f ca="1">IF(H1313&lt;&gt;"",IF(H1313&lt;=TODAY(),"SI","NO"),"LIMBO")</f>
        <v>SI</v>
      </c>
      <c r="P1313" s="63" t="str">
        <f>IF($P$1=H1313,"DIASOL", "DIANOSOL")</f>
        <v>DIANOSOL</v>
      </c>
      <c r="Q1313" s="63" t="s">
        <v>897</v>
      </c>
      <c r="R1313" s="63" t="str">
        <f>VLOOKUP($Q1313,Resultados!$A$1:$B$49,2,FALSE)</f>
        <v>Libertad</v>
      </c>
      <c r="S1313" s="63" t="s">
        <v>1119</v>
      </c>
      <c r="T1313" s="72" t="str">
        <f>IF(G1313=$J$1,"SI","NO")</f>
        <v>NO</v>
      </c>
      <c r="U1313" s="72"/>
      <c r="V1313" s="7" t="str">
        <f ca="1">IF(color_Celda(E1313)=12106214,"ROSA",IF(color_Celda(E1313)=65535,"AMARILLO",IF(color_Celda(E1313)=5296274,"VERDE",IF(color_Celda(E1313)=16777215,"BLANCO","NO SE"))))</f>
        <v>ROSA</v>
      </c>
      <c r="W1313" s="63" t="s">
        <v>1489</v>
      </c>
      <c r="X1313" s="336"/>
      <c r="Y1313" s="336"/>
      <c r="Z1313" s="336" t="s">
        <v>5360</v>
      </c>
      <c r="AA1313" s="336"/>
      <c r="AB1313" s="336" t="s">
        <v>3258</v>
      </c>
      <c r="AC1313" s="336"/>
    </row>
    <row r="1314" spans="1:29" ht="60" customHeight="1">
      <c r="A1314" s="336">
        <v>1302</v>
      </c>
      <c r="B1314" s="349">
        <v>45294</v>
      </c>
      <c r="C1314" s="568">
        <v>0.375</v>
      </c>
      <c r="D1314" s="63" t="s">
        <v>5082</v>
      </c>
      <c r="E1314" s="64" t="s">
        <v>5083</v>
      </c>
      <c r="F1314" s="336">
        <v>5</v>
      </c>
      <c r="G1314" s="336" t="s">
        <v>1434</v>
      </c>
      <c r="H1314" s="208">
        <v>45315</v>
      </c>
      <c r="I1314" s="65" t="s">
        <v>76</v>
      </c>
      <c r="J1314" s="349" t="s">
        <v>1216</v>
      </c>
      <c r="K1314" s="336">
        <f>IFERROR(VLOOKUP(J1314,Jueces!$A$1:$B$11,2,FALSE),"")</f>
        <v>1</v>
      </c>
      <c r="L1314" s="63" t="s">
        <v>4782</v>
      </c>
      <c r="M1314" s="335" t="s">
        <v>1408</v>
      </c>
      <c r="N1314" s="63" t="s">
        <v>2952</v>
      </c>
      <c r="O1314" s="63" t="str">
        <f ca="1">IF(H1314&lt;&gt;"",IF(H1314&lt;=TODAY(),"SI","NO"),"LIMBO")</f>
        <v>SI</v>
      </c>
      <c r="P1314" s="63" t="str">
        <f>IF($P$1=H1314,"DIASOL", "DIANOSOL")</f>
        <v>DIANOSOL</v>
      </c>
      <c r="Q1314" s="63" t="s">
        <v>903</v>
      </c>
      <c r="R1314" s="63" t="str">
        <f>VLOOKUP($Q1314,Resultados!$A$1:$B$49,2,FALSE)</f>
        <v>Juicio Abreviado</v>
      </c>
      <c r="S1314" s="63" t="s">
        <v>1774</v>
      </c>
      <c r="T1314" s="72" t="str">
        <f>IF(G1314=$J$1,"SI","NO")</f>
        <v>NO</v>
      </c>
      <c r="U1314" s="72"/>
      <c r="V1314" s="7" t="str">
        <f ca="1">IF(color_Celda(E1314)=12106214,"ROSA",IF(color_Celda(E1314)=65535,"AMARILLO",IF(color_Celda(E1314)=5296274,"VERDE",IF(color_Celda(E1314)=16777215,"BLANCO","NO SE"))))</f>
        <v>ROSA</v>
      </c>
      <c r="W1314" s="63" t="s">
        <v>4574</v>
      </c>
      <c r="X1314" s="63" t="s">
        <v>4872</v>
      </c>
      <c r="Y1314" s="336"/>
      <c r="Z1314" s="336" t="s">
        <v>5361</v>
      </c>
      <c r="AA1314" s="336"/>
      <c r="AB1314" s="336" t="s">
        <v>1170</v>
      </c>
      <c r="AC1314" s="336"/>
    </row>
    <row r="1315" spans="1:29" ht="60" customHeight="1">
      <c r="A1315" s="336">
        <v>1313</v>
      </c>
      <c r="B1315" s="349">
        <v>45296</v>
      </c>
      <c r="C1315" s="568">
        <v>0.46527777777777773</v>
      </c>
      <c r="D1315" s="63" t="s">
        <v>5134</v>
      </c>
      <c r="E1315" s="64" t="s">
        <v>5135</v>
      </c>
      <c r="F1315" s="336">
        <v>2</v>
      </c>
      <c r="G1315" s="336" t="s">
        <v>3791</v>
      </c>
      <c r="H1315" s="383">
        <v>45315</v>
      </c>
      <c r="I1315" s="65" t="s">
        <v>76</v>
      </c>
      <c r="J1315" s="349" t="s">
        <v>33</v>
      </c>
      <c r="K1315" s="336">
        <f>IFERROR(VLOOKUP(J1315,Jueces!$A$1:$B$11,2,FALSE),"")</f>
        <v>4</v>
      </c>
      <c r="L1315" s="63" t="s">
        <v>4791</v>
      </c>
      <c r="M1315" s="63" t="s">
        <v>1084</v>
      </c>
      <c r="N1315" s="63" t="s">
        <v>5538</v>
      </c>
      <c r="O1315" s="63" t="str">
        <f ca="1">IF(H1315&lt;&gt;"",IF(H1315&lt;=TODAY(),"SI","NO"),"LIMBO")</f>
        <v>SI</v>
      </c>
      <c r="P1315" s="63" t="str">
        <f>IF($P$1=H1315,"DIASOL", "DIANOSOL")</f>
        <v>DIANOSOL</v>
      </c>
      <c r="Q1315" s="63" t="s">
        <v>902</v>
      </c>
      <c r="R1315" s="63" t="str">
        <f>VLOOKUP($Q1315,Resultados!$A$1:$B$49,2,FALSE)</f>
        <v>Juicio Abreviado</v>
      </c>
      <c r="S1315" s="63" t="s">
        <v>1127</v>
      </c>
      <c r="T1315" s="72" t="str">
        <f>IF(G1315=$J$1,"SI","NO")</f>
        <v>NO</v>
      </c>
      <c r="U1315" s="72"/>
      <c r="V1315" s="7" t="str">
        <f ca="1">IF(color_Celda(E1315)=12106214,"ROSA",IF(color_Celda(E1315)=65535,"AMARILLO",IF(color_Celda(E1315)=5296274,"VERDE",IF(color_Celda(E1315)=16777215,"BLANCO","NO SE"))))</f>
        <v>ROSA</v>
      </c>
      <c r="W1315" s="63" t="s">
        <v>1332</v>
      </c>
      <c r="X1315" s="63" t="s">
        <v>4691</v>
      </c>
      <c r="Y1315" s="336"/>
      <c r="Z1315" s="336" t="s">
        <v>770</v>
      </c>
      <c r="AA1315" s="336"/>
      <c r="AB1315" s="336" t="s">
        <v>5362</v>
      </c>
      <c r="AC1315" s="336"/>
    </row>
    <row r="1316" spans="1:29" ht="60" customHeight="1">
      <c r="A1316" s="336">
        <v>1300</v>
      </c>
      <c r="B1316" s="349">
        <v>45289</v>
      </c>
      <c r="C1316" s="568">
        <v>0.56458333333333333</v>
      </c>
      <c r="D1316" s="336" t="s">
        <v>5076</v>
      </c>
      <c r="E1316" s="355" t="s">
        <v>5077</v>
      </c>
      <c r="F1316" s="336">
        <v>7</v>
      </c>
      <c r="G1316" s="336" t="s">
        <v>5009</v>
      </c>
      <c r="H1316" s="383">
        <v>45315</v>
      </c>
      <c r="I1316" s="65" t="s">
        <v>75</v>
      </c>
      <c r="J1316" s="349" t="s">
        <v>1216</v>
      </c>
      <c r="K1316" s="336">
        <f>IFERROR(VLOOKUP(J1316,Jueces!$A$1:$B$11,2,FALSE),"")</f>
        <v>1</v>
      </c>
      <c r="L1316" s="63" t="s">
        <v>4778</v>
      </c>
      <c r="M1316" s="63" t="s">
        <v>885</v>
      </c>
      <c r="N1316" s="63" t="s">
        <v>2178</v>
      </c>
      <c r="O1316" s="63" t="str">
        <f ca="1">IF(H1316&lt;&gt;"",IF(H1316&lt;=TODAY(),"SI","NO"),"LIMBO")</f>
        <v>SI</v>
      </c>
      <c r="P1316" s="63" t="str">
        <f>IF($P$1=H1316,"DIASOL", "DIANOSOL")</f>
        <v>DIANOSOL</v>
      </c>
      <c r="Q1316" s="63" t="s">
        <v>902</v>
      </c>
      <c r="R1316" s="63" t="str">
        <f>VLOOKUP($Q1316,Resultados!$A$1:$B$49,2,FALSE)</f>
        <v>Juicio Abreviado</v>
      </c>
      <c r="S1316" s="63" t="s">
        <v>3658</v>
      </c>
      <c r="T1316" s="72" t="str">
        <f>IF(G1316=$J$1,"SI","NO")</f>
        <v>NO</v>
      </c>
      <c r="U1316" s="72"/>
      <c r="V1316" s="7" t="str">
        <f ca="1">IF(color_Celda(E1316)=12106214,"ROSA",IF(color_Celda(E1316)=65535,"AMARILLO",IF(color_Celda(E1316)=5296274,"VERDE",IF(color_Celda(E1316)=16777215,"BLANCO","NO SE"))))</f>
        <v>ROSA</v>
      </c>
      <c r="W1316" s="63" t="s">
        <v>4988</v>
      </c>
      <c r="X1316" s="63" t="s">
        <v>4872</v>
      </c>
      <c r="Y1316" s="336"/>
      <c r="Z1316" s="336" t="s">
        <v>5361</v>
      </c>
      <c r="AA1316" s="336"/>
      <c r="AB1316" s="336" t="s">
        <v>1170</v>
      </c>
      <c r="AC1316" s="336"/>
    </row>
    <row r="1317" spans="1:29" ht="60" customHeight="1">
      <c r="A1317" s="336">
        <v>1310</v>
      </c>
      <c r="B1317" s="349">
        <v>45293</v>
      </c>
      <c r="C1317" s="568">
        <v>0.50694444444444442</v>
      </c>
      <c r="D1317" s="63" t="s">
        <v>5113</v>
      </c>
      <c r="E1317" s="64" t="s">
        <v>5114</v>
      </c>
      <c r="F1317" s="336">
        <v>1</v>
      </c>
      <c r="G1317" s="336" t="s">
        <v>2766</v>
      </c>
      <c r="H1317" s="383">
        <v>45315</v>
      </c>
      <c r="I1317" s="65" t="s">
        <v>75</v>
      </c>
      <c r="J1317" s="349" t="s">
        <v>33</v>
      </c>
      <c r="K1317" s="336">
        <f>IFERROR(VLOOKUP(J1317,Jueces!$A$1:$B$11,2,FALSE),"")</f>
        <v>4</v>
      </c>
      <c r="L1317" s="63" t="s">
        <v>805</v>
      </c>
      <c r="M1317" s="63" t="s">
        <v>1084</v>
      </c>
      <c r="N1317" s="63" t="s">
        <v>5541</v>
      </c>
      <c r="O1317" s="63" t="str">
        <f ca="1">IF(H1317&lt;&gt;"",IF(H1317&lt;=TODAY(),"SI","NO"),"LIMBO")</f>
        <v>SI</v>
      </c>
      <c r="P1317" s="63" t="str">
        <f>IF($P$1=H1317,"DIASOL", "DIANOSOL")</f>
        <v>DIANOSOL</v>
      </c>
      <c r="Q1317" s="63" t="s">
        <v>902</v>
      </c>
      <c r="R1317" s="63" t="str">
        <f>VLOOKUP($Q1317,Resultados!$A$1:$B$49,2,FALSE)</f>
        <v>Juicio Abreviado</v>
      </c>
      <c r="S1317" s="63" t="s">
        <v>3539</v>
      </c>
      <c r="T1317" s="72" t="str">
        <f>IF(G1317=$J$1,"SI","NO")</f>
        <v>NO</v>
      </c>
      <c r="U1317" s="72"/>
      <c r="V1317" s="7" t="str">
        <f ca="1">IF(color_Celda(E1317)=12106214,"ROSA",IF(color_Celda(E1317)=65535,"AMARILLO",IF(color_Celda(E1317)=5296274,"VERDE",IF(color_Celda(E1317)=16777215,"BLANCO","NO SE"))))</f>
        <v>ROSA</v>
      </c>
      <c r="W1317" s="63" t="s">
        <v>1146</v>
      </c>
      <c r="X1317" s="336"/>
      <c r="Y1317" s="336"/>
      <c r="Z1317" s="336" t="s">
        <v>770</v>
      </c>
      <c r="AA1317" s="336"/>
      <c r="AB1317" s="336" t="s">
        <v>5362</v>
      </c>
      <c r="AC1317" s="336"/>
    </row>
    <row r="1318" spans="1:29" ht="60" customHeight="1">
      <c r="A1318" s="336">
        <v>1312</v>
      </c>
      <c r="B1318" s="349">
        <v>45296</v>
      </c>
      <c r="C1318" s="568">
        <v>0.4513888888888889</v>
      </c>
      <c r="D1318" s="63" t="s">
        <v>5132</v>
      </c>
      <c r="E1318" s="64" t="s">
        <v>5133</v>
      </c>
      <c r="F1318" s="336">
        <v>5</v>
      </c>
      <c r="G1318" s="336" t="s">
        <v>1433</v>
      </c>
      <c r="H1318" s="383">
        <v>45315</v>
      </c>
      <c r="I1318" s="65" t="s">
        <v>75</v>
      </c>
      <c r="J1318" s="349" t="s">
        <v>33</v>
      </c>
      <c r="K1318" s="336">
        <f>IFERROR(VLOOKUP(J1318,Jueces!$A$1:$B$11,2,FALSE),"")</f>
        <v>4</v>
      </c>
      <c r="L1318" s="63" t="s">
        <v>4781</v>
      </c>
      <c r="M1318" s="63" t="s">
        <v>885</v>
      </c>
      <c r="N1318" s="63" t="s">
        <v>5540</v>
      </c>
      <c r="O1318" s="63" t="str">
        <f ca="1">IF(H1318&lt;&gt;"",IF(H1318&lt;=TODAY(),"SI","NO"),"LIMBO")</f>
        <v>SI</v>
      </c>
      <c r="P1318" s="63" t="str">
        <f>IF($P$1=H1318,"DIASOL", "DIANOSOL")</f>
        <v>DIANOSOL</v>
      </c>
      <c r="Q1318" s="63" t="s">
        <v>902</v>
      </c>
      <c r="R1318" s="63" t="str">
        <f>VLOOKUP($Q1318,Resultados!$A$1:$B$49,2,FALSE)</f>
        <v>Juicio Abreviado</v>
      </c>
      <c r="S1318" s="63" t="s">
        <v>3253</v>
      </c>
      <c r="T1318" s="72" t="str">
        <f>IF(G1318=$J$1,"SI","NO")</f>
        <v>NO</v>
      </c>
      <c r="U1318" s="72"/>
      <c r="V1318" s="7" t="str">
        <f ca="1">IF(color_Celda(E1318)=12106214,"ROSA",IF(color_Celda(E1318)=65535,"AMARILLO",IF(color_Celda(E1318)=5296274,"VERDE",IF(color_Celda(E1318)=16777215,"BLANCO","NO SE"))))</f>
        <v>ROSA</v>
      </c>
      <c r="W1318" s="63" t="s">
        <v>1763</v>
      </c>
      <c r="X1318" s="63" t="s">
        <v>4891</v>
      </c>
      <c r="Y1318" s="336"/>
      <c r="Z1318" s="336" t="s">
        <v>5360</v>
      </c>
      <c r="AA1318" s="336"/>
      <c r="AB1318" s="336" t="s">
        <v>3258</v>
      </c>
      <c r="AC1318" s="336"/>
    </row>
    <row r="1319" spans="1:29" ht="60" customHeight="1">
      <c r="A1319" s="336">
        <v>1338</v>
      </c>
      <c r="B1319" s="349">
        <v>45301</v>
      </c>
      <c r="C1319" s="568">
        <v>0.53888888888888886</v>
      </c>
      <c r="D1319" s="63" t="s">
        <v>5207</v>
      </c>
      <c r="E1319" s="64" t="s">
        <v>5492</v>
      </c>
      <c r="F1319" s="63">
        <v>7</v>
      </c>
      <c r="G1319" s="336" t="s">
        <v>3639</v>
      </c>
      <c r="H1319" s="383">
        <v>45315</v>
      </c>
      <c r="I1319" s="65" t="s">
        <v>75</v>
      </c>
      <c r="J1319" s="349" t="s">
        <v>1217</v>
      </c>
      <c r="K1319" s="336">
        <f>IFERROR(VLOOKUP(J1319,Jueces!$A$1:$B$11,2,FALSE),"")</f>
        <v>7</v>
      </c>
      <c r="L1319" s="63" t="s">
        <v>4779</v>
      </c>
      <c r="M1319" s="63" t="s">
        <v>5285</v>
      </c>
      <c r="N1319" s="63" t="s">
        <v>3356</v>
      </c>
      <c r="O1319" s="63" t="str">
        <f ca="1">IF(H1319&lt;&gt;"",IF(H1319&lt;=TODAY(),"SI","NO"),"LIMBO")</f>
        <v>SI</v>
      </c>
      <c r="P1319" s="63" t="str">
        <f>IF($P$1=H1319,"DIASOL", "DIANOSOL")</f>
        <v>DIANOSOL</v>
      </c>
      <c r="Q1319" s="63" t="s">
        <v>903</v>
      </c>
      <c r="R1319" s="63" t="str">
        <f>VLOOKUP($Q1319,Resultados!$A$1:$B$49,2,FALSE)</f>
        <v>Juicio Abreviado</v>
      </c>
      <c r="S1319" s="63" t="s">
        <v>3171</v>
      </c>
      <c r="T1319" s="72" t="str">
        <f>IF(G1319=$J$1,"SI","NO")</f>
        <v>NO</v>
      </c>
      <c r="U1319" s="72"/>
      <c r="V1319" s="7" t="str">
        <f ca="1">IF(color_Celda(E1319)=12106214,"ROSA",IF(color_Celda(E1319)=65535,"AMARILLO",IF(color_Celda(E1319)=5296274,"VERDE",IF(color_Celda(E1319)=16777215,"BLANCO","NO SE"))))</f>
        <v>ROSA</v>
      </c>
      <c r="W1319" s="63" t="s">
        <v>987</v>
      </c>
      <c r="X1319" s="63" t="s">
        <v>5539</v>
      </c>
      <c r="Y1319" s="336"/>
      <c r="Z1319" s="336" t="s">
        <v>5360</v>
      </c>
      <c r="AA1319" s="336"/>
      <c r="AB1319" s="336" t="s">
        <v>3258</v>
      </c>
      <c r="AC1319" s="336"/>
    </row>
    <row r="1320" spans="1:29" ht="60" customHeight="1">
      <c r="A1320" s="336">
        <v>1388</v>
      </c>
      <c r="B1320" s="349">
        <v>45307</v>
      </c>
      <c r="C1320" s="70">
        <v>0.33333333333333331</v>
      </c>
      <c r="D1320" s="336" t="s">
        <v>2901</v>
      </c>
      <c r="E1320" s="355" t="s">
        <v>4377</v>
      </c>
      <c r="F1320" s="336">
        <v>1</v>
      </c>
      <c r="G1320" s="336" t="s">
        <v>43</v>
      </c>
      <c r="H1320" s="383">
        <v>45315</v>
      </c>
      <c r="I1320" s="65" t="s">
        <v>1755</v>
      </c>
      <c r="J1320" s="349" t="s">
        <v>1616</v>
      </c>
      <c r="K1320" s="63" t="s">
        <v>4118</v>
      </c>
      <c r="L1320" s="63" t="s">
        <v>582</v>
      </c>
      <c r="M1320" s="63" t="s">
        <v>3300</v>
      </c>
      <c r="N1320" s="63" t="s">
        <v>5545</v>
      </c>
      <c r="O1320" s="63" t="str">
        <f ca="1">IF(H1320&lt;&gt;"",IF(H1320&lt;=TODAY(),"SI","NO"),"LIMBO")</f>
        <v>SI</v>
      </c>
      <c r="P1320" s="63" t="str">
        <f>IF($P$1=H1320,"DIASOL", "DIANOSOL")</f>
        <v>DIANOSOL</v>
      </c>
      <c r="Q1320" s="63" t="s">
        <v>902</v>
      </c>
      <c r="R1320" s="63" t="str">
        <f>VLOOKUP($Q1320,Resultados!$A$1:$B$49,2,FALSE)</f>
        <v>Juicio Abreviado</v>
      </c>
      <c r="S1320" s="63" t="s">
        <v>5543</v>
      </c>
      <c r="T1320" s="72" t="str">
        <f>IF(G1320=$J$1,"SI","NO")</f>
        <v>NO</v>
      </c>
      <c r="U1320" s="72"/>
      <c r="V1320" s="7" t="str">
        <f ca="1">IF(color_Celda(E1320)=12106214,"ROSA",IF(color_Celda(E1320)=65535,"AMARILLO",IF(color_Celda(E1320)=5296274,"VERDE",IF(color_Celda(E1320)=16777215,"BLANCO","NO SE"))))</f>
        <v>ROSA</v>
      </c>
      <c r="W1320" s="63" t="s">
        <v>5544</v>
      </c>
      <c r="X1320" s="63" t="s">
        <v>4891</v>
      </c>
      <c r="Y1320" s="336"/>
      <c r="Z1320" s="336" t="s">
        <v>5360</v>
      </c>
      <c r="AA1320" s="336"/>
      <c r="AB1320" s="336" t="s">
        <v>1170</v>
      </c>
      <c r="AC1320" s="336"/>
    </row>
    <row r="1321" spans="1:29" ht="60" customHeight="1">
      <c r="A1321" s="336">
        <v>1315</v>
      </c>
      <c r="B1321" s="349">
        <v>45296</v>
      </c>
      <c r="C1321" s="568">
        <v>0.53472222222222221</v>
      </c>
      <c r="D1321" s="63" t="s">
        <v>5137</v>
      </c>
      <c r="E1321" s="64" t="s">
        <v>5138</v>
      </c>
      <c r="F1321" s="336">
        <v>1</v>
      </c>
      <c r="G1321" s="336" t="s">
        <v>4934</v>
      </c>
      <c r="H1321" s="383">
        <v>45315</v>
      </c>
      <c r="I1321" s="65" t="s">
        <v>77</v>
      </c>
      <c r="J1321" s="349" t="s">
        <v>1216</v>
      </c>
      <c r="K1321" s="336">
        <f>IFERROR(VLOOKUP(J1321,Jueces!$A$1:$B$11,2,FALSE),"")</f>
        <v>1</v>
      </c>
      <c r="L1321" s="63" t="s">
        <v>4782</v>
      </c>
      <c r="M1321" s="63" t="s">
        <v>1084</v>
      </c>
      <c r="N1321" s="63" t="s">
        <v>621</v>
      </c>
      <c r="O1321" s="63" t="str">
        <f ca="1">IF(H1321&lt;&gt;"",IF(H1321&lt;=TODAY(),"SI","NO"),"LIMBO")</f>
        <v>SI</v>
      </c>
      <c r="P1321" s="63" t="str">
        <f>IF($P$1=H1321,"DIASOL", "DIANOSOL")</f>
        <v>DIANOSOL</v>
      </c>
      <c r="Q1321" s="63" t="s">
        <v>151</v>
      </c>
      <c r="R1321" s="63" t="str">
        <f>VLOOKUP($Q1321,Resultados!$A$1:$B$49,2,FALSE)</f>
        <v>Prisión Preventiva</v>
      </c>
      <c r="S1321" s="63" t="s">
        <v>2657</v>
      </c>
      <c r="T1321" s="72" t="str">
        <f>IF(G1321=$J$1,"SI","NO")</f>
        <v>NO</v>
      </c>
      <c r="U1321" s="72"/>
      <c r="V1321" s="7" t="str">
        <f ca="1">IF(color_Celda(E1321)=12106214,"ROSA",IF(color_Celda(E1321)=65535,"AMARILLO",IF(color_Celda(E1321)=5296274,"VERDE",IF(color_Celda(E1321)=16777215,"BLANCO","NO SE"))))</f>
        <v>ROSA</v>
      </c>
      <c r="W1321" s="63" t="s">
        <v>74</v>
      </c>
      <c r="X1321" s="63" t="s">
        <v>5542</v>
      </c>
      <c r="Y1321" s="336"/>
      <c r="Z1321" s="336" t="s">
        <v>5361</v>
      </c>
      <c r="AA1321" s="336"/>
      <c r="AB1321" s="336" t="s">
        <v>5362</v>
      </c>
      <c r="AC1321" s="336"/>
    </row>
    <row r="1322" spans="1:29" ht="60" customHeight="1">
      <c r="A1322" s="336">
        <v>1343</v>
      </c>
      <c r="B1322" s="349">
        <v>45302</v>
      </c>
      <c r="C1322" s="568">
        <v>0.375</v>
      </c>
      <c r="D1322" s="63" t="s">
        <v>5215</v>
      </c>
      <c r="E1322" s="64" t="s">
        <v>5284</v>
      </c>
      <c r="F1322" s="63">
        <v>7</v>
      </c>
      <c r="G1322" s="336" t="s">
        <v>283</v>
      </c>
      <c r="H1322" s="383">
        <v>45315</v>
      </c>
      <c r="I1322" s="65" t="s">
        <v>77</v>
      </c>
      <c r="J1322" s="349" t="s">
        <v>33</v>
      </c>
      <c r="K1322" s="336">
        <f>IFERROR(VLOOKUP(J1322,Jueces!$A$1:$B$11,2,FALSE),"")</f>
        <v>4</v>
      </c>
      <c r="L1322" s="63" t="s">
        <v>806</v>
      </c>
      <c r="M1322" s="63" t="s">
        <v>885</v>
      </c>
      <c r="N1322" s="63" t="s">
        <v>621</v>
      </c>
      <c r="O1322" s="63" t="str">
        <f ca="1">IF(H1322&lt;&gt;"",IF(H1322&lt;=TODAY(),"SI","NO"),"LIMBO")</f>
        <v>SI</v>
      </c>
      <c r="P1322" s="63" t="str">
        <f>IF($P$1=H1322,"DIASOL", "DIANOSOL")</f>
        <v>DIANOSOL</v>
      </c>
      <c r="Q1322" s="63" t="s">
        <v>151</v>
      </c>
      <c r="R1322" s="63" t="str">
        <f>VLOOKUP($Q1322,Resultados!$A$1:$B$49,2,FALSE)</f>
        <v>Prisión Preventiva</v>
      </c>
      <c r="S1322" s="63" t="s">
        <v>4930</v>
      </c>
      <c r="T1322" s="72" t="str">
        <f>IF(G1322=$J$1,"SI","NO")</f>
        <v>NO</v>
      </c>
      <c r="U1322" s="72"/>
      <c r="V1322" s="7" t="str">
        <f ca="1">IF(color_Celda(E1322)=12106214,"ROSA",IF(color_Celda(E1322)=65535,"AMARILLO",IF(color_Celda(E1322)=5296274,"VERDE",IF(color_Celda(E1322)=16777215,"BLANCO","NO SE"))))</f>
        <v>ROSA</v>
      </c>
      <c r="W1322" s="63" t="s">
        <v>1037</v>
      </c>
      <c r="X1322" s="63" t="s">
        <v>4891</v>
      </c>
      <c r="Y1322" s="336"/>
      <c r="Z1322" s="336" t="s">
        <v>770</v>
      </c>
      <c r="AA1322" s="336"/>
      <c r="AB1322" s="336" t="s">
        <v>3258</v>
      </c>
      <c r="AC1322" s="336"/>
    </row>
    <row r="1323" spans="1:29" ht="60" customHeight="1">
      <c r="A1323" s="336">
        <v>1298</v>
      </c>
      <c r="B1323" s="349">
        <v>45289</v>
      </c>
      <c r="C1323" s="568">
        <v>0.54027777777777775</v>
      </c>
      <c r="D1323" s="336" t="s">
        <v>5075</v>
      </c>
      <c r="E1323" s="64" t="s">
        <v>5293</v>
      </c>
      <c r="F1323" s="336">
        <v>7</v>
      </c>
      <c r="G1323" s="336" t="s">
        <v>1434</v>
      </c>
      <c r="H1323" s="383">
        <v>45315</v>
      </c>
      <c r="I1323" s="65" t="s">
        <v>228</v>
      </c>
      <c r="J1323" s="349" t="s">
        <v>1216</v>
      </c>
      <c r="K1323" s="336">
        <f>IFERROR(VLOOKUP(J1323,Jueces!$A$1:$B$11,2,FALSE),"")</f>
        <v>1</v>
      </c>
      <c r="L1323" s="63" t="s">
        <v>789</v>
      </c>
      <c r="M1323" s="63" t="s">
        <v>885</v>
      </c>
      <c r="N1323" s="63" t="s">
        <v>2550</v>
      </c>
      <c r="O1323" s="63" t="str">
        <f ca="1">IF(H1323&lt;&gt;"",IF(H1323&lt;=TODAY(),"SI","NO"),"LIMBO")</f>
        <v>SI</v>
      </c>
      <c r="P1323" s="63" t="str">
        <f>IF($P$1=H1323,"DIASOL", "DIANOSOL")</f>
        <v>DIANOSOL</v>
      </c>
      <c r="Q1323" s="63" t="s">
        <v>897</v>
      </c>
      <c r="R1323" s="63" t="str">
        <f>VLOOKUP($Q1323,Resultados!$A$1:$B$49,2,FALSE)</f>
        <v>Libertad</v>
      </c>
      <c r="S1323" s="63" t="s">
        <v>5546</v>
      </c>
      <c r="T1323" s="72" t="str">
        <f>IF(G1323=$J$1,"SI","NO")</f>
        <v>NO</v>
      </c>
      <c r="U1323" s="72"/>
      <c r="V1323" s="7" t="str">
        <f ca="1">IF(color_Celda(E1323)=12106214,"ROSA",IF(color_Celda(E1323)=65535,"AMARILLO",IF(color_Celda(E1323)=5296274,"VERDE",IF(color_Celda(E1323)=16777215,"BLANCO","NO SE"))))</f>
        <v>ROSA</v>
      </c>
      <c r="W1323" s="63" t="s">
        <v>1780</v>
      </c>
      <c r="X1323" s="63" t="s">
        <v>4872</v>
      </c>
      <c r="Y1323" s="336"/>
      <c r="Z1323" s="336" t="s">
        <v>5361</v>
      </c>
      <c r="AA1323" s="336"/>
      <c r="AB1323" s="336" t="s">
        <v>1170</v>
      </c>
      <c r="AC1323" s="336"/>
    </row>
    <row r="1324" spans="1:29" ht="60" customHeight="1">
      <c r="A1324" s="336">
        <v>1309</v>
      </c>
      <c r="B1324" s="349">
        <v>45294</v>
      </c>
      <c r="C1324" s="568">
        <v>0.52361111111111114</v>
      </c>
      <c r="D1324" s="63" t="s">
        <v>5110</v>
      </c>
      <c r="E1324" s="64" t="s">
        <v>5112</v>
      </c>
      <c r="F1324" s="336">
        <v>1</v>
      </c>
      <c r="G1324" s="336" t="s">
        <v>1433</v>
      </c>
      <c r="H1324" s="383">
        <v>45315</v>
      </c>
      <c r="I1324" s="65" t="s">
        <v>228</v>
      </c>
      <c r="J1324" s="349" t="s">
        <v>1217</v>
      </c>
      <c r="K1324" s="336">
        <f>IFERROR(VLOOKUP(J1324,Jueces!$A$1:$B$11,2,FALSE),"")</f>
        <v>7</v>
      </c>
      <c r="L1324" s="63" t="s">
        <v>4789</v>
      </c>
      <c r="M1324" s="63" t="s">
        <v>1084</v>
      </c>
      <c r="N1324" s="63" t="s">
        <v>5572</v>
      </c>
      <c r="O1324" s="63" t="str">
        <f ca="1">IF(H1324&lt;&gt;"",IF(H1324&lt;=TODAY(),"SI","NO"),"LIMBO")</f>
        <v>SI</v>
      </c>
      <c r="P1324" s="63" t="str">
        <f>IF($P$1=H1324,"DIASOL", "DIANOSOL")</f>
        <v>DIANOSOL</v>
      </c>
      <c r="Q1324" s="63" t="s">
        <v>1010</v>
      </c>
      <c r="R1324" s="63" t="str">
        <f>VLOOKUP($Q1324,Resultados!$A$1:$B$49,2,FALSE)</f>
        <v>Suspendida</v>
      </c>
      <c r="S1324" s="63"/>
      <c r="T1324" s="72" t="str">
        <f>IF(G1324=$J$1,"SI","NO")</f>
        <v>NO</v>
      </c>
      <c r="U1324" s="72"/>
      <c r="V1324" s="7" t="str">
        <f ca="1">IF(color_Celda(E1324)=12106214,"ROSA",IF(color_Celda(E1324)=65535,"AMARILLO",IF(color_Celda(E1324)=5296274,"VERDE",IF(color_Celda(E1324)=16777215,"BLANCO","NO SE"))))</f>
        <v>ROSA</v>
      </c>
      <c r="W1324" s="336"/>
      <c r="X1324" s="336"/>
      <c r="Y1324" s="336"/>
      <c r="Z1324" s="336" t="s">
        <v>5360</v>
      </c>
      <c r="AA1324" s="336"/>
      <c r="AB1324" s="336" t="s">
        <v>5362</v>
      </c>
      <c r="AC1324" s="336"/>
    </row>
    <row r="1325" spans="1:29" ht="60" customHeight="1">
      <c r="A1325" s="336">
        <v>1335</v>
      </c>
      <c r="B1325" s="349">
        <v>45301</v>
      </c>
      <c r="C1325" s="568">
        <v>0.52013888888888882</v>
      </c>
      <c r="D1325" s="63" t="s">
        <v>5203</v>
      </c>
      <c r="E1325" s="64" t="s">
        <v>5204</v>
      </c>
      <c r="F1325" s="63">
        <v>2</v>
      </c>
      <c r="G1325" s="336" t="s">
        <v>2766</v>
      </c>
      <c r="H1325" s="383">
        <v>45316</v>
      </c>
      <c r="I1325" s="65" t="s">
        <v>76</v>
      </c>
      <c r="J1325" s="349" t="s">
        <v>1217</v>
      </c>
      <c r="K1325" s="336">
        <f>IFERROR(VLOOKUP(J1325,Jueces!$A$1:$B$11,2,FALSE),"")</f>
        <v>7</v>
      </c>
      <c r="L1325" s="63" t="s">
        <v>4789</v>
      </c>
      <c r="M1325" s="63" t="s">
        <v>1084</v>
      </c>
      <c r="N1325" s="63" t="s">
        <v>5607</v>
      </c>
      <c r="O1325" s="63" t="str">
        <f ca="1">IF(H1325&lt;&gt;"",IF(H1325&lt;=TODAY(),"SI","NO"),"LIMBO")</f>
        <v>SI</v>
      </c>
      <c r="P1325" s="63" t="str">
        <f>IF($P$1=H1325,"DIASOL", "DIANOSOL")</f>
        <v>DIANOSOL</v>
      </c>
      <c r="Q1325" s="63" t="s">
        <v>910</v>
      </c>
      <c r="R1325" s="63" t="str">
        <f>VLOOKUP($Q1325,Resultados!$A$1:$B$49,2,FALSE)</f>
        <v>Suspendida</v>
      </c>
      <c r="S1325" s="63"/>
      <c r="T1325" s="72" t="str">
        <f>IF(G1325=$J$1,"SI","NO")</f>
        <v>NO</v>
      </c>
      <c r="U1325" s="72"/>
      <c r="V1325" s="7" t="str">
        <f ca="1">IF(color_Celda(E1325)=12106214,"ROSA",IF(color_Celda(E1325)=65535,"AMARILLO",IF(color_Celda(E1325)=5296274,"VERDE",IF(color_Celda(E1325)=16777215,"BLANCO","NO SE"))))</f>
        <v>ROSA</v>
      </c>
      <c r="W1325" s="336"/>
      <c r="X1325" s="336"/>
      <c r="Y1325" s="336"/>
      <c r="Z1325" s="336" t="s">
        <v>5360</v>
      </c>
      <c r="AA1325" s="336"/>
      <c r="AB1325" s="336" t="s">
        <v>1170</v>
      </c>
      <c r="AC1325" s="336"/>
    </row>
    <row r="1326" spans="1:29" ht="60" customHeight="1">
      <c r="A1326" s="336">
        <v>1322</v>
      </c>
      <c r="B1326" s="349">
        <v>45299</v>
      </c>
      <c r="C1326" s="568">
        <v>0.45416666666666666</v>
      </c>
      <c r="D1326" s="63" t="s">
        <v>5161</v>
      </c>
      <c r="E1326" s="64" t="s">
        <v>5193</v>
      </c>
      <c r="F1326" s="63">
        <v>7</v>
      </c>
      <c r="G1326" s="336" t="s">
        <v>4934</v>
      </c>
      <c r="H1326" s="383">
        <v>45316</v>
      </c>
      <c r="I1326" s="65" t="s">
        <v>75</v>
      </c>
      <c r="J1326" s="349" t="s">
        <v>1216</v>
      </c>
      <c r="K1326" s="336">
        <f>IFERROR(VLOOKUP(J1326,Jueces!$A$1:$B$11,2,FALSE),"")</f>
        <v>1</v>
      </c>
      <c r="L1326" s="63" t="s">
        <v>790</v>
      </c>
      <c r="M1326" s="63" t="s">
        <v>767</v>
      </c>
      <c r="N1326" s="63" t="s">
        <v>2550</v>
      </c>
      <c r="O1326" s="63" t="str">
        <f ca="1">IF(H1326&lt;&gt;"",IF(H1326&lt;=TODAY(),"SI","NO"),"LIMBO")</f>
        <v>SI</v>
      </c>
      <c r="P1326" s="63" t="str">
        <f>IF($P$1=H1326,"DIASOL", "DIANOSOL")</f>
        <v>DIANOSOL</v>
      </c>
      <c r="Q1326" s="63" t="s">
        <v>897</v>
      </c>
      <c r="R1326" s="63" t="str">
        <f>VLOOKUP($Q1326,Resultados!$A$1:$B$49,2,FALSE)</f>
        <v>Libertad</v>
      </c>
      <c r="S1326" s="63" t="s">
        <v>2044</v>
      </c>
      <c r="T1326" s="72" t="str">
        <f>IF(G1326=$J$1,"SI","NO")</f>
        <v>NO</v>
      </c>
      <c r="U1326" s="72"/>
      <c r="V1326" s="7" t="str">
        <f ca="1">IF(color_Celda(E1326)=12106214,"ROSA",IF(color_Celda(E1326)=65535,"AMARILLO",IF(color_Celda(E1326)=5296274,"VERDE",IF(color_Celda(E1326)=16777215,"BLANCO","NO SE"))))</f>
        <v>ROSA</v>
      </c>
      <c r="W1326" s="63" t="s">
        <v>1755</v>
      </c>
      <c r="X1326" s="63" t="s">
        <v>4644</v>
      </c>
      <c r="Y1326" s="336"/>
      <c r="Z1326" s="336" t="s">
        <v>770</v>
      </c>
      <c r="AA1326" s="336"/>
      <c r="AB1326" s="336" t="s">
        <v>5362</v>
      </c>
      <c r="AC1326" s="336"/>
    </row>
    <row r="1327" spans="1:29" ht="60" customHeight="1">
      <c r="A1327" s="336">
        <v>1329</v>
      </c>
      <c r="B1327" s="349">
        <v>45300</v>
      </c>
      <c r="C1327" s="568">
        <v>0.42222222222222222</v>
      </c>
      <c r="D1327" s="63" t="s">
        <v>3849</v>
      </c>
      <c r="E1327" s="64" t="s">
        <v>5189</v>
      </c>
      <c r="F1327" s="63">
        <v>4</v>
      </c>
      <c r="G1327" s="336" t="s">
        <v>1434</v>
      </c>
      <c r="H1327" s="383">
        <v>45316</v>
      </c>
      <c r="I1327" s="65" t="s">
        <v>77</v>
      </c>
      <c r="J1327" s="349" t="s">
        <v>1217</v>
      </c>
      <c r="K1327" s="336">
        <f>IFERROR(VLOOKUP(J1327,Jueces!$A$1:$B$11,2,FALSE),"")</f>
        <v>7</v>
      </c>
      <c r="L1327" s="63" t="s">
        <v>4791</v>
      </c>
      <c r="M1327" s="63" t="s">
        <v>1866</v>
      </c>
      <c r="N1327" s="63" t="s">
        <v>621</v>
      </c>
      <c r="O1327" s="63" t="str">
        <f ca="1">IF(H1327&lt;&gt;"",IF(H1327&lt;=TODAY(),"SI","NO"),"LIMBO")</f>
        <v>SI</v>
      </c>
      <c r="P1327" s="63" t="str">
        <f>IF($P$1=H1327,"DIASOL", "DIANOSOL")</f>
        <v>DIANOSOL</v>
      </c>
      <c r="Q1327" s="63" t="s">
        <v>151</v>
      </c>
      <c r="R1327" s="63" t="str">
        <f>VLOOKUP($Q1327,Resultados!$A$1:$B$49,2,FALSE)</f>
        <v>Prisión Preventiva</v>
      </c>
      <c r="S1327" s="63" t="s">
        <v>3542</v>
      </c>
      <c r="T1327" s="72" t="str">
        <f>IF(G1327=$J$1,"SI","NO")</f>
        <v>NO</v>
      </c>
      <c r="U1327" s="72"/>
      <c r="V1327" s="7" t="str">
        <f ca="1">IF(color_Celda(E1327)=12106214,"ROSA",IF(color_Celda(E1327)=65535,"AMARILLO",IF(color_Celda(E1327)=5296274,"VERDE",IF(color_Celda(E1327)=16777215,"BLANCO","NO SE"))))</f>
        <v>ROSA</v>
      </c>
      <c r="W1327" s="63" t="s">
        <v>4476</v>
      </c>
      <c r="X1327" s="63" t="s">
        <v>5634</v>
      </c>
      <c r="Y1327" s="336"/>
      <c r="Z1327" s="336" t="s">
        <v>5360</v>
      </c>
      <c r="AA1327" s="336"/>
      <c r="AB1327" s="336" t="s">
        <v>3258</v>
      </c>
      <c r="AC1327" s="336"/>
    </row>
    <row r="1328" spans="1:29" ht="60" customHeight="1">
      <c r="A1328" s="336">
        <v>1336</v>
      </c>
      <c r="B1328" s="349">
        <v>45301</v>
      </c>
      <c r="C1328" s="568">
        <v>0.51736111111111105</v>
      </c>
      <c r="D1328" s="63" t="s">
        <v>5205</v>
      </c>
      <c r="E1328" s="64" t="s">
        <v>5286</v>
      </c>
      <c r="F1328" s="63">
        <v>7</v>
      </c>
      <c r="G1328" s="336" t="s">
        <v>283</v>
      </c>
      <c r="H1328" s="383">
        <v>45316</v>
      </c>
      <c r="I1328" s="65" t="s">
        <v>77</v>
      </c>
      <c r="J1328" s="349" t="s">
        <v>1216</v>
      </c>
      <c r="K1328" s="336">
        <f>IFERROR(VLOOKUP(J1328,Jueces!$A$1:$B$11,2,FALSE),"")</f>
        <v>1</v>
      </c>
      <c r="L1328" s="63" t="s">
        <v>4767</v>
      </c>
      <c r="M1328" s="63" t="s">
        <v>5288</v>
      </c>
      <c r="N1328" s="63" t="s">
        <v>621</v>
      </c>
      <c r="O1328" s="63" t="str">
        <f ca="1">IF(H1328&lt;&gt;"",IF(H1328&lt;=TODAY(),"SI","NO"),"LIMBO")</f>
        <v>SI</v>
      </c>
      <c r="P1328" s="63" t="str">
        <f>IF($P$1=H1328,"DIASOL", "DIANOSOL")</f>
        <v>DIANOSOL</v>
      </c>
      <c r="Q1328" s="63" t="s">
        <v>151</v>
      </c>
      <c r="R1328" s="63" t="str">
        <f>VLOOKUP($Q1328,Resultados!$A$1:$B$49,2,FALSE)</f>
        <v>Prisión Preventiva</v>
      </c>
      <c r="S1328" s="63" t="s">
        <v>1237</v>
      </c>
      <c r="T1328" s="72" t="str">
        <f>IF(G1328=$J$1,"SI","NO")</f>
        <v>NO</v>
      </c>
      <c r="U1328" s="72"/>
      <c r="V1328" s="7" t="str">
        <f ca="1">IF(color_Celda(E1328)=12106214,"ROSA",IF(color_Celda(E1328)=65535,"AMARILLO",IF(color_Celda(E1328)=5296274,"VERDE",IF(color_Celda(E1328)=16777215,"BLANCO","NO SE"))))</f>
        <v>ROSA</v>
      </c>
      <c r="W1328" s="63" t="s">
        <v>1706</v>
      </c>
      <c r="X1328" s="336"/>
      <c r="Y1328" s="336"/>
      <c r="Z1328" s="336" t="s">
        <v>770</v>
      </c>
      <c r="AA1328" s="336"/>
      <c r="AB1328" s="336" t="s">
        <v>1170</v>
      </c>
      <c r="AC1328" s="336"/>
    </row>
    <row r="1329" spans="1:29" ht="60" customHeight="1">
      <c r="A1329" s="336">
        <v>1321</v>
      </c>
      <c r="B1329" s="349">
        <v>45299</v>
      </c>
      <c r="C1329" s="568">
        <v>0.45833333333333331</v>
      </c>
      <c r="D1329" s="63" t="s">
        <v>5159</v>
      </c>
      <c r="E1329" s="64" t="s">
        <v>5160</v>
      </c>
      <c r="F1329" s="336">
        <v>1</v>
      </c>
      <c r="G1329" s="336" t="s">
        <v>5009</v>
      </c>
      <c r="H1329" s="383">
        <v>45316</v>
      </c>
      <c r="I1329" s="65" t="s">
        <v>228</v>
      </c>
      <c r="J1329" s="349" t="s">
        <v>1217</v>
      </c>
      <c r="K1329" s="336">
        <f>IFERROR(VLOOKUP(J1329,Jueces!$A$1:$B$11,2,FALSE),"")</f>
        <v>7</v>
      </c>
      <c r="L1329" s="63" t="s">
        <v>4790</v>
      </c>
      <c r="M1329" s="63" t="s">
        <v>1084</v>
      </c>
      <c r="N1329" s="63" t="s">
        <v>5635</v>
      </c>
      <c r="O1329" s="63" t="str">
        <f ca="1">IF(H1329&lt;&gt;"",IF(H1329&lt;=TODAY(),"SI","NO"),"LIMBO")</f>
        <v>SI</v>
      </c>
      <c r="P1329" s="63" t="str">
        <f>IF($P$1=H1329,"DIASOL", "DIANOSOL")</f>
        <v>DIANOSOL</v>
      </c>
      <c r="Q1329" s="63" t="s">
        <v>902</v>
      </c>
      <c r="R1329" s="63" t="str">
        <f>VLOOKUP($Q1329,Resultados!$A$1:$B$49,2,FALSE)</f>
        <v>Juicio Abreviado</v>
      </c>
      <c r="S1329" s="63" t="s">
        <v>4930</v>
      </c>
      <c r="T1329" s="72" t="str">
        <f>IF(G1329=$J$1,"SI","NO")</f>
        <v>NO</v>
      </c>
      <c r="U1329" s="72"/>
      <c r="V1329" s="7" t="str">
        <f ca="1">IF(color_Celda(E1329)=12106214,"ROSA",IF(color_Celda(E1329)=65535,"AMARILLO",IF(color_Celda(E1329)=5296274,"VERDE",IF(color_Celda(E1329)=16777215,"BLANCO","NO SE"))))</f>
        <v>ROSA</v>
      </c>
      <c r="W1329" s="63" t="s">
        <v>1906</v>
      </c>
      <c r="X1329" s="336"/>
      <c r="Y1329" s="336"/>
      <c r="Z1329" s="336" t="s">
        <v>5360</v>
      </c>
      <c r="AA1329" s="336"/>
      <c r="AB1329" s="336" t="s">
        <v>3258</v>
      </c>
      <c r="AC1329" s="336"/>
    </row>
    <row r="1330" spans="1:29" ht="60" customHeight="1">
      <c r="A1330" s="336">
        <v>1327</v>
      </c>
      <c r="B1330" s="349">
        <v>45300</v>
      </c>
      <c r="C1330" s="568">
        <v>0.37847222222222227</v>
      </c>
      <c r="D1330" s="63" t="s">
        <v>3952</v>
      </c>
      <c r="E1330" s="64" t="s">
        <v>5493</v>
      </c>
      <c r="F1330" s="63">
        <v>3</v>
      </c>
      <c r="G1330" s="336" t="s">
        <v>1433</v>
      </c>
      <c r="H1330" s="383">
        <v>45316</v>
      </c>
      <c r="I1330" s="65" t="s">
        <v>228</v>
      </c>
      <c r="J1330" s="349" t="s">
        <v>1216</v>
      </c>
      <c r="K1330" s="336">
        <f>IFERROR(VLOOKUP(J1330,Jueces!$A$1:$B$11,2,FALSE),"")</f>
        <v>1</v>
      </c>
      <c r="L1330" s="63" t="s">
        <v>4779</v>
      </c>
      <c r="M1330" s="63" t="s">
        <v>695</v>
      </c>
      <c r="N1330" s="63" t="s">
        <v>577</v>
      </c>
      <c r="O1330" s="63" t="str">
        <f ca="1">IF(H1330&lt;&gt;"",IF(H1330&lt;=TODAY(),"SI","NO"),"LIMBO")</f>
        <v>SI</v>
      </c>
      <c r="P1330" s="63" t="str">
        <f>IF($P$1=H1330,"DIASOL", "DIANOSOL")</f>
        <v>DIANOSOL</v>
      </c>
      <c r="Q1330" s="63" t="s">
        <v>151</v>
      </c>
      <c r="R1330" s="63" t="str">
        <f>VLOOKUP($Q1330,Resultados!$A$1:$B$49,2,FALSE)</f>
        <v>Prisión Preventiva</v>
      </c>
      <c r="S1330" s="63" t="s">
        <v>4988</v>
      </c>
      <c r="T1330" s="72" t="str">
        <f>IF(G1330=$J$1,"SI","NO")</f>
        <v>NO</v>
      </c>
      <c r="U1330" s="72"/>
      <c r="V1330" s="7" t="str">
        <f ca="1">IF(color_Celda(E1330)=12106214,"ROSA",IF(color_Celda(E1330)=65535,"AMARILLO",IF(color_Celda(E1330)=5296274,"VERDE",IF(color_Celda(E1330)=16777215,"BLANCO","NO SE"))))</f>
        <v>ROSA</v>
      </c>
      <c r="W1330" s="63" t="s">
        <v>1630</v>
      </c>
      <c r="X1330" s="336"/>
      <c r="Y1330" s="336"/>
      <c r="Z1330" s="336" t="s">
        <v>770</v>
      </c>
      <c r="AA1330" s="336"/>
      <c r="AB1330" s="336" t="s">
        <v>1170</v>
      </c>
      <c r="AC1330" s="336"/>
    </row>
    <row r="1331" spans="1:29" ht="60" customHeight="1">
      <c r="A1331" s="336">
        <v>1339</v>
      </c>
      <c r="B1331" s="349">
        <v>45301</v>
      </c>
      <c r="C1331" s="568">
        <v>0.52916666666666667</v>
      </c>
      <c r="D1331" s="63" t="s">
        <v>3968</v>
      </c>
      <c r="E1331" s="64" t="s">
        <v>5208</v>
      </c>
      <c r="F1331" s="63">
        <v>4</v>
      </c>
      <c r="G1331" s="336" t="s">
        <v>3639</v>
      </c>
      <c r="H1331" s="383">
        <v>45316</v>
      </c>
      <c r="I1331" s="65" t="s">
        <v>228</v>
      </c>
      <c r="J1331" s="349" t="s">
        <v>33</v>
      </c>
      <c r="K1331" s="336">
        <f>IFERROR(VLOOKUP(J1331,Jueces!$A$1:$B$11,2,FALSE),"")</f>
        <v>4</v>
      </c>
      <c r="L1331" s="63" t="s">
        <v>4791</v>
      </c>
      <c r="M1331" s="63" t="s">
        <v>1866</v>
      </c>
      <c r="N1331" s="63" t="s">
        <v>5636</v>
      </c>
      <c r="O1331" s="63" t="str">
        <f ca="1">IF(H1331&lt;&gt;"",IF(H1331&lt;=TODAY(),"SI","NO"),"LIMBO")</f>
        <v>SI</v>
      </c>
      <c r="P1331" s="63" t="str">
        <f>IF($P$1=H1331,"DIASOL", "DIANOSOL")</f>
        <v>DIANOSOL</v>
      </c>
      <c r="Q1331" s="63" t="s">
        <v>902</v>
      </c>
      <c r="R1331" s="63" t="str">
        <f>VLOOKUP($Q1331,Resultados!$A$1:$B$49,2,FALSE)</f>
        <v>Juicio Abreviado</v>
      </c>
      <c r="S1331" s="63" t="s">
        <v>5543</v>
      </c>
      <c r="T1331" s="72" t="str">
        <f>IF(G1331=$J$1,"SI","NO")</f>
        <v>NO</v>
      </c>
      <c r="U1331" s="72"/>
      <c r="V1331" s="7" t="str">
        <f ca="1">IF(color_Celda(E1331)=12106214,"ROSA",IF(color_Celda(E1331)=65535,"AMARILLO",IF(color_Celda(E1331)=5296274,"VERDE",IF(color_Celda(E1331)=16777215,"BLANCO","NO SE"))))</f>
        <v>ROSA</v>
      </c>
      <c r="W1331" s="63" t="s">
        <v>2663</v>
      </c>
      <c r="X1331" s="63" t="s">
        <v>4644</v>
      </c>
      <c r="Y1331" s="336"/>
      <c r="Z1331" s="336" t="s">
        <v>5361</v>
      </c>
      <c r="AA1331" s="336"/>
      <c r="AB1331" s="336" t="s">
        <v>5362</v>
      </c>
      <c r="AC1331" s="336"/>
    </row>
    <row r="1332" spans="1:29" ht="60" customHeight="1">
      <c r="A1332" s="336">
        <v>1341</v>
      </c>
      <c r="B1332" s="349">
        <v>45302</v>
      </c>
      <c r="C1332" s="568">
        <v>0.375</v>
      </c>
      <c r="D1332" s="63" t="s">
        <v>5211</v>
      </c>
      <c r="E1332" s="64" t="s">
        <v>5212</v>
      </c>
      <c r="F1332" s="63">
        <v>2</v>
      </c>
      <c r="G1332" s="336" t="s">
        <v>1433</v>
      </c>
      <c r="H1332" s="383">
        <v>45317</v>
      </c>
      <c r="I1332" s="65" t="s">
        <v>76</v>
      </c>
      <c r="J1332" s="349" t="s">
        <v>1217</v>
      </c>
      <c r="K1332" s="336">
        <f>IFERROR(VLOOKUP(J1332,Jueces!$A$1:$B$11,2,FALSE),"")</f>
        <v>7</v>
      </c>
      <c r="L1332" s="63" t="s">
        <v>4788</v>
      </c>
      <c r="M1332" s="63" t="s">
        <v>711</v>
      </c>
      <c r="N1332" s="63" t="s">
        <v>621</v>
      </c>
      <c r="O1332" s="63" t="str">
        <f ca="1">IF(H1332&lt;&gt;"",IF(H1332&lt;=TODAY(),"SI","NO"),"LIMBO")</f>
        <v>SI</v>
      </c>
      <c r="P1332" s="63" t="str">
        <f>IF($P$1=H1332,"DIASOL", "DIANOSOL")</f>
        <v>DIANOSOL</v>
      </c>
      <c r="Q1332" s="63" t="s">
        <v>151</v>
      </c>
      <c r="R1332" s="63" t="str">
        <f>VLOOKUP($Q1332,Resultados!$A$1:$B$49,2,FALSE)</f>
        <v>Prisión Preventiva</v>
      </c>
      <c r="S1332" s="63" t="s">
        <v>2366</v>
      </c>
      <c r="T1332" s="72" t="str">
        <f>IF(G1332=$J$1,"SI","NO")</f>
        <v>NO</v>
      </c>
      <c r="U1332" s="72"/>
      <c r="V1332" s="7" t="str">
        <f ca="1">IF(color_Celda(E1332)=12106214,"ROSA",IF(color_Celda(E1332)=65535,"AMARILLO",IF(color_Celda(E1332)=5296274,"VERDE",IF(color_Celda(E1332)=16777215,"BLANCO","NO SE"))))</f>
        <v>ROSA</v>
      </c>
      <c r="W1332" s="63" t="s">
        <v>1556</v>
      </c>
      <c r="X1332" s="63" t="s">
        <v>4644</v>
      </c>
      <c r="Y1332" s="336"/>
      <c r="Z1332" s="336" t="s">
        <v>5361</v>
      </c>
      <c r="AA1332" s="336"/>
      <c r="AB1332" s="336" t="s">
        <v>3258</v>
      </c>
      <c r="AC1332" s="336"/>
    </row>
    <row r="1333" spans="1:29" ht="60" customHeight="1">
      <c r="A1333" s="336">
        <v>1368</v>
      </c>
      <c r="B1333" s="349">
        <v>45313</v>
      </c>
      <c r="C1333" s="70">
        <v>0.33333333333333331</v>
      </c>
      <c r="D1333" s="63" t="s">
        <v>4837</v>
      </c>
      <c r="E1333" s="64" t="s">
        <v>4838</v>
      </c>
      <c r="F1333" s="336">
        <v>5</v>
      </c>
      <c r="G1333" s="336" t="s">
        <v>43</v>
      </c>
      <c r="H1333" s="383">
        <v>45317</v>
      </c>
      <c r="I1333" s="65" t="s">
        <v>76</v>
      </c>
      <c r="J1333" s="349" t="s">
        <v>1216</v>
      </c>
      <c r="K1333" s="336">
        <f>IFERROR(VLOOKUP(J1333,Jueces!$A$1:$B$11,2,FALSE),"")</f>
        <v>1</v>
      </c>
      <c r="L1333" s="63" t="s">
        <v>4767</v>
      </c>
      <c r="M1333" s="63" t="s">
        <v>5347</v>
      </c>
      <c r="N1333" s="63" t="s">
        <v>621</v>
      </c>
      <c r="O1333" s="63" t="str">
        <f ca="1">IF(H1333&lt;&gt;"",IF(H1333&lt;=TODAY(),"SI","NO"),"LIMBO")</f>
        <v>SI</v>
      </c>
      <c r="P1333" s="63" t="str">
        <f>IF($P$1=H1333,"DIASOL", "DIANOSOL")</f>
        <v>DIANOSOL</v>
      </c>
      <c r="Q1333" s="63" t="s">
        <v>151</v>
      </c>
      <c r="R1333" s="63" t="str">
        <f>VLOOKUP($Q1333,Resultados!$A$1:$B$49,2,FALSE)</f>
        <v>Prisión Preventiva</v>
      </c>
      <c r="S1333" s="63" t="s">
        <v>3157</v>
      </c>
      <c r="T1333" s="72" t="str">
        <f>IF(G1333=$J$1,"SI","NO")</f>
        <v>NO</v>
      </c>
      <c r="U1333" s="72"/>
      <c r="V1333" s="7" t="str">
        <f ca="1">IF(color_Celda(E1333)=12106214,"ROSA",IF(color_Celda(E1333)=65535,"AMARILLO",IF(color_Celda(E1333)=5296274,"VERDE",IF(color_Celda(E1333)=16777215,"BLANCO","NO SE"))))</f>
        <v>ROSA</v>
      </c>
      <c r="W1333" s="63" t="s">
        <v>4475</v>
      </c>
      <c r="X1333" s="63" t="s">
        <v>5487</v>
      </c>
      <c r="Y1333" s="336"/>
      <c r="Z1333" s="336" t="s">
        <v>5360</v>
      </c>
      <c r="AA1333" s="336"/>
      <c r="AB1333" s="336" t="s">
        <v>1170</v>
      </c>
      <c r="AC1333" s="336"/>
    </row>
    <row r="1334" spans="1:29" ht="60" customHeight="1">
      <c r="A1334" s="336">
        <v>1260</v>
      </c>
      <c r="B1334" s="349">
        <v>45327</v>
      </c>
      <c r="C1334" s="70" t="s">
        <v>5601</v>
      </c>
      <c r="D1334" s="63" t="s">
        <v>4405</v>
      </c>
      <c r="E1334" s="355" t="s">
        <v>4406</v>
      </c>
      <c r="F1334" s="336">
        <v>4</v>
      </c>
      <c r="G1334" s="63" t="s">
        <v>3791</v>
      </c>
      <c r="H1334" s="428">
        <v>45317</v>
      </c>
      <c r="I1334" s="65" t="s">
        <v>76</v>
      </c>
      <c r="J1334" s="65" t="s">
        <v>33</v>
      </c>
      <c r="K1334" s="336">
        <f>IFERROR(VLOOKUP(J1334,Jueces!$A$1:$B$11,2,FALSE),"")</f>
        <v>4</v>
      </c>
      <c r="L1334" s="63" t="s">
        <v>2077</v>
      </c>
      <c r="M1334" s="356" t="s">
        <v>5561</v>
      </c>
      <c r="N1334" s="63" t="s">
        <v>5637</v>
      </c>
      <c r="O1334" s="63" t="str">
        <f ca="1">IF(H1334&lt;&gt;"",IF(H1334&lt;=TODAY(),"SI","NO"),"LIMBO")</f>
        <v>SI</v>
      </c>
      <c r="P1334" s="63" t="str">
        <f>IF($P$1=H1334,"DIASOL", "DIANOSOL")</f>
        <v>DIANOSOL</v>
      </c>
      <c r="Q1334" s="63" t="s">
        <v>151</v>
      </c>
      <c r="R1334" s="63" t="str">
        <f>VLOOKUP($Q1334,Resultados!$A$1:$B$49,2,FALSE)</f>
        <v>Prisión Preventiva</v>
      </c>
      <c r="S1334" s="63" t="s">
        <v>1738</v>
      </c>
      <c r="T1334" s="72" t="str">
        <f>IF(G1334=$J$1,"SI","NO")</f>
        <v>NO</v>
      </c>
      <c r="U1334" s="72"/>
      <c r="V1334" s="7" t="str">
        <f ca="1">IF(color_Celda(E1334)=12106214,"ROSA",IF(color_Celda(E1334)=65535,"AMARILLO",IF(color_Celda(E1334)=5296274,"VERDE",IF(color_Celda(E1334)=16777215,"BLANCO","NO SE"))))</f>
        <v>ROSA</v>
      </c>
      <c r="W1334" s="63" t="s">
        <v>1332</v>
      </c>
      <c r="X1334" s="63" t="s">
        <v>4644</v>
      </c>
      <c r="Y1334" s="336"/>
      <c r="Z1334" s="336" t="s">
        <v>770</v>
      </c>
      <c r="AA1334" s="72"/>
      <c r="AB1334" s="336" t="s">
        <v>5571</v>
      </c>
      <c r="AC1334" s="336"/>
    </row>
    <row r="1335" spans="1:29" ht="60" customHeight="1">
      <c r="A1335" s="336">
        <v>1306</v>
      </c>
      <c r="B1335" s="349">
        <v>45294</v>
      </c>
      <c r="C1335" s="568">
        <v>0.46319444444444446</v>
      </c>
      <c r="D1335" s="63" t="s">
        <v>5089</v>
      </c>
      <c r="E1335" s="64" t="s">
        <v>5129</v>
      </c>
      <c r="F1335" s="336">
        <v>8</v>
      </c>
      <c r="G1335" s="336" t="s">
        <v>283</v>
      </c>
      <c r="H1335" s="383">
        <v>45317</v>
      </c>
      <c r="I1335" s="65" t="s">
        <v>1206</v>
      </c>
      <c r="J1335" s="349" t="s">
        <v>33</v>
      </c>
      <c r="K1335" s="336">
        <f>IFERROR(VLOOKUP(J1335,Jueces!$A$1:$B$11,2,FALSE),"")</f>
        <v>4</v>
      </c>
      <c r="L1335" s="63" t="s">
        <v>4782</v>
      </c>
      <c r="M1335" s="335" t="s">
        <v>5090</v>
      </c>
      <c r="N1335" s="63" t="s">
        <v>5639</v>
      </c>
      <c r="O1335" s="63" t="str">
        <f ca="1">IF(H1335&lt;&gt;"",IF(H1335&lt;=TODAY(),"SI","NO"),"LIMBO")</f>
        <v>SI</v>
      </c>
      <c r="P1335" s="63" t="str">
        <f>IF($P$1=H1335,"DIASOL", "DIANOSOL")</f>
        <v>DIANOSOL</v>
      </c>
      <c r="Q1335" s="63" t="s">
        <v>903</v>
      </c>
      <c r="R1335" s="63" t="str">
        <f>VLOOKUP($Q1335,Resultados!$A$1:$B$49,2,FALSE)</f>
        <v>Juicio Abreviado</v>
      </c>
      <c r="S1335" s="63" t="s">
        <v>1272</v>
      </c>
      <c r="T1335" s="72" t="str">
        <f>IF(G1335=$J$1,"SI","NO")</f>
        <v>NO</v>
      </c>
      <c r="U1335" s="72"/>
      <c r="V1335" s="7" t="str">
        <f ca="1">IF(color_Celda(E1335)=12106214,"ROSA",IF(color_Celda(E1335)=65535,"AMARILLO",IF(color_Celda(E1335)=5296274,"VERDE",IF(color_Celda(E1335)=16777215,"BLANCO","NO SE"))))</f>
        <v>ROSA</v>
      </c>
      <c r="W1335" s="63" t="s">
        <v>547</v>
      </c>
      <c r="X1335" s="63" t="s">
        <v>5640</v>
      </c>
      <c r="Y1335" s="336"/>
      <c r="Z1335" s="336" t="s">
        <v>770</v>
      </c>
      <c r="AA1335" s="336"/>
      <c r="AB1335" s="336" t="s">
        <v>5571</v>
      </c>
      <c r="AC1335" s="336"/>
    </row>
    <row r="1336" spans="1:29" ht="60" customHeight="1">
      <c r="A1336" s="336">
        <v>1347</v>
      </c>
      <c r="B1336" s="349">
        <v>45302</v>
      </c>
      <c r="C1336" s="568">
        <v>0.4597222222222222</v>
      </c>
      <c r="D1336" s="63" t="s">
        <v>5225</v>
      </c>
      <c r="E1336" s="64" t="s">
        <v>5226</v>
      </c>
      <c r="F1336" s="63">
        <v>1</v>
      </c>
      <c r="G1336" s="336" t="s">
        <v>2766</v>
      </c>
      <c r="H1336" s="383">
        <v>45317</v>
      </c>
      <c r="I1336" s="65" t="s">
        <v>1442</v>
      </c>
      <c r="J1336" s="349" t="s">
        <v>1217</v>
      </c>
      <c r="K1336" s="336">
        <v>7</v>
      </c>
      <c r="L1336" s="63" t="s">
        <v>4782</v>
      </c>
      <c r="M1336" s="63" t="s">
        <v>725</v>
      </c>
      <c r="N1336" s="63" t="s">
        <v>5638</v>
      </c>
      <c r="O1336" s="63" t="str">
        <f ca="1">IF(H1336&lt;&gt;"",IF(H1336&lt;=TODAY(),"SI","NO"),"LIMBO")</f>
        <v>SI</v>
      </c>
      <c r="P1336" s="63" t="str">
        <f>IF($P$1=H1336,"DIASOL", "DIANOSOL")</f>
        <v>DIANOSOL</v>
      </c>
      <c r="Q1336" s="63" t="s">
        <v>1010</v>
      </c>
      <c r="R1336" s="63" t="str">
        <f>VLOOKUP($Q1336,Resultados!$A$1:$B$49,2,FALSE)</f>
        <v>Suspendida</v>
      </c>
      <c r="S1336" s="63"/>
      <c r="T1336" s="72" t="str">
        <f>IF(G1336=$J$1,"SI","NO")</f>
        <v>NO</v>
      </c>
      <c r="U1336" s="72"/>
      <c r="V1336" s="7" t="str">
        <f ca="1">IF(color_Celda(E1336)=12106214,"ROSA",IF(color_Celda(E1336)=65535,"AMARILLO",IF(color_Celda(E1336)=5296274,"VERDE",IF(color_Celda(E1336)=16777215,"BLANCO","NO SE"))))</f>
        <v>ROSA</v>
      </c>
      <c r="W1336" s="336"/>
      <c r="X1336" s="336"/>
      <c r="Y1336" s="336"/>
      <c r="Z1336" s="336" t="s">
        <v>5361</v>
      </c>
      <c r="AA1336" s="336"/>
      <c r="AB1336" s="336" t="s">
        <v>3258</v>
      </c>
      <c r="AC1336" s="336"/>
    </row>
    <row r="1337" spans="1:29" ht="60" customHeight="1">
      <c r="A1337" s="336">
        <v>1350</v>
      </c>
      <c r="B1337" s="65">
        <v>45302</v>
      </c>
      <c r="C1337" s="568">
        <v>0.46736111111111112</v>
      </c>
      <c r="D1337" s="63">
        <v>1882</v>
      </c>
      <c r="E1337" s="64" t="s">
        <v>5273</v>
      </c>
      <c r="F1337" s="63">
        <v>7</v>
      </c>
      <c r="G1337" s="336" t="s">
        <v>1434</v>
      </c>
      <c r="H1337" s="383">
        <v>45317</v>
      </c>
      <c r="I1337" s="65" t="s">
        <v>75</v>
      </c>
      <c r="J1337" s="349" t="s">
        <v>33</v>
      </c>
      <c r="K1337" s="336">
        <f>IFERROR(VLOOKUP(J1337,Jueces!$A$1:$B$11,2,FALSE),"")</f>
        <v>4</v>
      </c>
      <c r="L1337" s="63" t="s">
        <v>790</v>
      </c>
      <c r="M1337" s="63" t="s">
        <v>4186</v>
      </c>
      <c r="N1337" s="63" t="s">
        <v>5644</v>
      </c>
      <c r="O1337" s="63" t="str">
        <f ca="1">IF(H1337&lt;&gt;"",IF(H1337&lt;=TODAY(),"SI","NO"),"LIMBO")</f>
        <v>SI</v>
      </c>
      <c r="P1337" s="63" t="str">
        <f>IF($P$1=H1337,"DIASOL", "DIANOSOL")</f>
        <v>DIANOSOL</v>
      </c>
      <c r="Q1337" s="63" t="s">
        <v>903</v>
      </c>
      <c r="R1337" s="63" t="str">
        <f>VLOOKUP($Q1337,Resultados!$A$1:$B$49,2,FALSE)</f>
        <v>Juicio Abreviado</v>
      </c>
      <c r="S1337" s="63" t="s">
        <v>4475</v>
      </c>
      <c r="T1337" s="72" t="str">
        <f>IF(G1337=$J$1,"SI","NO")</f>
        <v>NO</v>
      </c>
      <c r="U1337" s="72"/>
      <c r="V1337" s="7" t="str">
        <f ca="1">IF(color_Celda(E1337)=12106214,"ROSA",IF(color_Celda(E1337)=65535,"AMARILLO",IF(color_Celda(E1337)=5296274,"VERDE",IF(color_Celda(E1337)=16777215,"BLANCO","NO SE"))))</f>
        <v>ROSA</v>
      </c>
      <c r="W1337" s="63" t="s">
        <v>1554</v>
      </c>
      <c r="X1337" s="63" t="s">
        <v>4644</v>
      </c>
      <c r="Y1337" s="336"/>
      <c r="Z1337" s="336" t="s">
        <v>770</v>
      </c>
      <c r="AA1337" s="336"/>
      <c r="AB1337" s="336" t="s">
        <v>5571</v>
      </c>
      <c r="AC1337" s="336"/>
    </row>
    <row r="1338" spans="1:29" ht="60" customHeight="1">
      <c r="A1338" s="336">
        <v>1351</v>
      </c>
      <c r="B1338" s="349">
        <v>45302</v>
      </c>
      <c r="C1338" s="568">
        <v>0.47083333333333338</v>
      </c>
      <c r="D1338" s="63" t="s">
        <v>5274</v>
      </c>
      <c r="E1338" s="64" t="s">
        <v>5375</v>
      </c>
      <c r="F1338" s="63">
        <v>7</v>
      </c>
      <c r="G1338" s="336" t="s">
        <v>283</v>
      </c>
      <c r="H1338" s="383">
        <v>45317</v>
      </c>
      <c r="I1338" s="65" t="s">
        <v>75</v>
      </c>
      <c r="J1338" s="349" t="s">
        <v>1216</v>
      </c>
      <c r="K1338" s="336">
        <f>IFERROR(VLOOKUP(J1338,Jueces!$A$1:$B$11,2,FALSE),"")</f>
        <v>1</v>
      </c>
      <c r="L1338" s="63" t="s">
        <v>791</v>
      </c>
      <c r="M1338" s="63" t="s">
        <v>885</v>
      </c>
      <c r="N1338" s="336" t="s">
        <v>5603</v>
      </c>
      <c r="O1338" s="63" t="str">
        <f ca="1">IF(H1338&lt;&gt;"",IF(H1338&lt;=TODAY(),"SI","NO"),"LIMBO")</f>
        <v>SI</v>
      </c>
      <c r="P1338" s="63" t="str">
        <f>IF($P$1=H1338,"DIASOL", "DIANOSOL")</f>
        <v>DIANOSOL</v>
      </c>
      <c r="Q1338" s="63" t="s">
        <v>909</v>
      </c>
      <c r="R1338" s="63" t="str">
        <f>VLOOKUP($Q1338,Resultados!$A$1:$B$49,2,FALSE)</f>
        <v>Suspendida</v>
      </c>
      <c r="S1338" s="63"/>
      <c r="T1338" s="72" t="str">
        <f>IF(G1338=$J$1,"SI","NO")</f>
        <v>NO</v>
      </c>
      <c r="U1338" s="72"/>
      <c r="V1338" s="7" t="str">
        <f ca="1">IF(color_Celda(E1338)=12106214,"ROSA",IF(color_Celda(E1338)=65535,"AMARILLO",IF(color_Celda(E1338)=5296274,"VERDE",IF(color_Celda(E1338)=16777215,"BLANCO","NO SE"))))</f>
        <v>ROSA</v>
      </c>
      <c r="W1338" s="336"/>
      <c r="X1338" s="336"/>
      <c r="Y1338" s="336"/>
      <c r="Z1338" s="336" t="s">
        <v>5360</v>
      </c>
      <c r="AA1338" s="336"/>
      <c r="AB1338" s="336" t="s">
        <v>1170</v>
      </c>
      <c r="AC1338" s="336"/>
    </row>
    <row r="1339" spans="1:29" ht="60" customHeight="1">
      <c r="A1339" s="336">
        <v>1370</v>
      </c>
      <c r="B1339" s="349">
        <v>45302</v>
      </c>
      <c r="C1339" s="336" t="s">
        <v>5168</v>
      </c>
      <c r="D1339" s="336" t="s">
        <v>5352</v>
      </c>
      <c r="E1339" s="355" t="s">
        <v>5353</v>
      </c>
      <c r="F1339" s="336">
        <v>1</v>
      </c>
      <c r="G1339" s="336" t="s">
        <v>4934</v>
      </c>
      <c r="H1339" s="383">
        <v>45317</v>
      </c>
      <c r="I1339" s="65" t="s">
        <v>1755</v>
      </c>
      <c r="J1339" s="349" t="s">
        <v>1217</v>
      </c>
      <c r="K1339" s="336">
        <f>IFERROR(VLOOKUP(J1339,Jueces!$A$1:$B$11,2,FALSE),"")</f>
        <v>7</v>
      </c>
      <c r="L1339" s="63" t="s">
        <v>806</v>
      </c>
      <c r="M1339" s="63" t="s">
        <v>1084</v>
      </c>
      <c r="N1339" s="63" t="s">
        <v>3186</v>
      </c>
      <c r="O1339" s="63" t="str">
        <f ca="1">IF(H1339&lt;&gt;"",IF(H1339&lt;=TODAY(),"SI","NO"),"LIMBO")</f>
        <v>SI</v>
      </c>
      <c r="P1339" s="63" t="str">
        <f>IF($P$1=H1339,"DIASOL", "DIANOSOL")</f>
        <v>DIANOSOL</v>
      </c>
      <c r="Q1339" s="63" t="s">
        <v>907</v>
      </c>
      <c r="R1339" s="63" t="str">
        <f>VLOOKUP($Q1339,Resultados!$A$1:$B$49,2,FALSE)</f>
        <v>Suspensión de juicio a prueba</v>
      </c>
      <c r="S1339" s="63" t="s">
        <v>5641</v>
      </c>
      <c r="T1339" s="72" t="str">
        <f>IF(G1339=$J$1,"SI","NO")</f>
        <v>NO</v>
      </c>
      <c r="U1339" s="72"/>
      <c r="V1339" s="7" t="str">
        <f ca="1">IF(color_Celda(E1339)=12106214,"ROSA",IF(color_Celda(E1339)=65535,"AMARILLO",IF(color_Celda(E1339)=5296274,"VERDE",IF(color_Celda(E1339)=16777215,"BLANCO","NO SE"))))</f>
        <v>ROSA</v>
      </c>
      <c r="W1339" s="63" t="s">
        <v>3120</v>
      </c>
      <c r="X1339" s="63" t="s">
        <v>4644</v>
      </c>
      <c r="Y1339" s="336"/>
      <c r="Z1339" s="336" t="s">
        <v>5361</v>
      </c>
      <c r="AA1339" s="336"/>
      <c r="AB1339" s="336" t="s">
        <v>3258</v>
      </c>
      <c r="AC1339" s="336"/>
    </row>
    <row r="1340" spans="1:29" ht="60" customHeight="1">
      <c r="A1340" s="336">
        <v>1320</v>
      </c>
      <c r="B1340" s="349">
        <v>45299</v>
      </c>
      <c r="C1340" s="568">
        <v>0.375</v>
      </c>
      <c r="D1340" s="63" t="s">
        <v>5156</v>
      </c>
      <c r="E1340" s="64" t="s">
        <v>5157</v>
      </c>
      <c r="F1340" s="336">
        <v>2</v>
      </c>
      <c r="G1340" s="336" t="s">
        <v>5009</v>
      </c>
      <c r="H1340" s="383">
        <v>45317</v>
      </c>
      <c r="I1340" s="65" t="s">
        <v>3738</v>
      </c>
      <c r="J1340" s="349" t="s">
        <v>1216</v>
      </c>
      <c r="K1340" s="336">
        <f>IFERROR(VLOOKUP(J1340,Jueces!$A$1:$B$11,2,FALSE),"")</f>
        <v>1</v>
      </c>
      <c r="L1340" s="63" t="s">
        <v>791</v>
      </c>
      <c r="M1340" s="63" t="s">
        <v>1084</v>
      </c>
      <c r="N1340" s="63" t="s">
        <v>5605</v>
      </c>
      <c r="O1340" s="63" t="str">
        <f ca="1">IF(H1340&lt;&gt;"",IF(H1340&lt;=TODAY(),"SI","NO"),"LIMBO")</f>
        <v>SI</v>
      </c>
      <c r="P1340" s="63" t="str">
        <f>IF($P$1=H1340,"DIASOL", "DIANOSOL")</f>
        <v>DIANOSOL</v>
      </c>
      <c r="Q1340" s="63" t="s">
        <v>151</v>
      </c>
      <c r="R1340" s="63" t="str">
        <f>VLOOKUP($Q1340,Resultados!$A$1:$B$49,2,FALSE)</f>
        <v>Prisión Preventiva</v>
      </c>
      <c r="S1340" s="63" t="s">
        <v>1780</v>
      </c>
      <c r="T1340" s="72" t="str">
        <f>IF(G1340=$J$1,"SI","NO")</f>
        <v>NO</v>
      </c>
      <c r="U1340" s="72"/>
      <c r="V1340" s="7" t="str">
        <f ca="1">IF(color_Celda(E1340)=12106214,"ROSA",IF(color_Celda(E1340)=65535,"AMARILLO",IF(color_Celda(E1340)=5296274,"VERDE",IF(color_Celda(E1340)=16777215,"BLANCO","NO SE"))))</f>
        <v>ROSA</v>
      </c>
      <c r="W1340" s="63" t="s">
        <v>5642</v>
      </c>
      <c r="X1340" s="63" t="s">
        <v>5643</v>
      </c>
      <c r="Y1340" s="336"/>
      <c r="Z1340" s="336" t="s">
        <v>5360</v>
      </c>
      <c r="AA1340" s="336"/>
      <c r="AB1340" s="336" t="s">
        <v>5571</v>
      </c>
      <c r="AC1340" s="336"/>
    </row>
    <row r="1341" spans="1:29" ht="60" customHeight="1">
      <c r="A1341" s="336">
        <v>1333</v>
      </c>
      <c r="B1341" s="349">
        <v>45301</v>
      </c>
      <c r="C1341" s="568">
        <v>0.4597222222222222</v>
      </c>
      <c r="D1341" s="63" t="s">
        <v>5200</v>
      </c>
      <c r="E1341" s="64" t="s">
        <v>5201</v>
      </c>
      <c r="F1341" s="63">
        <v>2</v>
      </c>
      <c r="G1341" s="336" t="s">
        <v>2766</v>
      </c>
      <c r="H1341" s="383">
        <v>45320</v>
      </c>
      <c r="I1341" s="65" t="s">
        <v>76</v>
      </c>
      <c r="J1341" s="349" t="s">
        <v>1216</v>
      </c>
      <c r="K1341" s="336">
        <v>1</v>
      </c>
      <c r="L1341" s="63" t="s">
        <v>4790</v>
      </c>
      <c r="M1341" s="63" t="s">
        <v>711</v>
      </c>
      <c r="N1341" s="63" t="s">
        <v>4255</v>
      </c>
      <c r="O1341" s="78" t="str">
        <f ca="1">IF(H1341&lt;&gt;"",IF(H1341&lt;=TODAY(),"SI","NO"),"LIMBO")</f>
        <v>SI</v>
      </c>
      <c r="P1341" s="78" t="str">
        <f>IF($P$1=H1341,"DIASOL", "DIANOSOL")</f>
        <v>DIANOSOL</v>
      </c>
      <c r="Q1341" s="63" t="s">
        <v>902</v>
      </c>
      <c r="R1341" s="63" t="str">
        <f>VLOOKUP($Q1341,Resultados!$A$1:$B$49,2,FALSE)</f>
        <v>Juicio Abreviado</v>
      </c>
      <c r="S1341" s="63" t="s">
        <v>1562</v>
      </c>
      <c r="T1341" s="81" t="str">
        <f>IF(G1341=$J$1,"SI","NO")</f>
        <v>NO</v>
      </c>
      <c r="U1341" s="81"/>
      <c r="V1341" s="7" t="str">
        <f ca="1">IF(color_Celda(E1341)=12106214,"ROSA",IF(color_Celda(E1341)=65535,"AMARILLO",IF(color_Celda(E1341)=5296274,"VERDE",IF(color_Celda(E1341)=16777215,"BLANCO","NO SE"))))</f>
        <v>ROSA</v>
      </c>
      <c r="W1341" s="63" t="s">
        <v>1129</v>
      </c>
      <c r="X1341" s="63" t="s">
        <v>5487</v>
      </c>
      <c r="Y1341" s="336"/>
      <c r="Z1341" s="336" t="s">
        <v>5361</v>
      </c>
      <c r="AA1341" s="336"/>
      <c r="AB1341" s="336" t="s">
        <v>3258</v>
      </c>
      <c r="AC1341" s="336"/>
    </row>
    <row r="1342" spans="1:29" ht="60" customHeight="1">
      <c r="A1342" s="336">
        <v>1371</v>
      </c>
      <c r="B1342" s="349">
        <v>45301</v>
      </c>
      <c r="C1342" s="63" t="s">
        <v>1766</v>
      </c>
      <c r="D1342" s="63" t="s">
        <v>5358</v>
      </c>
      <c r="E1342" s="64" t="s">
        <v>5359</v>
      </c>
      <c r="F1342" s="336">
        <v>7</v>
      </c>
      <c r="G1342" s="336" t="s">
        <v>43</v>
      </c>
      <c r="H1342" s="383">
        <v>45320</v>
      </c>
      <c r="I1342" s="65" t="s">
        <v>76</v>
      </c>
      <c r="J1342" s="349" t="s">
        <v>33</v>
      </c>
      <c r="K1342" s="336">
        <f>IFERROR(VLOOKUP(J1342,Jueces!$A$1:$B$11,2,FALSE),"")</f>
        <v>4</v>
      </c>
      <c r="L1342" s="63" t="s">
        <v>4788</v>
      </c>
      <c r="M1342" s="63" t="s">
        <v>885</v>
      </c>
      <c r="N1342" s="63" t="s">
        <v>5645</v>
      </c>
      <c r="O1342" s="78" t="str">
        <f ca="1">IF(H1342&lt;&gt;"",IF(H1342&lt;=TODAY(),"SI","NO"),"LIMBO")</f>
        <v>SI</v>
      </c>
      <c r="P1342" s="78" t="str">
        <f>IF($P$1=H1342,"DIASOL", "DIANOSOL")</f>
        <v>DIANOSOL</v>
      </c>
      <c r="Q1342" s="63" t="s">
        <v>902</v>
      </c>
      <c r="R1342" s="63" t="str">
        <f>VLOOKUP($Q1342,Resultados!$A$1:$B$49,2,FALSE)</f>
        <v>Juicio Abreviado</v>
      </c>
      <c r="S1342" s="63" t="s">
        <v>1002</v>
      </c>
      <c r="T1342" s="81" t="str">
        <f>IF(G1342=$J$1,"SI","NO")</f>
        <v>NO</v>
      </c>
      <c r="U1342" s="81"/>
      <c r="V1342" s="7" t="str">
        <f ca="1">IF(color_Celda(E1342)=12106214,"ROSA",IF(color_Celda(E1342)=65535,"AMARILLO",IF(color_Celda(E1342)=5296274,"VERDE",IF(color_Celda(E1342)=16777215,"BLANCO","NO SE"))))</f>
        <v>ROSA</v>
      </c>
      <c r="W1342" s="63" t="s">
        <v>3358</v>
      </c>
      <c r="X1342" s="336"/>
      <c r="Y1342" s="336"/>
      <c r="Z1342" s="336" t="s">
        <v>5360</v>
      </c>
      <c r="AA1342" s="336"/>
      <c r="AB1342" s="336" t="s">
        <v>5362</v>
      </c>
      <c r="AC1342" s="336"/>
    </row>
    <row r="1343" spans="1:29" ht="60" customHeight="1">
      <c r="A1343" s="336">
        <v>1345</v>
      </c>
      <c r="B1343" s="349">
        <v>45302</v>
      </c>
      <c r="C1343" s="568">
        <v>0.39513888888888887</v>
      </c>
      <c r="D1343" s="63" t="s">
        <v>5218</v>
      </c>
      <c r="E1343" s="64" t="s">
        <v>5219</v>
      </c>
      <c r="F1343" s="63">
        <v>2</v>
      </c>
      <c r="G1343" s="336" t="s">
        <v>283</v>
      </c>
      <c r="H1343" s="383">
        <v>45320</v>
      </c>
      <c r="I1343" s="65" t="s">
        <v>76</v>
      </c>
      <c r="J1343" s="349" t="s">
        <v>1217</v>
      </c>
      <c r="K1343" s="336">
        <f>IFERROR(VLOOKUP(J1343,Jueces!$A$1:$B$11,2,FALSE),"")</f>
        <v>7</v>
      </c>
      <c r="L1343" s="63" t="s">
        <v>4791</v>
      </c>
      <c r="M1343" s="63" t="s">
        <v>1084</v>
      </c>
      <c r="N1343" s="63" t="s">
        <v>5647</v>
      </c>
      <c r="O1343" s="63" t="str">
        <f ca="1">IF(H1343&lt;&gt;"",IF(H1343&lt;=TODAY(),"SI","NO"),"LIMBO")</f>
        <v>SI</v>
      </c>
      <c r="P1343" s="63" t="str">
        <f>IF($P$1=H1343,"DIASOL", "DIANOSOL")</f>
        <v>DIANOSOL</v>
      </c>
      <c r="Q1343" s="63" t="s">
        <v>907</v>
      </c>
      <c r="R1343" s="63" t="str">
        <f>VLOOKUP($Q1343,Resultados!$A$1:$B$49,2,FALSE)</f>
        <v>Suspensión de juicio a prueba</v>
      </c>
      <c r="S1343" s="63" t="s">
        <v>3232</v>
      </c>
      <c r="T1343" s="72" t="str">
        <f>IF(G1343=$J$1,"SI","NO")</f>
        <v>NO</v>
      </c>
      <c r="U1343" s="72"/>
      <c r="V1343" s="7" t="str">
        <f ca="1">IF(color_Celda(E1343)=12106214,"ROSA",IF(color_Celda(E1343)=65535,"AMARILLO",IF(color_Celda(E1343)=5296274,"VERDE",IF(color_Celda(E1343)=16777215,"BLANCO","NO SE"))))</f>
        <v>ROSA</v>
      </c>
      <c r="W1343" s="63" t="s">
        <v>1793</v>
      </c>
      <c r="X1343" s="63" t="s">
        <v>4891</v>
      </c>
      <c r="Y1343" s="336"/>
      <c r="Z1343" s="336" t="s">
        <v>770</v>
      </c>
      <c r="AA1343" s="336"/>
      <c r="AB1343" s="336" t="s">
        <v>1170</v>
      </c>
      <c r="AC1343" s="336"/>
    </row>
    <row r="1344" spans="1:29" ht="60" customHeight="1">
      <c r="A1344" s="336">
        <v>1331</v>
      </c>
      <c r="B1344" s="349">
        <v>45300</v>
      </c>
      <c r="C1344" s="568">
        <v>0.43333333333333335</v>
      </c>
      <c r="D1344" s="63" t="s">
        <v>5190</v>
      </c>
      <c r="E1344" s="64" t="s">
        <v>5191</v>
      </c>
      <c r="F1344" s="63">
        <v>7</v>
      </c>
      <c r="G1344" s="336" t="s">
        <v>4934</v>
      </c>
      <c r="H1344" s="383">
        <v>45320</v>
      </c>
      <c r="I1344" s="65" t="s">
        <v>75</v>
      </c>
      <c r="J1344" s="349" t="s">
        <v>1217</v>
      </c>
      <c r="K1344" s="336">
        <v>7</v>
      </c>
      <c r="L1344" s="63" t="s">
        <v>4776</v>
      </c>
      <c r="M1344" s="63" t="s">
        <v>885</v>
      </c>
      <c r="N1344" s="63" t="s">
        <v>621</v>
      </c>
      <c r="O1344" s="78" t="str">
        <f ca="1">IF(H1344&lt;&gt;"",IF(H1344&lt;=TODAY(),"SI","NO"),"LIMBO")</f>
        <v>SI</v>
      </c>
      <c r="P1344" s="78" t="str">
        <f>IF($P$1=H1344,"DIASOL", "DIANOSOL")</f>
        <v>DIANOSOL</v>
      </c>
      <c r="Q1344" s="63" t="s">
        <v>151</v>
      </c>
      <c r="R1344" s="63" t="str">
        <f>VLOOKUP($Q1344,Resultados!$A$1:$B$49,2,FALSE)</f>
        <v>Prisión Preventiva</v>
      </c>
      <c r="S1344" s="63" t="s">
        <v>77</v>
      </c>
      <c r="T1344" s="81" t="str">
        <f>IF(G1344=$J$1,"SI","NO")</f>
        <v>NO</v>
      </c>
      <c r="U1344" s="81"/>
      <c r="V1344" s="7" t="str">
        <f ca="1">IF(color_Celda(E1344)=12106214,"ROSA",IF(color_Celda(E1344)=65535,"AMARILLO",IF(color_Celda(E1344)=5296274,"VERDE",IF(color_Celda(E1344)=16777215,"BLANCO","NO SE"))))</f>
        <v>ROSA</v>
      </c>
      <c r="W1344" s="63" t="s">
        <v>4532</v>
      </c>
      <c r="X1344" s="63" t="s">
        <v>4644</v>
      </c>
      <c r="Y1344" s="336"/>
      <c r="Z1344" s="336" t="s">
        <v>770</v>
      </c>
      <c r="AA1344" s="336"/>
      <c r="AB1344" s="336" t="s">
        <v>3258</v>
      </c>
      <c r="AC1344" s="336"/>
    </row>
    <row r="1345" spans="1:29" ht="60" customHeight="1">
      <c r="A1345" s="336">
        <v>1332</v>
      </c>
      <c r="B1345" s="349">
        <v>45301</v>
      </c>
      <c r="C1345" s="568">
        <v>0.43541666666666662</v>
      </c>
      <c r="D1345" s="63" t="s">
        <v>5198</v>
      </c>
      <c r="E1345" s="355" t="s">
        <v>5199</v>
      </c>
      <c r="F1345" s="63">
        <v>2</v>
      </c>
      <c r="G1345" s="336" t="s">
        <v>1434</v>
      </c>
      <c r="H1345" s="383">
        <v>45320</v>
      </c>
      <c r="I1345" s="65" t="s">
        <v>77</v>
      </c>
      <c r="J1345" s="349" t="s">
        <v>33</v>
      </c>
      <c r="K1345" s="336">
        <f>IFERROR(VLOOKUP(J1345,Jueces!$A$1:$B$11,2,FALSE),"")</f>
        <v>4</v>
      </c>
      <c r="L1345" s="63" t="s">
        <v>4791</v>
      </c>
      <c r="M1345" s="63" t="s">
        <v>711</v>
      </c>
      <c r="N1345" s="63" t="s">
        <v>5646</v>
      </c>
      <c r="O1345" s="78" t="str">
        <f ca="1">IF(H1345&lt;&gt;"",IF(H1345&lt;=TODAY(),"SI","NO"),"LIMBO")</f>
        <v>SI</v>
      </c>
      <c r="P1345" s="78" t="str">
        <f>IF($P$1=H1345,"DIASOL", "DIANOSOL")</f>
        <v>DIANOSOL</v>
      </c>
      <c r="Q1345" s="63" t="s">
        <v>902</v>
      </c>
      <c r="R1345" s="63" t="str">
        <f>VLOOKUP($Q1345,Resultados!$A$1:$B$49,2,FALSE)</f>
        <v>Juicio Abreviado</v>
      </c>
      <c r="S1345" s="63" t="s">
        <v>3313</v>
      </c>
      <c r="T1345" s="81" t="str">
        <f>IF(G1345=$J$1,"SI","NO")</f>
        <v>NO</v>
      </c>
      <c r="U1345" s="81"/>
      <c r="V1345" s="7" t="str">
        <f ca="1">IF(color_Celda(E1345)=12106214,"ROSA",IF(color_Celda(E1345)=65535,"AMARILLO",IF(color_Celda(E1345)=5296274,"VERDE",IF(color_Celda(E1345)=16777215,"BLANCO","NO SE"))))</f>
        <v>ROSA</v>
      </c>
      <c r="W1345" s="63" t="s">
        <v>5337</v>
      </c>
      <c r="X1345" s="63" t="s">
        <v>4891</v>
      </c>
      <c r="Y1345" s="336"/>
      <c r="Z1345" s="336" t="s">
        <v>5360</v>
      </c>
      <c r="AA1345" s="336"/>
      <c r="AB1345" s="336" t="s">
        <v>5362</v>
      </c>
      <c r="AC1345" s="336"/>
    </row>
    <row r="1346" spans="1:29" ht="60" customHeight="1">
      <c r="A1346" s="336">
        <v>1337</v>
      </c>
      <c r="B1346" s="349">
        <v>45301</v>
      </c>
      <c r="C1346" s="568">
        <v>0.5131944444444444</v>
      </c>
      <c r="D1346" s="63" t="s">
        <v>5206</v>
      </c>
      <c r="E1346" s="64" t="s">
        <v>5494</v>
      </c>
      <c r="F1346" s="63">
        <v>7</v>
      </c>
      <c r="G1346" s="336" t="s">
        <v>3639</v>
      </c>
      <c r="H1346" s="383">
        <v>45320</v>
      </c>
      <c r="I1346" s="65" t="s">
        <v>228</v>
      </c>
      <c r="J1346" s="349" t="s">
        <v>33</v>
      </c>
      <c r="K1346" s="336">
        <f>IFERROR(VLOOKUP(J1346,Jueces!$A$1:$B$11,2,FALSE),"")</f>
        <v>4</v>
      </c>
      <c r="L1346" s="63" t="s">
        <v>4779</v>
      </c>
      <c r="M1346" s="63" t="s">
        <v>885</v>
      </c>
      <c r="N1346" s="63" t="s">
        <v>5595</v>
      </c>
      <c r="O1346" s="63" t="str">
        <f ca="1">IF(H1346&lt;&gt;"",IF(H1346&lt;=TODAY(),"SI","NO"),"LIMBO")</f>
        <v>SI</v>
      </c>
      <c r="P1346" s="63" t="str">
        <f>IF($P$1=H1346,"DIASOL", "DIANOSOL")</f>
        <v>DIANOSOL</v>
      </c>
      <c r="Q1346" s="63" t="s">
        <v>909</v>
      </c>
      <c r="R1346" s="63" t="str">
        <f>VLOOKUP($Q1346,Resultados!$A$1:$B$49,2,FALSE)</f>
        <v>Suspendida</v>
      </c>
      <c r="S1346" s="63"/>
      <c r="T1346" s="72" t="str">
        <f>IF(G1346=$J$1,"SI","NO")</f>
        <v>NO</v>
      </c>
      <c r="U1346" s="72"/>
      <c r="V1346" s="7" t="str">
        <f ca="1">IF(color_Celda(E1346)=12106214,"ROSA",IF(color_Celda(E1346)=65535,"AMARILLO",IF(color_Celda(E1346)=5296274,"VERDE",IF(color_Celda(E1346)=16777215,"BLANCO","NO SE"))))</f>
        <v>ROSA</v>
      </c>
      <c r="W1346" s="336"/>
      <c r="X1346" s="336"/>
      <c r="Y1346" s="336"/>
      <c r="Z1346" s="336" t="s">
        <v>5360</v>
      </c>
      <c r="AA1346" s="336"/>
      <c r="AB1346" s="336" t="s">
        <v>3258</v>
      </c>
      <c r="AC1346" s="336"/>
    </row>
    <row r="1347" spans="1:29" ht="60" customHeight="1">
      <c r="A1347" s="336">
        <v>1342</v>
      </c>
      <c r="B1347" s="349">
        <v>45302</v>
      </c>
      <c r="C1347" s="568">
        <v>0.375</v>
      </c>
      <c r="D1347" s="63" t="s">
        <v>5213</v>
      </c>
      <c r="E1347" s="64" t="s">
        <v>5214</v>
      </c>
      <c r="F1347" s="63">
        <v>2</v>
      </c>
      <c r="G1347" s="336" t="s">
        <v>3791</v>
      </c>
      <c r="H1347" s="383">
        <v>45321</v>
      </c>
      <c r="I1347" s="65" t="s">
        <v>76</v>
      </c>
      <c r="J1347" s="349" t="s">
        <v>33</v>
      </c>
      <c r="K1347" s="336">
        <f>IFERROR(VLOOKUP(J1347,Jueces!$A$1:$B$11,2,FALSE),"")</f>
        <v>4</v>
      </c>
      <c r="L1347" s="63" t="s">
        <v>4781</v>
      </c>
      <c r="M1347" s="63" t="s">
        <v>1084</v>
      </c>
      <c r="N1347" s="63" t="s">
        <v>5648</v>
      </c>
      <c r="O1347" s="78" t="str">
        <f ca="1">IF(H1347&lt;&gt;"",IF(H1347&lt;=TODAY(),"SI","NO"),"LIMBO")</f>
        <v>SI</v>
      </c>
      <c r="P1347" s="78" t="str">
        <f>IF($P$1=H1347,"DIASOL", "DIANOSOL")</f>
        <v>DIANOSOL</v>
      </c>
      <c r="Q1347" s="63" t="s">
        <v>151</v>
      </c>
      <c r="R1347" s="63" t="str">
        <f>VLOOKUP($Q1347,Resultados!$A$1:$B$49,2,FALSE)</f>
        <v>Prisión Preventiva</v>
      </c>
      <c r="S1347" s="63" t="s">
        <v>1002</v>
      </c>
      <c r="T1347" s="81" t="str">
        <f>IF(G1347=$J$1,"SI","NO")</f>
        <v>NO</v>
      </c>
      <c r="U1347" s="81"/>
      <c r="V1347" s="7" t="str">
        <f ca="1">IF(color_Celda(E1347)=12106214,"ROSA",IF(color_Celda(E1347)=65535,"AMARILLO",IF(color_Celda(E1347)=5296274,"VERDE",IF(color_Celda(E1347)=16777215,"BLANCO","NO SE"))))</f>
        <v>ROSA</v>
      </c>
      <c r="W1347" s="63" t="s">
        <v>2595</v>
      </c>
      <c r="X1347" s="336"/>
      <c r="Y1347" s="336"/>
      <c r="Z1347" s="336" t="s">
        <v>5360</v>
      </c>
      <c r="AA1347" s="336"/>
      <c r="AB1347" s="336" t="s">
        <v>3258</v>
      </c>
      <c r="AC1347" s="336"/>
    </row>
    <row r="1348" spans="1:29" ht="60" customHeight="1">
      <c r="A1348" s="336">
        <v>1357</v>
      </c>
      <c r="B1348" s="349">
        <v>45306</v>
      </c>
      <c r="C1348" s="568">
        <v>0.4201388888888889</v>
      </c>
      <c r="D1348" s="63" t="s">
        <v>3008</v>
      </c>
      <c r="E1348" s="355" t="s">
        <v>3070</v>
      </c>
      <c r="F1348" s="63">
        <v>1</v>
      </c>
      <c r="G1348" s="336" t="s">
        <v>283</v>
      </c>
      <c r="H1348" s="383">
        <v>45321</v>
      </c>
      <c r="I1348" s="65" t="s">
        <v>76</v>
      </c>
      <c r="J1348" s="349" t="s">
        <v>1216</v>
      </c>
      <c r="K1348" s="336">
        <f>IFERROR(VLOOKUP(J1348,Jueces!$A$1:$B$11,2,FALSE),"")</f>
        <v>1</v>
      </c>
      <c r="L1348" s="63" t="s">
        <v>805</v>
      </c>
      <c r="M1348" s="63" t="s">
        <v>711</v>
      </c>
      <c r="N1348" s="63" t="s">
        <v>5649</v>
      </c>
      <c r="O1348" s="78" t="str">
        <f ca="1">IF(H1348&lt;&gt;"",IF(H1348&lt;=TODAY(),"SI","NO"),"LIMBO")</f>
        <v>SI</v>
      </c>
      <c r="P1348" s="78" t="str">
        <f>IF($P$1=H1348,"DIASOL", "DIANOSOL")</f>
        <v>DIANOSOL</v>
      </c>
      <c r="Q1348" s="63" t="s">
        <v>902</v>
      </c>
      <c r="R1348" s="63" t="str">
        <f>VLOOKUP($Q1348,Resultados!$A$1:$B$49,2,FALSE)</f>
        <v>Juicio Abreviado</v>
      </c>
      <c r="S1348" s="63" t="s">
        <v>1442</v>
      </c>
      <c r="T1348" s="81" t="str">
        <f>IF(G1348=$J$1,"SI","NO")</f>
        <v>NO</v>
      </c>
      <c r="U1348" s="81"/>
      <c r="V1348" s="7" t="str">
        <f ca="1">IF(color_Celda(E1348)=12106214,"ROSA",IF(color_Celda(E1348)=65535,"AMARILLO",IF(color_Celda(E1348)=5296274,"VERDE",IF(color_Celda(E1348)=16777215,"BLANCO","NO SE"))))</f>
        <v>ROSA</v>
      </c>
      <c r="W1348" s="63" t="s">
        <v>75</v>
      </c>
      <c r="X1348" s="63" t="s">
        <v>4644</v>
      </c>
      <c r="Y1348" s="336"/>
      <c r="Z1348" s="336" t="s">
        <v>770</v>
      </c>
      <c r="AA1348" s="336"/>
      <c r="AB1348" s="336" t="s">
        <v>1170</v>
      </c>
      <c r="AC1348" s="336"/>
    </row>
    <row r="1349" spans="1:29" ht="60" customHeight="1">
      <c r="A1349" s="336">
        <v>1330</v>
      </c>
      <c r="B1349" s="349">
        <v>45301</v>
      </c>
      <c r="C1349" s="568">
        <v>0.4145833333333333</v>
      </c>
      <c r="D1349" s="63" t="s">
        <v>5196</v>
      </c>
      <c r="E1349" s="64" t="s">
        <v>5197</v>
      </c>
      <c r="F1349" s="63">
        <v>7</v>
      </c>
      <c r="G1349" s="336" t="s">
        <v>43</v>
      </c>
      <c r="H1349" s="383">
        <v>45321</v>
      </c>
      <c r="I1349" s="65" t="s">
        <v>1206</v>
      </c>
      <c r="J1349" s="349" t="s">
        <v>33</v>
      </c>
      <c r="K1349" s="336">
        <f>IFERROR(VLOOKUP(J1349,Jueces!$A$1:$B$11,2,FALSE),"")</f>
        <v>4</v>
      </c>
      <c r="L1349" s="63" t="s">
        <v>4776</v>
      </c>
      <c r="M1349" s="63" t="s">
        <v>5283</v>
      </c>
      <c r="N1349" s="63" t="s">
        <v>5650</v>
      </c>
      <c r="O1349" s="78" t="str">
        <f ca="1">IF(H1349&lt;&gt;"",IF(H1349&lt;=TODAY(),"SI","NO"),"LIMBO")</f>
        <v>SI</v>
      </c>
      <c r="P1349" s="78" t="str">
        <f>IF($P$1=H1349,"DIASOL", "DIANOSOL")</f>
        <v>DIANOSOL</v>
      </c>
      <c r="Q1349" s="63" t="s">
        <v>907</v>
      </c>
      <c r="R1349" s="63" t="str">
        <f>VLOOKUP($Q1349,Resultados!$A$1:$B$49,2,FALSE)</f>
        <v>Suspensión de juicio a prueba</v>
      </c>
      <c r="S1349" s="63" t="s">
        <v>3514</v>
      </c>
      <c r="T1349" s="81" t="str">
        <f>IF(G1349=$J$1,"SI","NO")</f>
        <v>NO</v>
      </c>
      <c r="U1349" s="81"/>
      <c r="V1349" s="7" t="str">
        <f ca="1">IF(color_Celda(E1349)=12106214,"ROSA",IF(color_Celda(E1349)=65535,"AMARILLO",IF(color_Celda(E1349)=5296274,"VERDE",IF(color_Celda(E1349)=16777215,"BLANCO","NO SE"))))</f>
        <v>ROSA</v>
      </c>
      <c r="W1349" s="63" t="s">
        <v>3226</v>
      </c>
      <c r="X1349" s="63" t="s">
        <v>4891</v>
      </c>
      <c r="Y1349" s="336"/>
      <c r="Z1349" s="336" t="s">
        <v>5360</v>
      </c>
      <c r="AA1349" s="336"/>
      <c r="AB1349" s="336" t="s">
        <v>3258</v>
      </c>
      <c r="AC1349" s="336"/>
    </row>
    <row r="1350" spans="1:29" ht="60" customHeight="1">
      <c r="A1350" s="336">
        <v>1352</v>
      </c>
      <c r="B1350" s="349">
        <v>45303</v>
      </c>
      <c r="C1350" s="568">
        <v>0.42152777777777778</v>
      </c>
      <c r="D1350" s="63" t="s">
        <v>5275</v>
      </c>
      <c r="E1350" s="64" t="s">
        <v>5276</v>
      </c>
      <c r="F1350" s="63">
        <v>2</v>
      </c>
      <c r="G1350" s="336" t="s">
        <v>43</v>
      </c>
      <c r="H1350" s="383">
        <v>45321</v>
      </c>
      <c r="I1350" s="65" t="s">
        <v>75</v>
      </c>
      <c r="J1350" s="349" t="s">
        <v>33</v>
      </c>
      <c r="K1350" s="336">
        <f>IFERROR(VLOOKUP(J1350,Jueces!$A$1:$B$11,2,FALSE),"")</f>
        <v>4</v>
      </c>
      <c r="L1350" s="63" t="s">
        <v>4781</v>
      </c>
      <c r="M1350" s="63" t="s">
        <v>711</v>
      </c>
      <c r="N1350" s="63" t="s">
        <v>5652</v>
      </c>
      <c r="O1350" s="78" t="str">
        <f ca="1">IF(H1350&lt;&gt;"",IF(H1350&lt;=TODAY(),"SI","NO"),"LIMBO")</f>
        <v>SI</v>
      </c>
      <c r="P1350" s="78" t="str">
        <f>IF($P$1=H1350,"DIASOL", "DIANOSOL")</f>
        <v>DIANOSOL</v>
      </c>
      <c r="Q1350" s="63" t="s">
        <v>902</v>
      </c>
      <c r="R1350" s="63" t="str">
        <f>VLOOKUP($Q1350,Resultados!$A$1:$B$49,2,FALSE)</f>
        <v>Juicio Abreviado</v>
      </c>
      <c r="S1350" s="63" t="s">
        <v>1709</v>
      </c>
      <c r="T1350" s="81" t="str">
        <f>IF(G1350=$J$1,"SI","NO")</f>
        <v>NO</v>
      </c>
      <c r="U1350" s="81"/>
      <c r="V1350" s="7" t="str">
        <f ca="1">IF(color_Celda(E1350)=12106214,"ROSA",IF(color_Celda(E1350)=65535,"AMARILLO",IF(color_Celda(E1350)=5296274,"VERDE",IF(color_Celda(E1350)=16777215,"BLANCO","NO SE"))))</f>
        <v>ROSA</v>
      </c>
      <c r="W1350" s="63" t="s">
        <v>5564</v>
      </c>
      <c r="X1350" s="63" t="s">
        <v>4891</v>
      </c>
      <c r="Y1350" s="336"/>
      <c r="Z1350" s="336" t="s">
        <v>5360</v>
      </c>
      <c r="AA1350" s="336"/>
      <c r="AB1350" s="336" t="s">
        <v>1170</v>
      </c>
      <c r="AC1350" s="336"/>
    </row>
    <row r="1351" spans="1:29" ht="60" customHeight="1">
      <c r="A1351" s="336">
        <v>1361</v>
      </c>
      <c r="B1351" s="349">
        <v>45306</v>
      </c>
      <c r="C1351" s="568">
        <v>0.43472222222222223</v>
      </c>
      <c r="D1351" s="63" t="s">
        <v>5300</v>
      </c>
      <c r="E1351" s="64" t="s">
        <v>5301</v>
      </c>
      <c r="F1351" s="63">
        <v>7</v>
      </c>
      <c r="G1351" s="336" t="s">
        <v>2766</v>
      </c>
      <c r="H1351" s="208">
        <v>45321</v>
      </c>
      <c r="I1351" s="65" t="s">
        <v>75</v>
      </c>
      <c r="J1351" s="349" t="s">
        <v>1217</v>
      </c>
      <c r="K1351" s="336">
        <f>IFERROR(VLOOKUP(J1351,Jueces!$A$1:$B$11,2,FALSE),"")</f>
        <v>7</v>
      </c>
      <c r="L1351" s="63" t="s">
        <v>791</v>
      </c>
      <c r="M1351" s="63" t="s">
        <v>783</v>
      </c>
      <c r="N1351" s="63" t="s">
        <v>621</v>
      </c>
      <c r="O1351" s="78" t="str">
        <f ca="1">IF(H1351&lt;&gt;"",IF(H1351&lt;=TODAY(),"SI","NO"),"LIMBO")</f>
        <v>SI</v>
      </c>
      <c r="P1351" s="78" t="str">
        <f>IF($P$1=H1351,"DIASOL", "DIANOSOL")</f>
        <v>DIANOSOL</v>
      </c>
      <c r="Q1351" s="63" t="s">
        <v>151</v>
      </c>
      <c r="R1351" s="63" t="str">
        <f>VLOOKUP($Q1351,Resultados!$A$1:$B$49,2,FALSE)</f>
        <v>Prisión Preventiva</v>
      </c>
      <c r="S1351" s="63" t="s">
        <v>4252</v>
      </c>
      <c r="T1351" s="81" t="str">
        <f>IF(G1351=$J$1,"SI","NO")</f>
        <v>NO</v>
      </c>
      <c r="U1351" s="81"/>
      <c r="V1351" s="7" t="str">
        <f ca="1">IF(color_Celda(E1351)=12106214,"ROSA",IF(color_Celda(E1351)=65535,"AMARILLO",IF(color_Celda(E1351)=5296274,"VERDE",IF(color_Celda(E1351)=16777215,"BLANCO","NO SE"))))</f>
        <v>ROSA</v>
      </c>
      <c r="W1351" s="63" t="s">
        <v>3542</v>
      </c>
      <c r="X1351" s="63" t="s">
        <v>5651</v>
      </c>
      <c r="Y1351" s="336"/>
      <c r="Z1351" s="336" t="s">
        <v>5361</v>
      </c>
      <c r="AA1351" s="336"/>
      <c r="AB1351" s="336" t="s">
        <v>3258</v>
      </c>
      <c r="AC1351" s="336"/>
    </row>
    <row r="1352" spans="1:29" ht="60" customHeight="1">
      <c r="A1352" s="336">
        <v>1348</v>
      </c>
      <c r="B1352" s="349">
        <v>45302</v>
      </c>
      <c r="C1352" s="568">
        <v>0.46388888888888885</v>
      </c>
      <c r="D1352" s="63" t="s">
        <v>5227</v>
      </c>
      <c r="E1352" s="64" t="s">
        <v>5228</v>
      </c>
      <c r="F1352" s="63">
        <v>2</v>
      </c>
      <c r="G1352" s="336" t="s">
        <v>3791</v>
      </c>
      <c r="H1352" s="383">
        <v>45321</v>
      </c>
      <c r="I1352" s="65" t="s">
        <v>547</v>
      </c>
      <c r="J1352" s="349" t="s">
        <v>33</v>
      </c>
      <c r="K1352" s="336">
        <f>IFERROR(VLOOKUP(J1352,Jueces!$A$1:$B$11,2,FALSE),"")</f>
        <v>4</v>
      </c>
      <c r="L1352" s="63" t="s">
        <v>4791</v>
      </c>
      <c r="M1352" s="63" t="s">
        <v>711</v>
      </c>
      <c r="N1352" s="63" t="s">
        <v>5653</v>
      </c>
      <c r="O1352" s="78" t="str">
        <f ca="1">IF(H1352&lt;&gt;"",IF(H1352&lt;=TODAY(),"SI","NO"),"LIMBO")</f>
        <v>SI</v>
      </c>
      <c r="P1352" s="78" t="str">
        <f>IF($P$1=H1352,"DIASOL", "DIANOSOL")</f>
        <v>DIANOSOL</v>
      </c>
      <c r="Q1352" s="63" t="s">
        <v>900</v>
      </c>
      <c r="R1352" s="63" t="str">
        <f>VLOOKUP($Q1352,Resultados!$A$1:$B$49,2,FALSE)</f>
        <v>Libertad</v>
      </c>
      <c r="S1352" s="63" t="s">
        <v>5654</v>
      </c>
      <c r="T1352" s="81" t="str">
        <f>IF(G1352=$J$1,"SI","NO")</f>
        <v>NO</v>
      </c>
      <c r="U1352" s="81"/>
      <c r="V1352" s="7" t="str">
        <f ca="1">IF(color_Celda(E1352)=12106214,"ROSA",IF(color_Celda(E1352)=65535,"AMARILLO",IF(color_Celda(E1352)=5296274,"VERDE",IF(color_Celda(E1352)=16777215,"BLANCO","NO SE"))))</f>
        <v>ROSA</v>
      </c>
      <c r="W1352" s="63" t="s">
        <v>2011</v>
      </c>
      <c r="X1352" s="63" t="s">
        <v>4891</v>
      </c>
      <c r="Y1352" s="336"/>
      <c r="Z1352" s="336" t="s">
        <v>5360</v>
      </c>
      <c r="AA1352" s="336"/>
      <c r="AB1352" s="336" t="s">
        <v>1170</v>
      </c>
      <c r="AC1352" s="336"/>
    </row>
    <row r="1353" spans="1:29" ht="60" customHeight="1">
      <c r="A1353" s="336">
        <v>1353</v>
      </c>
      <c r="B1353" s="349">
        <v>45303</v>
      </c>
      <c r="C1353" s="568">
        <v>0.44305555555555554</v>
      </c>
      <c r="D1353" s="63" t="s">
        <v>5277</v>
      </c>
      <c r="E1353" s="64" t="s">
        <v>5278</v>
      </c>
      <c r="F1353" s="63">
        <v>2</v>
      </c>
      <c r="G1353" s="336" t="s">
        <v>1433</v>
      </c>
      <c r="H1353" s="383">
        <v>45321</v>
      </c>
      <c r="I1353" s="65" t="s">
        <v>77</v>
      </c>
      <c r="J1353" s="349" t="s">
        <v>1216</v>
      </c>
      <c r="K1353" s="336">
        <v>1</v>
      </c>
      <c r="L1353" s="63" t="s">
        <v>4781</v>
      </c>
      <c r="M1353" s="63" t="s">
        <v>1084</v>
      </c>
      <c r="N1353" s="63" t="s">
        <v>577</v>
      </c>
      <c r="O1353" s="78" t="str">
        <f ca="1">IF(H1353&lt;&gt;"",IF(H1353&lt;=TODAY(),"SI","NO"),"LIMBO")</f>
        <v>SI</v>
      </c>
      <c r="P1353" s="78" t="str">
        <f>IF($P$1=H1353,"DIASOL", "DIANOSOL")</f>
        <v>DIANOSOL</v>
      </c>
      <c r="Q1353" s="63" t="s">
        <v>151</v>
      </c>
      <c r="R1353" s="63" t="str">
        <f>VLOOKUP($Q1353,Resultados!$A$1:$B$49,2,FALSE)</f>
        <v>Prisión Preventiva</v>
      </c>
      <c r="S1353" s="63" t="s">
        <v>3270</v>
      </c>
      <c r="T1353" s="81" t="str">
        <f>IF(G1353=$J$1,"SI","NO")</f>
        <v>NO</v>
      </c>
      <c r="U1353" s="81"/>
      <c r="V1353" s="7" t="str">
        <f ca="1">IF(color_Celda(E1353)=12106214,"ROSA",IF(color_Celda(E1353)=65535,"AMARILLO",IF(color_Celda(E1353)=5296274,"VERDE",IF(color_Celda(E1353)=16777215,"BLANCO","NO SE"))))</f>
        <v>ROSA</v>
      </c>
      <c r="W1353" s="63" t="s">
        <v>5655</v>
      </c>
      <c r="X1353" s="63" t="s">
        <v>4891</v>
      </c>
      <c r="Y1353" s="336"/>
      <c r="Z1353" s="336" t="s">
        <v>770</v>
      </c>
      <c r="AA1353" s="336"/>
      <c r="AB1353" s="336" t="s">
        <v>3258</v>
      </c>
      <c r="AC1353" s="336"/>
    </row>
    <row r="1354" spans="1:29" ht="60" customHeight="1">
      <c r="A1354" s="336">
        <v>1355</v>
      </c>
      <c r="B1354" s="349">
        <v>45303</v>
      </c>
      <c r="C1354" s="568">
        <v>0.46597222222222223</v>
      </c>
      <c r="D1354" s="63" t="s">
        <v>5281</v>
      </c>
      <c r="E1354" s="64" t="s">
        <v>5282</v>
      </c>
      <c r="F1354" s="63">
        <v>6</v>
      </c>
      <c r="G1354" s="336" t="s">
        <v>3639</v>
      </c>
      <c r="H1354" s="383">
        <v>45322</v>
      </c>
      <c r="I1354" s="65" t="s">
        <v>1083</v>
      </c>
      <c r="J1354" s="349" t="s">
        <v>33</v>
      </c>
      <c r="K1354" s="336">
        <v>4</v>
      </c>
      <c r="L1354" s="63" t="s">
        <v>4777</v>
      </c>
      <c r="M1354" s="63" t="s">
        <v>711</v>
      </c>
      <c r="N1354" s="63" t="s">
        <v>5669</v>
      </c>
      <c r="O1354" s="78" t="str">
        <f ca="1">IF(H1354&lt;&gt;"",IF(H1354&lt;=TODAY(),"SI","NO"),"LIMBO")</f>
        <v>SI</v>
      </c>
      <c r="P1354" s="78" t="str">
        <f>IF($P$1=H1354,"DIASOL", "DIANOSOL")</f>
        <v>DIANOSOL</v>
      </c>
      <c r="Q1354" s="63" t="s">
        <v>151</v>
      </c>
      <c r="R1354" s="63" t="str">
        <f>VLOOKUP($Q1354,Resultados!$A$1:$B$49,2,FALSE)</f>
        <v>Prisión Preventiva</v>
      </c>
      <c r="S1354" s="63" t="s">
        <v>1387</v>
      </c>
      <c r="T1354" s="81" t="str">
        <f>IF(G1354=$J$1,"SI","NO")</f>
        <v>NO</v>
      </c>
      <c r="U1354" s="81"/>
      <c r="V1354" s="7" t="str">
        <f ca="1">IF(color_Celda(E1354)=12106214,"ROSA",IF(color_Celda(E1354)=65535,"AMARILLO",IF(color_Celda(E1354)=5296274,"VERDE",IF(color_Celda(E1354)=16777215,"BLANCO","NO SE"))))</f>
        <v>ROSA</v>
      </c>
      <c r="W1354" s="63" t="s">
        <v>1047</v>
      </c>
      <c r="X1354" s="336"/>
      <c r="Y1354" s="336"/>
      <c r="Z1354" s="336" t="s">
        <v>770</v>
      </c>
      <c r="AA1354" s="336"/>
      <c r="AB1354" s="336" t="s">
        <v>1170</v>
      </c>
      <c r="AC1354" s="336"/>
    </row>
    <row r="1355" spans="1:29" ht="60" customHeight="1">
      <c r="A1355" s="336">
        <v>1257</v>
      </c>
      <c r="B1355" s="349">
        <v>45287</v>
      </c>
      <c r="C1355" s="568">
        <v>0.41180555555555554</v>
      </c>
      <c r="D1355" s="63" t="s">
        <v>4936</v>
      </c>
      <c r="E1355" s="64" t="s">
        <v>4937</v>
      </c>
      <c r="F1355" s="336">
        <v>2</v>
      </c>
      <c r="G1355" s="336" t="s">
        <v>3639</v>
      </c>
      <c r="H1355" s="383">
        <v>45322</v>
      </c>
      <c r="I1355" s="65" t="s">
        <v>76</v>
      </c>
      <c r="J1355" s="349" t="s">
        <v>33</v>
      </c>
      <c r="K1355" s="336">
        <f>IFERROR(VLOOKUP(J1355,Jueces!$A$1:$B$11,2,FALSE),"")</f>
        <v>4</v>
      </c>
      <c r="L1355" s="63" t="s">
        <v>802</v>
      </c>
      <c r="M1355" s="63" t="s">
        <v>1956</v>
      </c>
      <c r="N1355" s="63" t="s">
        <v>5670</v>
      </c>
      <c r="O1355" s="78" t="str">
        <f ca="1">IF(H1355&lt;&gt;"",IF(H1355&lt;=TODAY(),"SI","NO"),"LIMBO")</f>
        <v>SI</v>
      </c>
      <c r="P1355" s="78" t="str">
        <f>IF($P$1=H1355,"DIASOL", "DIANOSOL")</f>
        <v>DIANOSOL</v>
      </c>
      <c r="Q1355" s="63" t="s">
        <v>151</v>
      </c>
      <c r="R1355" s="63" t="str">
        <f>VLOOKUP($Q1355,Resultados!$A$1:$B$49,2,FALSE)</f>
        <v>Prisión Preventiva</v>
      </c>
      <c r="S1355" s="63" t="s">
        <v>1206</v>
      </c>
      <c r="T1355" s="81" t="str">
        <f>IF(G1355=$J$1,"SI","NO")</f>
        <v>NO</v>
      </c>
      <c r="U1355" s="81"/>
      <c r="V1355" s="7" t="str">
        <f ca="1">IF(color_Celda(E1355)=12106214,"ROSA",IF(color_Celda(E1355)=65535,"AMARILLO",IF(color_Celda(E1355)=5296274,"VERDE",IF(color_Celda(E1355)=16777215,"BLANCO","NO SE"))))</f>
        <v>ROSA</v>
      </c>
      <c r="W1355" s="63" t="s">
        <v>2663</v>
      </c>
      <c r="X1355" s="63" t="s">
        <v>4891</v>
      </c>
      <c r="Y1355" s="336"/>
      <c r="Z1355" s="336" t="s">
        <v>770</v>
      </c>
      <c r="AA1355" s="336"/>
      <c r="AB1355" s="336" t="s">
        <v>3258</v>
      </c>
      <c r="AC1355" s="336"/>
    </row>
    <row r="1356" spans="1:29" ht="60" customHeight="1">
      <c r="A1356" s="336">
        <v>1280</v>
      </c>
      <c r="B1356" s="349">
        <v>45293</v>
      </c>
      <c r="C1356" s="568">
        <v>0.375</v>
      </c>
      <c r="D1356" s="63" t="s">
        <v>5027</v>
      </c>
      <c r="E1356" s="64" t="s">
        <v>5028</v>
      </c>
      <c r="F1356" s="336">
        <v>6</v>
      </c>
      <c r="G1356" s="336" t="s">
        <v>2766</v>
      </c>
      <c r="H1356" s="383">
        <v>45322</v>
      </c>
      <c r="I1356" s="65" t="s">
        <v>76</v>
      </c>
      <c r="J1356" s="349" t="s">
        <v>1217</v>
      </c>
      <c r="K1356" s="336">
        <f>IFERROR(VLOOKUP(J1356,Jueces!$A$1:$B$11,2,FALSE),"")</f>
        <v>7</v>
      </c>
      <c r="L1356" s="63" t="s">
        <v>4791</v>
      </c>
      <c r="M1356" s="356" t="s">
        <v>2043</v>
      </c>
      <c r="N1356" s="63" t="s">
        <v>5665</v>
      </c>
      <c r="O1356" s="78" t="str">
        <f ca="1">IF(H1356&lt;&gt;"",IF(H1356&lt;=TODAY(),"SI","NO"),"LIMBO")</f>
        <v>SI</v>
      </c>
      <c r="P1356" s="78" t="str">
        <f>IF($P$1=H1356,"DIASOL", "DIANOSOL")</f>
        <v>DIANOSOL</v>
      </c>
      <c r="Q1356" s="63" t="s">
        <v>911</v>
      </c>
      <c r="R1356" s="63" t="str">
        <f>VLOOKUP($Q1356,Resultados!$A$1:$B$49,2,FALSE)</f>
        <v>Prision domiciliaria</v>
      </c>
      <c r="S1356" s="63" t="s">
        <v>1206</v>
      </c>
      <c r="T1356" s="81" t="str">
        <f>IF(G1356=$J$1,"SI","NO")</f>
        <v>NO</v>
      </c>
      <c r="U1356" s="81"/>
      <c r="V1356" s="7" t="str">
        <f ca="1">IF(color_Celda(E1356)=12106214,"ROSA",IF(color_Celda(E1356)=65535,"AMARILLO",IF(color_Celda(E1356)=5296274,"VERDE",IF(color_Celda(E1356)=16777215,"BLANCO","NO SE"))))</f>
        <v>ROSA</v>
      </c>
      <c r="W1356" s="63" t="s">
        <v>3244</v>
      </c>
      <c r="X1356" s="63" t="s">
        <v>4644</v>
      </c>
      <c r="Y1356" s="336"/>
      <c r="Z1356" s="336" t="s">
        <v>5360</v>
      </c>
      <c r="AA1356" s="336"/>
      <c r="AB1356" s="336" t="s">
        <v>1170</v>
      </c>
      <c r="AC1356" s="336"/>
    </row>
    <row r="1357" spans="1:29" ht="60" customHeight="1">
      <c r="A1357" s="336">
        <v>1360</v>
      </c>
      <c r="B1357" s="349">
        <v>45306</v>
      </c>
      <c r="C1357" s="568">
        <v>0.43124999999999997</v>
      </c>
      <c r="D1357" s="63" t="s">
        <v>5298</v>
      </c>
      <c r="E1357" s="64" t="s">
        <v>5299</v>
      </c>
      <c r="F1357" s="63">
        <v>2</v>
      </c>
      <c r="G1357" s="336" t="s">
        <v>283</v>
      </c>
      <c r="H1357" s="383">
        <v>45322</v>
      </c>
      <c r="I1357" s="65" t="s">
        <v>76</v>
      </c>
      <c r="J1357" s="349" t="s">
        <v>1216</v>
      </c>
      <c r="K1357" s="336">
        <f>IFERROR(VLOOKUP(J1357,Jueces!$A$1:$B$11,2,FALSE),"")</f>
        <v>1</v>
      </c>
      <c r="L1357" s="63" t="s">
        <v>805</v>
      </c>
      <c r="M1357" s="63" t="s">
        <v>711</v>
      </c>
      <c r="N1357" s="63" t="s">
        <v>4007</v>
      </c>
      <c r="O1357" s="78" t="str">
        <f ca="1">IF(H1357&lt;&gt;"",IF(H1357&lt;=TODAY(),"SI","NO"),"LIMBO")</f>
        <v>SI</v>
      </c>
      <c r="P1357" s="78" t="str">
        <f>IF($P$1=H1357,"DIASOL", "DIANOSOL")</f>
        <v>DIANOSOL</v>
      </c>
      <c r="Q1357" s="63" t="s">
        <v>902</v>
      </c>
      <c r="R1357" s="63" t="str">
        <f>VLOOKUP($Q1357,Resultados!$A$1:$B$49,2,FALSE)</f>
        <v>Juicio Abreviado</v>
      </c>
      <c r="S1357" s="63" t="s">
        <v>1272</v>
      </c>
      <c r="T1357" s="81" t="str">
        <f>IF(G1357=$J$1,"SI","NO")</f>
        <v>NO</v>
      </c>
      <c r="U1357" s="81"/>
      <c r="V1357" s="7" t="str">
        <f ca="1">IF(color_Celda(E1357)=12106214,"ROSA",IF(color_Celda(E1357)=65535,"AMARILLO",IF(color_Celda(E1357)=5296274,"VERDE",IF(color_Celda(E1357)=16777215,"BLANCO","NO SE"))))</f>
        <v>ROSA</v>
      </c>
      <c r="W1357" s="63" t="s">
        <v>2044</v>
      </c>
      <c r="X1357" s="63" t="s">
        <v>5415</v>
      </c>
      <c r="Y1357" s="336"/>
      <c r="Z1357" s="336" t="s">
        <v>5361</v>
      </c>
      <c r="AA1357" s="336"/>
      <c r="AB1357" s="336" t="s">
        <v>3258</v>
      </c>
      <c r="AC1357" s="336"/>
    </row>
    <row r="1358" spans="1:29" ht="60" customHeight="1">
      <c r="A1358" s="336">
        <v>1346</v>
      </c>
      <c r="B1358" s="349">
        <v>45302</v>
      </c>
      <c r="C1358" s="568">
        <v>0.44444444444444442</v>
      </c>
      <c r="D1358" s="63" t="s">
        <v>5223</v>
      </c>
      <c r="E1358" s="64" t="s">
        <v>5224</v>
      </c>
      <c r="F1358" s="63">
        <v>2</v>
      </c>
      <c r="G1358" s="336" t="s">
        <v>3791</v>
      </c>
      <c r="H1358" s="383">
        <v>45322</v>
      </c>
      <c r="I1358" s="65" t="s">
        <v>1206</v>
      </c>
      <c r="J1358" s="349" t="s">
        <v>33</v>
      </c>
      <c r="K1358" s="336">
        <f>IFERROR(VLOOKUP(J1358,Jueces!$A$1:$B$11,2,FALSE),"")</f>
        <v>4</v>
      </c>
      <c r="L1358" s="63" t="s">
        <v>4790</v>
      </c>
      <c r="M1358" s="63" t="s">
        <v>711</v>
      </c>
      <c r="N1358" s="63" t="s">
        <v>5671</v>
      </c>
      <c r="O1358" s="78" t="str">
        <f ca="1">IF(H1358&lt;&gt;"",IF(H1358&lt;=TODAY(),"SI","NO"),"LIMBO")</f>
        <v>SI</v>
      </c>
      <c r="P1358" s="78" t="str">
        <f>IF($P$1=H1358,"DIASOL", "DIANOSOL")</f>
        <v>DIANOSOL</v>
      </c>
      <c r="Q1358" s="63" t="s">
        <v>902</v>
      </c>
      <c r="R1358" s="63" t="str">
        <f>VLOOKUP($Q1358,Resultados!$A$1:$B$49,2,FALSE)</f>
        <v>Juicio Abreviado</v>
      </c>
      <c r="S1358" s="63" t="s">
        <v>1797</v>
      </c>
      <c r="T1358" s="81" t="str">
        <f>IF(G1358=$J$1,"SI","NO")</f>
        <v>NO</v>
      </c>
      <c r="U1358" s="81"/>
      <c r="V1358" s="7" t="str">
        <f ca="1">IF(color_Celda(E1358)=12106214,"ROSA",IF(color_Celda(E1358)=65535,"AMARILLO",IF(color_Celda(E1358)=5296274,"VERDE",IF(color_Celda(E1358)=16777215,"BLANCO","NO SE"))))</f>
        <v>ROSA</v>
      </c>
      <c r="W1358" s="63" t="s">
        <v>3115</v>
      </c>
      <c r="X1358" s="63" t="s">
        <v>4891</v>
      </c>
      <c r="Y1358" s="336"/>
      <c r="Z1358" s="336" t="s">
        <v>770</v>
      </c>
      <c r="AA1358" s="336"/>
      <c r="AB1358" s="336" t="s">
        <v>1170</v>
      </c>
      <c r="AC1358" s="336"/>
    </row>
    <row r="1359" spans="1:29" ht="60" customHeight="1">
      <c r="A1359" s="336">
        <v>1311</v>
      </c>
      <c r="B1359" s="349">
        <v>45295</v>
      </c>
      <c r="C1359" s="568">
        <v>0.4770833333333333</v>
      </c>
      <c r="D1359" s="63" t="s">
        <v>5130</v>
      </c>
      <c r="E1359" s="64" t="s">
        <v>5131</v>
      </c>
      <c r="F1359" s="336">
        <v>7</v>
      </c>
      <c r="G1359" s="336" t="s">
        <v>43</v>
      </c>
      <c r="H1359" s="383">
        <v>45322</v>
      </c>
      <c r="I1359" s="65" t="s">
        <v>75</v>
      </c>
      <c r="J1359" s="349" t="s">
        <v>1216</v>
      </c>
      <c r="K1359" s="336">
        <f>IFERROR(VLOOKUP(J1359,Jueces!$A$1:$B$11,2,FALSE),"")</f>
        <v>1</v>
      </c>
      <c r="L1359" s="63" t="s">
        <v>791</v>
      </c>
      <c r="M1359" s="63" t="s">
        <v>885</v>
      </c>
      <c r="N1359" s="63" t="s">
        <v>5667</v>
      </c>
      <c r="O1359" s="78" t="str">
        <f ca="1">IF(H1359&lt;&gt;"",IF(H1359&lt;=TODAY(),"SI","NO"),"LIMBO")</f>
        <v>SI</v>
      </c>
      <c r="P1359" s="78" t="str">
        <f>IF($P$1=H1359,"DIASOL", "DIANOSOL")</f>
        <v>DIANOSOL</v>
      </c>
      <c r="Q1359" s="63" t="s">
        <v>897</v>
      </c>
      <c r="R1359" s="63" t="str">
        <f>VLOOKUP($Q1359,Resultados!$A$1:$B$49,2,FALSE)</f>
        <v>Libertad</v>
      </c>
      <c r="S1359" s="63" t="s">
        <v>2499</v>
      </c>
      <c r="T1359" s="81" t="str">
        <f>IF(G1359=$J$1,"SI","NO")</f>
        <v>NO</v>
      </c>
      <c r="U1359" s="81"/>
      <c r="V1359" s="7" t="str">
        <f ca="1">IF(color_Celda(E1359)=12106214,"ROSA",IF(color_Celda(E1359)=65535,"AMARILLO",IF(color_Celda(E1359)=5296274,"VERDE",IF(color_Celda(E1359)=16777215,"BLANCO","NO SE"))))</f>
        <v>ROSA</v>
      </c>
      <c r="W1359" s="63" t="s">
        <v>5668</v>
      </c>
      <c r="X1359" s="63" t="s">
        <v>4891</v>
      </c>
      <c r="Y1359" s="336"/>
      <c r="Z1359" s="336" t="s">
        <v>5361</v>
      </c>
      <c r="AA1359" s="336"/>
      <c r="AB1359" s="336" t="s">
        <v>3258</v>
      </c>
      <c r="AC1359" s="336"/>
    </row>
    <row r="1360" spans="1:29" ht="60" customHeight="1">
      <c r="A1360" s="336">
        <v>1354</v>
      </c>
      <c r="B1360" s="349">
        <v>45303</v>
      </c>
      <c r="C1360" s="568">
        <v>0.45277777777777778</v>
      </c>
      <c r="D1360" s="63" t="s">
        <v>5279</v>
      </c>
      <c r="E1360" s="64" t="s">
        <v>5280</v>
      </c>
      <c r="F1360" s="63">
        <v>2</v>
      </c>
      <c r="G1360" s="336" t="s">
        <v>1434</v>
      </c>
      <c r="H1360" s="383">
        <v>45322</v>
      </c>
      <c r="I1360" s="65" t="s">
        <v>75</v>
      </c>
      <c r="J1360" s="349" t="s">
        <v>33</v>
      </c>
      <c r="K1360" s="336">
        <f>IFERROR(VLOOKUP(J1360,Jueces!$A$1:$B$11,2,FALSE),"")</f>
        <v>4</v>
      </c>
      <c r="L1360" s="63" t="s">
        <v>4791</v>
      </c>
      <c r="M1360" s="63" t="s">
        <v>711</v>
      </c>
      <c r="N1360" s="63" t="s">
        <v>2953</v>
      </c>
      <c r="O1360" s="78" t="str">
        <f ca="1">IF(H1360&lt;&gt;"",IF(H1360&lt;=TODAY(),"SI","NO"),"LIMBO")</f>
        <v>SI</v>
      </c>
      <c r="P1360" s="78" t="str">
        <f>IF($P$1=H1360,"DIASOL", "DIANOSOL")</f>
        <v>DIANOSOL</v>
      </c>
      <c r="Q1360" s="63" t="s">
        <v>902</v>
      </c>
      <c r="R1360" s="63" t="str">
        <f>VLOOKUP($Q1360,Resultados!$A$1:$B$49,2,FALSE)</f>
        <v>Juicio Abreviado</v>
      </c>
      <c r="S1360" s="63" t="s">
        <v>3120</v>
      </c>
      <c r="T1360" s="81" t="str">
        <f>IF(G1360=$J$1,"SI","NO")</f>
        <v>NO</v>
      </c>
      <c r="U1360" s="81"/>
      <c r="V1360" s="7" t="str">
        <f ca="1">IF(color_Celda(E1360)=12106214,"ROSA",IF(color_Celda(E1360)=65535,"AMARILLO",IF(color_Celda(E1360)=5296274,"VERDE",IF(color_Celda(E1360)=16777215,"BLANCO","NO SE"))))</f>
        <v>ROSA</v>
      </c>
      <c r="W1360" s="63" t="s">
        <v>1203</v>
      </c>
      <c r="X1360" s="63" t="s">
        <v>4891</v>
      </c>
      <c r="Y1360" s="336"/>
      <c r="Z1360" s="336" t="s">
        <v>770</v>
      </c>
      <c r="AA1360" s="336"/>
      <c r="AB1360" s="336" t="s">
        <v>1170</v>
      </c>
      <c r="AC1360" s="336"/>
    </row>
    <row r="1361" spans="1:29" ht="60" customHeight="1">
      <c r="A1361" s="336">
        <v>1363</v>
      </c>
      <c r="B1361" s="349">
        <v>45306</v>
      </c>
      <c r="C1361" s="568">
        <v>0.44861111111111113</v>
      </c>
      <c r="D1361" s="63" t="s">
        <v>5304</v>
      </c>
      <c r="E1361" s="64" t="s">
        <v>5305</v>
      </c>
      <c r="F1361" s="63">
        <v>2</v>
      </c>
      <c r="G1361" s="336" t="s">
        <v>5009</v>
      </c>
      <c r="H1361" s="383">
        <v>45322</v>
      </c>
      <c r="I1361" s="65" t="s">
        <v>75</v>
      </c>
      <c r="J1361" s="349" t="s">
        <v>1217</v>
      </c>
      <c r="K1361" s="336">
        <f>IFERROR(VLOOKUP(J1361,Jueces!$A$1:$B$11,2,FALSE),"")</f>
        <v>7</v>
      </c>
      <c r="L1361" s="63" t="s">
        <v>806</v>
      </c>
      <c r="M1361" s="63" t="s">
        <v>1084</v>
      </c>
      <c r="N1361" s="63" t="s">
        <v>4007</v>
      </c>
      <c r="O1361" s="78" t="str">
        <f ca="1">IF(H1361&lt;&gt;"",IF(H1361&lt;=TODAY(),"SI","NO"),"LIMBO")</f>
        <v>SI</v>
      </c>
      <c r="P1361" s="78" t="str">
        <f>IF($P$1=H1361,"DIASOL", "DIANOSOL")</f>
        <v>DIANOSOL</v>
      </c>
      <c r="Q1361" s="63" t="s">
        <v>902</v>
      </c>
      <c r="R1361" s="63" t="str">
        <f>VLOOKUP($Q1361,Resultados!$A$1:$B$49,2,FALSE)</f>
        <v>Juicio Abreviado</v>
      </c>
      <c r="S1361" s="63" t="s">
        <v>4531</v>
      </c>
      <c r="T1361" s="81" t="str">
        <f>IF(G1361=$J$1,"SI","NO")</f>
        <v>NO</v>
      </c>
      <c r="U1361" s="81"/>
      <c r="V1361" s="7" t="str">
        <f ca="1">IF(color_Celda(E1361)=12106214,"ROSA",IF(color_Celda(E1361)=65535,"AMARILLO",IF(color_Celda(E1361)=5296274,"VERDE",IF(color_Celda(E1361)=16777215,"BLANCO","NO SE"))))</f>
        <v>ROSA</v>
      </c>
      <c r="W1361" s="63" t="s">
        <v>2259</v>
      </c>
      <c r="X1361" s="63" t="s">
        <v>4644</v>
      </c>
      <c r="Y1361" s="336"/>
      <c r="Z1361" s="336" t="s">
        <v>5360</v>
      </c>
      <c r="AA1361" s="336"/>
      <c r="AB1361" s="336" t="s">
        <v>3258</v>
      </c>
      <c r="AC1361" s="336"/>
    </row>
    <row r="1362" spans="1:29" ht="60" customHeight="1">
      <c r="A1362" s="336">
        <v>1362</v>
      </c>
      <c r="B1362" s="349">
        <v>45306</v>
      </c>
      <c r="C1362" s="568">
        <v>0.44375000000000003</v>
      </c>
      <c r="D1362" s="63" t="s">
        <v>5302</v>
      </c>
      <c r="E1362" s="64" t="s">
        <v>5303</v>
      </c>
      <c r="F1362" s="63">
        <v>2</v>
      </c>
      <c r="G1362" s="336" t="s">
        <v>3791</v>
      </c>
      <c r="H1362" s="383">
        <v>45322</v>
      </c>
      <c r="I1362" s="65" t="s">
        <v>77</v>
      </c>
      <c r="J1362" s="349" t="s">
        <v>33</v>
      </c>
      <c r="K1362" s="336">
        <f>IFERROR(VLOOKUP(J1362,Jueces!$A$1:$B$11,2,FALSE),"")</f>
        <v>4</v>
      </c>
      <c r="L1362" s="63" t="s">
        <v>4778</v>
      </c>
      <c r="M1362" s="63" t="s">
        <v>711</v>
      </c>
      <c r="N1362" s="63" t="s">
        <v>621</v>
      </c>
      <c r="O1362" s="78" t="str">
        <f ca="1">IF(H1362&lt;&gt;"",IF(H1362&lt;=TODAY(),"SI","NO"),"LIMBO")</f>
        <v>SI</v>
      </c>
      <c r="P1362" s="78" t="str">
        <f>IF($P$1=H1362,"DIASOL", "DIANOSOL")</f>
        <v>DIANOSOL</v>
      </c>
      <c r="Q1362" s="63" t="s">
        <v>151</v>
      </c>
      <c r="R1362" s="63" t="str">
        <f>VLOOKUP($Q1362,Resultados!$A$1:$B$49,2,FALSE)</f>
        <v>Prisión Preventiva</v>
      </c>
      <c r="S1362" s="63" t="s">
        <v>4262</v>
      </c>
      <c r="T1362" s="81" t="str">
        <f>IF(G1362=$J$1,"SI","NO")</f>
        <v>NO</v>
      </c>
      <c r="U1362" s="81"/>
      <c r="V1362" s="7" t="str">
        <f ca="1">IF(color_Celda(E1362)=12106214,"ROSA",IF(color_Celda(E1362)=65535,"AMARILLO",IF(color_Celda(E1362)=5296274,"VERDE",IF(color_Celda(E1362)=16777215,"BLANCO","NO SE"))))</f>
        <v>ROSA</v>
      </c>
      <c r="W1362" s="63" t="s">
        <v>74</v>
      </c>
      <c r="X1362" s="63" t="s">
        <v>4891</v>
      </c>
      <c r="Y1362" s="336"/>
      <c r="Z1362" s="336" t="s">
        <v>770</v>
      </c>
      <c r="AA1362" s="336"/>
      <c r="AB1362" s="336" t="s">
        <v>1170</v>
      </c>
      <c r="AC1362" s="336"/>
    </row>
    <row r="1363" spans="1:29" ht="60" customHeight="1">
      <c r="A1363" s="336">
        <v>1356</v>
      </c>
      <c r="B1363" s="349">
        <v>45306</v>
      </c>
      <c r="C1363" s="568">
        <v>0.375</v>
      </c>
      <c r="D1363" s="63" t="s">
        <v>5291</v>
      </c>
      <c r="E1363" s="64" t="s">
        <v>5292</v>
      </c>
      <c r="F1363" s="63">
        <v>2</v>
      </c>
      <c r="G1363" s="336" t="s">
        <v>4934</v>
      </c>
      <c r="H1363" s="383">
        <v>45322</v>
      </c>
      <c r="I1363" s="65" t="s">
        <v>228</v>
      </c>
      <c r="J1363" s="349" t="s">
        <v>1217</v>
      </c>
      <c r="K1363" s="336">
        <f>IFERROR(VLOOKUP(J1363,Jueces!$A$1:$B$11,2,FALSE),"")</f>
        <v>7</v>
      </c>
      <c r="L1363" s="63" t="s">
        <v>806</v>
      </c>
      <c r="M1363" s="63" t="s">
        <v>711</v>
      </c>
      <c r="N1363" s="63" t="s">
        <v>5666</v>
      </c>
      <c r="O1363" s="78" t="str">
        <f ca="1">IF(H1363&lt;&gt;"",IF(H1363&lt;=TODAY(),"SI","NO"),"LIMBO")</f>
        <v>SI</v>
      </c>
      <c r="P1363" s="78" t="str">
        <f>IF($P$1=H1363,"DIASOL", "DIANOSOL")</f>
        <v>DIANOSOL</v>
      </c>
      <c r="Q1363" s="63" t="s">
        <v>902</v>
      </c>
      <c r="R1363" s="63" t="str">
        <f>VLOOKUP($Q1363,Resultados!$A$1:$B$49,2,FALSE)</f>
        <v>Juicio Abreviado</v>
      </c>
      <c r="S1363" s="63" t="s">
        <v>2011</v>
      </c>
      <c r="T1363" s="81" t="str">
        <f>IF(G1363=$J$1,"SI","NO")</f>
        <v>NO</v>
      </c>
      <c r="U1363" s="81"/>
      <c r="V1363" s="7" t="str">
        <f ca="1">IF(color_Celda(E1363)=12106214,"ROSA",IF(color_Celda(E1363)=65535,"AMARILLO",IF(color_Celda(E1363)=5296274,"VERDE",IF(color_Celda(E1363)=16777215,"BLANCO","NO SE"))))</f>
        <v>ROSA</v>
      </c>
      <c r="W1363" s="63" t="s">
        <v>5543</v>
      </c>
      <c r="X1363" s="63" t="s">
        <v>4644</v>
      </c>
      <c r="Y1363" s="336"/>
      <c r="Z1363" s="336" t="s">
        <v>5360</v>
      </c>
      <c r="AA1363" s="336"/>
      <c r="AB1363" s="336" t="s">
        <v>3258</v>
      </c>
      <c r="AC1363" s="336"/>
    </row>
    <row r="1364" spans="1:29" ht="60" customHeight="1">
      <c r="A1364" s="336">
        <v>1344</v>
      </c>
      <c r="B1364" s="349">
        <v>45302</v>
      </c>
      <c r="C1364" s="568">
        <v>0.39374999999999999</v>
      </c>
      <c r="D1364" s="63" t="s">
        <v>5216</v>
      </c>
      <c r="E1364" s="64" t="s">
        <v>5217</v>
      </c>
      <c r="F1364" s="63">
        <v>2</v>
      </c>
      <c r="G1364" s="336" t="s">
        <v>1433</v>
      </c>
      <c r="H1364" s="383">
        <v>45323</v>
      </c>
      <c r="I1364" s="65" t="s">
        <v>73</v>
      </c>
      <c r="J1364" s="349" t="s">
        <v>31</v>
      </c>
      <c r="K1364" s="336">
        <f>IFERROR(VLOOKUP(J1364,Jueces!$A$1:$B$11,2,FALSE),"")</f>
        <v>2</v>
      </c>
      <c r="L1364" s="63" t="s">
        <v>802</v>
      </c>
      <c r="M1364" s="63" t="s">
        <v>1344</v>
      </c>
      <c r="N1364" s="63" t="s">
        <v>5726</v>
      </c>
      <c r="O1364" s="63" t="str">
        <f ca="1">IF(H1364&lt;&gt;"",IF(H1364&lt;=TODAY(),"SI","NO"),"LIMBO")</f>
        <v>SI</v>
      </c>
      <c r="P1364" s="63" t="str">
        <f>IF($P$1=H1364,"DIASOL", "DIANOSOL")</f>
        <v>DIANOSOL</v>
      </c>
      <c r="Q1364" s="63" t="s">
        <v>902</v>
      </c>
      <c r="R1364" s="63" t="str">
        <f>VLOOKUP($Q1364,Resultados!$A$1:$B$49,2,FALSE)</f>
        <v>Juicio Abreviado</v>
      </c>
      <c r="S1364" s="63"/>
      <c r="T1364" s="72" t="str">
        <f>IF(G1364=$J$1,"SI","NO")</f>
        <v>NO</v>
      </c>
      <c r="U1364" s="72"/>
      <c r="V1364" s="7" t="str">
        <f ca="1">IF(color_Celda(E1364)=12106214,"ROSA",IF(color_Celda(E1364)=65535,"AMARILLO",IF(color_Celda(E1364)=5296274,"VERDE",IF(color_Celda(E1364)=16777215,"BLANCO","NO SE"))))</f>
        <v>ROSA</v>
      </c>
      <c r="W1364" s="336"/>
      <c r="X1364" s="336"/>
      <c r="Y1364" s="336"/>
      <c r="Z1364" s="336" t="s">
        <v>3368</v>
      </c>
      <c r="AA1364" s="336" t="s">
        <v>1167</v>
      </c>
      <c r="AB1364" s="336" t="s">
        <v>1169</v>
      </c>
      <c r="AC1364" s="336"/>
    </row>
    <row r="1365" spans="1:29" ht="60" customHeight="1">
      <c r="A1365" s="336">
        <v>1374</v>
      </c>
      <c r="B1365" s="349">
        <v>45308</v>
      </c>
      <c r="C1365" s="63" t="s">
        <v>1240</v>
      </c>
      <c r="D1365" s="63" t="s">
        <v>5373</v>
      </c>
      <c r="E1365" s="64" t="s">
        <v>5374</v>
      </c>
      <c r="F1365" s="63">
        <v>7</v>
      </c>
      <c r="G1365" s="336" t="s">
        <v>29</v>
      </c>
      <c r="H1365" s="383">
        <v>45323</v>
      </c>
      <c r="I1365" s="65" t="s">
        <v>73</v>
      </c>
      <c r="J1365" s="349" t="s">
        <v>35</v>
      </c>
      <c r="K1365" s="63">
        <v>3</v>
      </c>
      <c r="L1365" s="63" t="s">
        <v>806</v>
      </c>
      <c r="M1365" s="63" t="s">
        <v>885</v>
      </c>
      <c r="N1365" s="63" t="s">
        <v>5705</v>
      </c>
      <c r="O1365" s="78" t="str">
        <f ca="1">IF(H1365&lt;&gt;"",IF(H1365&lt;=TODAY(),"SI","NO"),"LIMBO")</f>
        <v>SI</v>
      </c>
      <c r="P1365" s="78" t="str">
        <f>IF($P$1=H1365,"DIASOL", "DIANOSOL")</f>
        <v>DIANOSOL</v>
      </c>
      <c r="Q1365" s="63" t="s">
        <v>897</v>
      </c>
      <c r="R1365" s="63" t="str">
        <f>VLOOKUP($Q1365,Resultados!$A$1:$B$49,2,FALSE)</f>
        <v>Libertad</v>
      </c>
      <c r="S1365" s="63" t="s">
        <v>749</v>
      </c>
      <c r="T1365" s="81" t="str">
        <f>IF(G1365=$J$1,"SI","NO")</f>
        <v>NO</v>
      </c>
      <c r="U1365" s="81"/>
      <c r="V1365" s="7" t="str">
        <f ca="1">IF(color_Celda(E1365)=12106214,"ROSA",IF(color_Celda(E1365)=65535,"AMARILLO",IF(color_Celda(E1365)=5296274,"VERDE",IF(color_Celda(E1365)=16777215,"BLANCO","NO SE"))))</f>
        <v>ROSA</v>
      </c>
      <c r="W1365" s="63" t="s">
        <v>1287</v>
      </c>
      <c r="X1365" s="336"/>
      <c r="Y1365" s="336"/>
      <c r="Z1365" s="336" t="s">
        <v>748</v>
      </c>
      <c r="AA1365" s="336" t="s">
        <v>3378</v>
      </c>
      <c r="AB1365" s="336" t="s">
        <v>3258</v>
      </c>
      <c r="AC1365" s="336"/>
    </row>
    <row r="1366" spans="1:29" ht="60" customHeight="1">
      <c r="A1366" s="336">
        <v>1382</v>
      </c>
      <c r="B1366" s="349">
        <v>45310</v>
      </c>
      <c r="C1366" s="63" t="s">
        <v>1674</v>
      </c>
      <c r="D1366" s="63" t="s">
        <v>5426</v>
      </c>
      <c r="E1366" s="64" t="s">
        <v>5427</v>
      </c>
      <c r="F1366" s="63">
        <v>2</v>
      </c>
      <c r="G1366" s="336" t="s">
        <v>3791</v>
      </c>
      <c r="H1366" s="383">
        <v>45323</v>
      </c>
      <c r="I1366" s="65" t="s">
        <v>73</v>
      </c>
      <c r="J1366" s="349" t="s">
        <v>4931</v>
      </c>
      <c r="K1366" s="63" t="s">
        <v>2324</v>
      </c>
      <c r="L1366" s="63" t="s">
        <v>789</v>
      </c>
      <c r="M1366" s="63" t="s">
        <v>1084</v>
      </c>
      <c r="N1366" s="63" t="s">
        <v>3046</v>
      </c>
      <c r="O1366" s="78" t="str">
        <f ca="1">IF(H1366&lt;&gt;"",IF(H1366&lt;=TODAY(),"SI","NO"),"LIMBO")</f>
        <v>SI</v>
      </c>
      <c r="P1366" s="78" t="str">
        <f>IF($P$1=H1366,"DIASOL", "DIANOSOL")</f>
        <v>DIANOSOL</v>
      </c>
      <c r="Q1366" s="63" t="s">
        <v>903</v>
      </c>
      <c r="R1366" s="63" t="str">
        <f>VLOOKUP($Q1366,Resultados!$A$1:$B$49,2,FALSE)</f>
        <v>Juicio Abreviado</v>
      </c>
      <c r="S1366" s="63" t="s">
        <v>2659</v>
      </c>
      <c r="T1366" s="81" t="str">
        <f>IF(G1366=$J$1,"SI","NO")</f>
        <v>NO</v>
      </c>
      <c r="U1366" s="81"/>
      <c r="V1366" s="7" t="str">
        <f ca="1">IF(color_Celda(E1366)=12106214,"ROSA",IF(color_Celda(E1366)=65535,"AMARILLO",IF(color_Celda(E1366)=5296274,"VERDE",IF(color_Celda(E1366)=16777215,"BLANCO","NO SE"))))</f>
        <v>ROSA</v>
      </c>
      <c r="W1366" s="63" t="s">
        <v>1007</v>
      </c>
      <c r="X1366" s="63" t="s">
        <v>5706</v>
      </c>
      <c r="Y1366" s="336"/>
      <c r="Z1366" s="336" t="s">
        <v>743</v>
      </c>
      <c r="AA1366" s="63" t="s">
        <v>2828</v>
      </c>
      <c r="AB1366" s="336" t="s">
        <v>1171</v>
      </c>
      <c r="AC1366" s="336"/>
    </row>
    <row r="1367" spans="1:29" ht="60" customHeight="1">
      <c r="A1367" s="336">
        <v>1328</v>
      </c>
      <c r="B1367" s="349">
        <v>45300</v>
      </c>
      <c r="C1367" s="568">
        <v>0.41250000000000003</v>
      </c>
      <c r="D1367" s="63" t="s">
        <v>1268</v>
      </c>
      <c r="E1367" s="64" t="s">
        <v>5188</v>
      </c>
      <c r="F1367" s="63">
        <v>2</v>
      </c>
      <c r="G1367" s="336" t="s">
        <v>2815</v>
      </c>
      <c r="H1367" s="383">
        <v>45323</v>
      </c>
      <c r="I1367" s="65" t="s">
        <v>1083</v>
      </c>
      <c r="J1367" s="349" t="s">
        <v>31</v>
      </c>
      <c r="K1367" s="336">
        <f>IFERROR(VLOOKUP(J1367,Jueces!$A$1:$B$11,2,FALSE),"")</f>
        <v>2</v>
      </c>
      <c r="L1367" s="63" t="s">
        <v>4784</v>
      </c>
      <c r="M1367" s="63" t="s">
        <v>1280</v>
      </c>
      <c r="N1367" s="63" t="s">
        <v>2100</v>
      </c>
      <c r="O1367" s="63" t="str">
        <f ca="1">IF(H1367&lt;&gt;"",IF(H1367&lt;=TODAY(),"SI","NO"),"LIMBO")</f>
        <v>SI</v>
      </c>
      <c r="P1367" s="63" t="str">
        <f>IF($P$1=H1367,"DIASOL", "DIANOSOL")</f>
        <v>DIANOSOL</v>
      </c>
      <c r="Q1367" s="63" t="s">
        <v>151</v>
      </c>
      <c r="R1367" s="63" t="s">
        <v>151</v>
      </c>
      <c r="S1367" s="63" t="s">
        <v>1275</v>
      </c>
      <c r="T1367" s="72" t="str">
        <f>IF(G1367=$J$1,"SI","NO")</f>
        <v>NO</v>
      </c>
      <c r="U1367" s="72"/>
      <c r="V1367" s="7" t="str">
        <f ca="1">IF(color_Celda(E1367)=12106214,"ROSA",IF(color_Celda(E1367)=65535,"AMARILLO",IF(color_Celda(E1367)=5296274,"VERDE",IF(color_Celda(E1367)=16777215,"BLANCO","NO SE"))))</f>
        <v>ROSA</v>
      </c>
      <c r="W1367" s="63" t="s">
        <v>2662</v>
      </c>
      <c r="X1367" s="336"/>
      <c r="Y1367" s="336"/>
      <c r="Z1367" s="336" t="s">
        <v>3368</v>
      </c>
      <c r="AA1367" s="336" t="s">
        <v>2869</v>
      </c>
      <c r="AB1367" s="336" t="s">
        <v>1173</v>
      </c>
      <c r="AC1367" s="336"/>
    </row>
    <row r="1368" spans="1:29" ht="60" customHeight="1">
      <c r="A1368" s="336">
        <v>1436</v>
      </c>
      <c r="B1368" s="349">
        <v>45302</v>
      </c>
      <c r="C1368" s="568">
        <v>0.4597222222222222</v>
      </c>
      <c r="D1368" s="336" t="s">
        <v>5225</v>
      </c>
      <c r="E1368" s="355" t="s">
        <v>5226</v>
      </c>
      <c r="F1368" s="336">
        <v>1</v>
      </c>
      <c r="G1368" s="63" t="s">
        <v>2766</v>
      </c>
      <c r="H1368" s="383">
        <v>45323</v>
      </c>
      <c r="I1368" s="65" t="s">
        <v>1083</v>
      </c>
      <c r="J1368" s="349" t="s">
        <v>1217</v>
      </c>
      <c r="K1368" s="336">
        <f>IFERROR(VLOOKUP(J1368,Jueces!$A$1:$B$11,2,FALSE),"")</f>
        <v>7</v>
      </c>
      <c r="L1368" s="63" t="s">
        <v>4782</v>
      </c>
      <c r="M1368" s="63" t="s">
        <v>725</v>
      </c>
      <c r="N1368" s="63" t="s">
        <v>577</v>
      </c>
      <c r="O1368" s="63" t="str">
        <f ca="1">IF(H1368&lt;&gt;"",IF(H1368&lt;=TODAY(),"SI","NO"),"LIMBO")</f>
        <v>SI</v>
      </c>
      <c r="P1368" s="63" t="str">
        <f>IF($P$1=H1368,"DIASOL", "DIANOSOL")</f>
        <v>DIANOSOL</v>
      </c>
      <c r="Q1368" s="63" t="s">
        <v>151</v>
      </c>
      <c r="R1368" s="63" t="str">
        <f>VLOOKUP($Q1368,Resultados!$A$1:$B$49,2,FALSE)</f>
        <v>Prisión Preventiva</v>
      </c>
      <c r="S1368" s="63" t="s">
        <v>1134</v>
      </c>
      <c r="T1368" s="72" t="str">
        <f>IF(G1368=$J$1,"SI","NO")</f>
        <v>NO</v>
      </c>
      <c r="U1368" s="72"/>
      <c r="V1368" s="7" t="str">
        <f ca="1">IF(color_Celda(E1368)=12106214,"ROSA",IF(color_Celda(E1368)=65535,"AMARILLO",IF(color_Celda(E1368)=5296274,"VERDE",IF(color_Celda(E1368)=16777215,"BLANCO","NO SE"))))</f>
        <v>ROSA</v>
      </c>
      <c r="W1368" s="63" t="s">
        <v>2878</v>
      </c>
      <c r="X1368" s="336"/>
      <c r="Y1368" s="336"/>
      <c r="Z1368" s="336" t="s">
        <v>1038</v>
      </c>
      <c r="AA1368" s="63" t="s">
        <v>3378</v>
      </c>
      <c r="AB1368" s="336" t="s">
        <v>3258</v>
      </c>
      <c r="AC1368" s="336"/>
    </row>
    <row r="1369" spans="1:29" ht="60" customHeight="1">
      <c r="A1369" s="336">
        <v>1372</v>
      </c>
      <c r="B1369" s="349">
        <v>45306</v>
      </c>
      <c r="C1369" s="70" t="s">
        <v>5364</v>
      </c>
      <c r="D1369" s="63" t="s">
        <v>5363</v>
      </c>
      <c r="E1369" s="64" t="s">
        <v>5632</v>
      </c>
      <c r="F1369" s="336">
        <v>1</v>
      </c>
      <c r="G1369" s="336" t="s">
        <v>568</v>
      </c>
      <c r="H1369" s="383">
        <v>45323</v>
      </c>
      <c r="I1369" s="65" t="s">
        <v>1083</v>
      </c>
      <c r="J1369" s="349" t="s">
        <v>4746</v>
      </c>
      <c r="K1369" s="63" t="s">
        <v>1916</v>
      </c>
      <c r="L1369" s="63" t="s">
        <v>4780</v>
      </c>
      <c r="M1369" s="63" t="s">
        <v>1084</v>
      </c>
      <c r="N1369" s="63" t="s">
        <v>621</v>
      </c>
      <c r="O1369" s="78" t="str">
        <f ca="1">IF(H1369&lt;&gt;"",IF(H1369&lt;=TODAY(),"SI","NO"),"LIMBO")</f>
        <v>SI</v>
      </c>
      <c r="P1369" s="78" t="str">
        <f>IF($P$1=H1369,"DIASOL", "DIANOSOL")</f>
        <v>DIANOSOL</v>
      </c>
      <c r="Q1369" s="63" t="s">
        <v>151</v>
      </c>
      <c r="R1369" s="63" t="str">
        <f>VLOOKUP($Q1369,Resultados!$A$1:$B$49,2,FALSE)</f>
        <v>Prisión Preventiva</v>
      </c>
      <c r="S1369" s="63" t="s">
        <v>76</v>
      </c>
      <c r="T1369" s="81" t="str">
        <f>IF(G1369=$J$1,"SI","NO")</f>
        <v>NO</v>
      </c>
      <c r="U1369" s="81"/>
      <c r="V1369" s="7" t="str">
        <f ca="1">IF(color_Celda(E1369)=12106214,"ROSA",IF(color_Celda(E1369)=65535,"AMARILLO",IF(color_Celda(E1369)=5296274,"VERDE",IF(color_Celda(E1369)=16777215,"BLANCO","NO SE"))))</f>
        <v>ROSA</v>
      </c>
      <c r="W1369" s="63" t="s">
        <v>1239</v>
      </c>
      <c r="X1369" s="63" t="s">
        <v>4644</v>
      </c>
      <c r="Y1369" s="336"/>
      <c r="Z1369" s="336" t="s">
        <v>770</v>
      </c>
      <c r="AA1369" s="336" t="s">
        <v>2828</v>
      </c>
      <c r="AB1369" s="336" t="s">
        <v>1170</v>
      </c>
      <c r="AC1369" s="336"/>
    </row>
    <row r="1370" spans="1:29" ht="60" customHeight="1">
      <c r="A1370" s="336">
        <v>1375</v>
      </c>
      <c r="B1370" s="349">
        <v>45309</v>
      </c>
      <c r="C1370" s="63" t="s">
        <v>3244</v>
      </c>
      <c r="D1370" s="63" t="s">
        <v>5389</v>
      </c>
      <c r="E1370" s="64" t="s">
        <v>5390</v>
      </c>
      <c r="F1370" s="336">
        <v>3</v>
      </c>
      <c r="G1370" s="336" t="s">
        <v>1435</v>
      </c>
      <c r="H1370" s="383">
        <v>45323</v>
      </c>
      <c r="I1370" s="65" t="s">
        <v>1083</v>
      </c>
      <c r="J1370" s="349" t="s">
        <v>1216</v>
      </c>
      <c r="K1370" s="336">
        <f>IFERROR(VLOOKUP(J1370,Jueces!$A$1:$B$11,2,FALSE),"")</f>
        <v>1</v>
      </c>
      <c r="L1370" s="63" t="s">
        <v>4790</v>
      </c>
      <c r="M1370" s="63" t="s">
        <v>712</v>
      </c>
      <c r="N1370" s="63" t="s">
        <v>5702</v>
      </c>
      <c r="O1370" s="63" t="str">
        <f ca="1">IF(H1370&lt;&gt;"",IF(H1370&lt;=TODAY(),"SI","NO"),"LIMBO")</f>
        <v>SI</v>
      </c>
      <c r="P1370" s="63" t="str">
        <f>IF($P$1=H1370,"DIASOL", "DIANOSOL")</f>
        <v>DIANOSOL</v>
      </c>
      <c r="Q1370" s="63" t="s">
        <v>1010</v>
      </c>
      <c r="R1370" s="63" t="str">
        <f>VLOOKUP($Q1370,Resultados!$A$1:$B$49,2,FALSE)</f>
        <v>Suspendida</v>
      </c>
      <c r="S1370" s="63"/>
      <c r="T1370" s="72" t="str">
        <f>IF(G1370=$J$1,"SI","NO")</f>
        <v>SI</v>
      </c>
      <c r="U1370" s="72"/>
      <c r="V1370" s="7" t="str">
        <f ca="1">IF(color_Celda(E1370)=12106214,"ROSA",IF(color_Celda(E1370)=65535,"AMARILLO",IF(color_Celda(E1370)=5296274,"VERDE",IF(color_Celda(E1370)=16777215,"BLANCO","NO SE"))))</f>
        <v>ROSA</v>
      </c>
      <c r="W1370" s="336"/>
      <c r="X1370" s="336"/>
      <c r="Y1370" s="336"/>
      <c r="Z1370" s="336" t="s">
        <v>743</v>
      </c>
      <c r="AA1370" s="336" t="s">
        <v>1167</v>
      </c>
      <c r="AB1370" s="336" t="s">
        <v>1169</v>
      </c>
      <c r="AC1370" s="336"/>
    </row>
    <row r="1371" spans="1:29" ht="60" customHeight="1">
      <c r="A1371" s="336">
        <v>1385</v>
      </c>
      <c r="B1371" s="349">
        <v>45308</v>
      </c>
      <c r="C1371" s="568">
        <v>0.54166666666666663</v>
      </c>
      <c r="D1371" s="63" t="s">
        <v>5433</v>
      </c>
      <c r="E1371" s="64" t="s">
        <v>5434</v>
      </c>
      <c r="F1371" s="63">
        <v>8</v>
      </c>
      <c r="G1371" s="336" t="s">
        <v>3324</v>
      </c>
      <c r="H1371" s="383">
        <v>45323</v>
      </c>
      <c r="I1371" s="65" t="s">
        <v>1206</v>
      </c>
      <c r="J1371" s="349" t="s">
        <v>35</v>
      </c>
      <c r="K1371" s="336">
        <f>IFERROR(VLOOKUP(J1371,Jueces!$A$1:$B$11,2,FALSE),"")</f>
        <v>3</v>
      </c>
      <c r="L1371" s="63" t="s">
        <v>4777</v>
      </c>
      <c r="M1371" s="63" t="s">
        <v>1084</v>
      </c>
      <c r="N1371" s="63" t="s">
        <v>5727</v>
      </c>
      <c r="O1371" s="63" t="str">
        <f ca="1">IF(H1371&lt;&gt;"",IF(H1371&lt;=TODAY(),"SI","NO"),"LIMBO")</f>
        <v>SI</v>
      </c>
      <c r="P1371" s="63" t="str">
        <f>IF($P$1=H1371,"DIASOL", "DIANOSOL")</f>
        <v>DIANOSOL</v>
      </c>
      <c r="Q1371" s="63" t="s">
        <v>903</v>
      </c>
      <c r="R1371" s="63" t="str">
        <f>VLOOKUP($Q1371,Resultados!$A$1:$B$49,2,FALSE)</f>
        <v>Juicio Abreviado</v>
      </c>
      <c r="S1371" s="63"/>
      <c r="T1371" s="72" t="str">
        <f>IF(G1371=$J$1,"SI","NO")</f>
        <v>NO</v>
      </c>
      <c r="U1371" s="72"/>
      <c r="V1371" s="7" t="str">
        <f ca="1">IF(color_Celda(E1371)=12106214,"ROSA",IF(color_Celda(E1371)=65535,"AMARILLO",IF(color_Celda(E1371)=5296274,"VERDE",IF(color_Celda(E1371)=16777215,"BLANCO","NO SE"))))</f>
        <v>ROSA</v>
      </c>
      <c r="W1371" s="336"/>
      <c r="X1371" s="336"/>
      <c r="Y1371" s="336"/>
      <c r="Z1371" s="336" t="s">
        <v>748</v>
      </c>
      <c r="AA1371" s="336" t="s">
        <v>2828</v>
      </c>
      <c r="AB1371" s="336" t="s">
        <v>1171</v>
      </c>
      <c r="AC1371" s="336"/>
    </row>
    <row r="1372" spans="1:29" ht="60" customHeight="1">
      <c r="A1372" s="336">
        <v>1364</v>
      </c>
      <c r="B1372" s="349">
        <v>45306</v>
      </c>
      <c r="C1372" s="568">
        <v>0.4604166666666667</v>
      </c>
      <c r="D1372" s="325" t="s">
        <v>3039</v>
      </c>
      <c r="E1372" s="64" t="s">
        <v>5673</v>
      </c>
      <c r="F1372" s="63">
        <v>1</v>
      </c>
      <c r="G1372" s="336" t="s">
        <v>1434</v>
      </c>
      <c r="H1372" s="383">
        <v>45323</v>
      </c>
      <c r="I1372" s="65" t="s">
        <v>547</v>
      </c>
      <c r="J1372" s="349" t="s">
        <v>35</v>
      </c>
      <c r="K1372" s="336">
        <v>3</v>
      </c>
      <c r="L1372" s="63" t="s">
        <v>4791</v>
      </c>
      <c r="M1372" s="63" t="s">
        <v>711</v>
      </c>
      <c r="N1372" s="63" t="s">
        <v>5729</v>
      </c>
      <c r="O1372" s="63" t="str">
        <f ca="1">IF(H1372&lt;&gt;"",IF(H1372&lt;=TODAY(),"SI","NO"),"LIMBO")</f>
        <v>SI</v>
      </c>
      <c r="P1372" s="63" t="str">
        <f>IF($P$1=H1372,"DIASOL", "DIANOSOL")</f>
        <v>DIANOSOL</v>
      </c>
      <c r="Q1372" s="63" t="s">
        <v>911</v>
      </c>
      <c r="R1372" s="63" t="str">
        <f>VLOOKUP($Q1372,Resultados!$A$1:$B$49,2,FALSE)</f>
        <v>Prision domiciliaria</v>
      </c>
      <c r="S1372" s="63"/>
      <c r="T1372" s="72" t="str">
        <f>IF(G1372=$J$1,"SI","NO")</f>
        <v>NO</v>
      </c>
      <c r="U1372" s="72"/>
      <c r="V1372" s="7" t="str">
        <f ca="1">IF(color_Celda(E1372)=12106214,"ROSA",IF(color_Celda(E1372)=65535,"AMARILLO",IF(color_Celda(E1372)=5296274,"VERDE",IF(color_Celda(E1372)=16777215,"BLANCO","NO SE"))))</f>
        <v>ROSA</v>
      </c>
      <c r="W1372" s="336"/>
      <c r="X1372" s="336"/>
      <c r="Y1372" s="336"/>
      <c r="Z1372" s="336" t="s">
        <v>748</v>
      </c>
      <c r="AA1372" s="336" t="s">
        <v>2869</v>
      </c>
      <c r="AB1372" s="336" t="s">
        <v>1173</v>
      </c>
      <c r="AC1372" s="336" t="s">
        <v>1792</v>
      </c>
    </row>
    <row r="1373" spans="1:29" ht="60" customHeight="1">
      <c r="A1373" s="336">
        <v>1358</v>
      </c>
      <c r="B1373" s="349">
        <v>45306</v>
      </c>
      <c r="C1373" s="568">
        <v>0.42430555555555555</v>
      </c>
      <c r="D1373" s="63" t="s">
        <v>5294</v>
      </c>
      <c r="E1373" s="64" t="s">
        <v>5295</v>
      </c>
      <c r="F1373" s="63">
        <v>1</v>
      </c>
      <c r="G1373" s="336" t="s">
        <v>2815</v>
      </c>
      <c r="H1373" s="208">
        <v>45324</v>
      </c>
      <c r="I1373" s="65" t="s">
        <v>73</v>
      </c>
      <c r="J1373" s="349" t="s">
        <v>35</v>
      </c>
      <c r="K1373" s="336">
        <f>IFERROR(VLOOKUP(J1373,Jueces!$A$1:$B$11,2,FALSE),"")</f>
        <v>3</v>
      </c>
      <c r="L1373" s="63" t="s">
        <v>4777</v>
      </c>
      <c r="M1373" s="63" t="s">
        <v>700</v>
      </c>
      <c r="N1373" s="63" t="s">
        <v>577</v>
      </c>
      <c r="O1373" s="78" t="str">
        <f ca="1">IF(H1373&lt;&gt;"",IF(H1373&lt;=TODAY(),"SI","NO"),"LIMBO")</f>
        <v>SI</v>
      </c>
      <c r="P1373" s="78" t="str">
        <f>IF($P$1=H1373,"DIASOL", "DIANOSOL")</f>
        <v>DIANOSOL</v>
      </c>
      <c r="Q1373" s="63" t="s">
        <v>151</v>
      </c>
      <c r="R1373" s="63" t="s">
        <v>151</v>
      </c>
      <c r="S1373" s="63" t="s">
        <v>1125</v>
      </c>
      <c r="T1373" s="81" t="str">
        <f>IF(G1373=$J$1,"SI","NO")</f>
        <v>NO</v>
      </c>
      <c r="U1373" s="81"/>
      <c r="V1373" s="7" t="str">
        <f ca="1">IF(color_Celda(E1373)=12106214,"ROSA",IF(color_Celda(E1373)=65535,"AMARILLO",IF(color_Celda(E1373)=5296274,"VERDE",IF(color_Celda(E1373)=16777215,"BLANCO","NO SE"))))</f>
        <v>ROSA</v>
      </c>
      <c r="W1373" s="63" t="s">
        <v>2366</v>
      </c>
      <c r="X1373" s="63" t="s">
        <v>5737</v>
      </c>
      <c r="Y1373" s="336"/>
      <c r="Z1373" s="63" t="s">
        <v>3368</v>
      </c>
      <c r="AA1373" s="336" t="s">
        <v>3379</v>
      </c>
      <c r="AB1373" s="63" t="s">
        <v>1170</v>
      </c>
      <c r="AC1373" s="336"/>
    </row>
    <row r="1374" spans="1:29" ht="60" customHeight="1">
      <c r="A1374" s="336">
        <v>1378</v>
      </c>
      <c r="B1374" s="349">
        <v>45310</v>
      </c>
      <c r="C1374" s="63" t="s">
        <v>73</v>
      </c>
      <c r="D1374" s="63" t="s">
        <v>5408</v>
      </c>
      <c r="E1374" s="64" t="s">
        <v>5728</v>
      </c>
      <c r="F1374" s="336">
        <v>2</v>
      </c>
      <c r="G1374" s="336" t="s">
        <v>3324</v>
      </c>
      <c r="H1374" s="383">
        <v>45324</v>
      </c>
      <c r="I1374" s="65" t="s">
        <v>73</v>
      </c>
      <c r="J1374" s="349" t="s">
        <v>31</v>
      </c>
      <c r="K1374" s="336">
        <f>IFERROR(VLOOKUP(J1374,Jueces!$A$1:$B$11,2,FALSE),"")</f>
        <v>2</v>
      </c>
      <c r="L1374" s="63" t="s">
        <v>4778</v>
      </c>
      <c r="M1374" s="63" t="s">
        <v>711</v>
      </c>
      <c r="N1374" s="63" t="s">
        <v>897</v>
      </c>
      <c r="O1374" s="63" t="str">
        <f ca="1">IF(H1374&lt;&gt;"",IF(H1374&lt;=TODAY(),"SI","NO"),"LIMBO")</f>
        <v>SI</v>
      </c>
      <c r="P1374" s="63" t="str">
        <f>IF($P$1=H1374,"DIASOL", "DIANOSOL")</f>
        <v>DIANOSOL</v>
      </c>
      <c r="Q1374" s="63" t="s">
        <v>897</v>
      </c>
      <c r="R1374" s="63" t="str">
        <f>VLOOKUP($Q1374,Resultados!$A$1:$B$49,2,FALSE)</f>
        <v>Libertad</v>
      </c>
      <c r="S1374" s="70" t="s">
        <v>749</v>
      </c>
      <c r="T1374" s="72" t="str">
        <f>IF(G1374=$J$1,"SI","NO")</f>
        <v>NO</v>
      </c>
      <c r="U1374" s="72"/>
      <c r="V1374" s="7" t="str">
        <f ca="1">IF(color_Celda(E1374)=12106214,"ROSA",IF(color_Celda(E1374)=65535,"AMARILLO",IF(color_Celda(E1374)=5296274,"VERDE",IF(color_Celda(E1374)=16777215,"BLANCO","NO SE"))))</f>
        <v>ROSA</v>
      </c>
      <c r="W1374" s="63" t="s">
        <v>1083</v>
      </c>
      <c r="X1374" s="336"/>
      <c r="Y1374" s="336"/>
      <c r="Z1374" s="63" t="s">
        <v>770</v>
      </c>
      <c r="AA1374" s="336" t="s">
        <v>2828</v>
      </c>
      <c r="AB1374" s="63" t="s">
        <v>3258</v>
      </c>
      <c r="AC1374" s="336"/>
    </row>
    <row r="1375" spans="1:29" ht="60" customHeight="1">
      <c r="A1375" s="336">
        <v>1384</v>
      </c>
      <c r="B1375" s="349">
        <v>45310</v>
      </c>
      <c r="C1375" s="63" t="s">
        <v>1774</v>
      </c>
      <c r="D1375" s="63" t="s">
        <v>5430</v>
      </c>
      <c r="E1375" s="64" t="s">
        <v>5431</v>
      </c>
      <c r="F1375" s="63">
        <v>8</v>
      </c>
      <c r="G1375" s="336" t="s">
        <v>568</v>
      </c>
      <c r="H1375" s="383">
        <v>45324</v>
      </c>
      <c r="I1375" s="65" t="s">
        <v>73</v>
      </c>
      <c r="J1375" s="349" t="s">
        <v>4746</v>
      </c>
      <c r="K1375" s="63" t="s">
        <v>1916</v>
      </c>
      <c r="L1375" s="63" t="s">
        <v>805</v>
      </c>
      <c r="M1375" s="63" t="s">
        <v>1084</v>
      </c>
      <c r="N1375" s="63" t="s">
        <v>3186</v>
      </c>
      <c r="O1375" s="78" t="str">
        <f ca="1">IF(H1375&lt;&gt;"",IF(H1375&lt;=TODAY(),"SI","NO"),"LIMBO")</f>
        <v>SI</v>
      </c>
      <c r="P1375" s="78" t="str">
        <f>IF($P$1=H1375,"DIASOL", "DIANOSOL")</f>
        <v>DIANOSOL</v>
      </c>
      <c r="Q1375" s="63" t="s">
        <v>907</v>
      </c>
      <c r="R1375" s="63" t="s">
        <v>907</v>
      </c>
      <c r="S1375" s="63" t="s">
        <v>1183</v>
      </c>
      <c r="T1375" s="81" t="str">
        <f>IF(G1375=$J$1,"SI","NO")</f>
        <v>NO</v>
      </c>
      <c r="U1375" s="81"/>
      <c r="V1375" s="7" t="str">
        <f ca="1">IF(color_Celda(E1375)=12106214,"ROSA",IF(color_Celda(E1375)=65535,"AMARILLO",IF(color_Celda(E1375)=5296274,"VERDE",IF(color_Celda(E1375)=16777215,"BLANCO","NO SE"))))</f>
        <v>ROSA</v>
      </c>
      <c r="W1375" s="63" t="s">
        <v>1083</v>
      </c>
      <c r="X1375" s="63" t="s">
        <v>4875</v>
      </c>
      <c r="Y1375" s="336"/>
      <c r="Z1375" s="63" t="s">
        <v>1038</v>
      </c>
      <c r="AA1375" s="336" t="s">
        <v>2869</v>
      </c>
      <c r="AB1375" s="63" t="s">
        <v>1173</v>
      </c>
      <c r="AC1375" s="336"/>
    </row>
    <row r="1376" spans="1:29" ht="60" customHeight="1">
      <c r="A1376" s="336">
        <v>1379</v>
      </c>
      <c r="B1376" s="349">
        <v>45322</v>
      </c>
      <c r="C1376" s="70">
        <v>0.33333333333333331</v>
      </c>
      <c r="D1376" s="336" t="s">
        <v>4943</v>
      </c>
      <c r="E1376" s="355" t="s">
        <v>4944</v>
      </c>
      <c r="F1376" s="336">
        <v>7</v>
      </c>
      <c r="G1376" s="63" t="s">
        <v>4934</v>
      </c>
      <c r="H1376" s="383">
        <v>45324</v>
      </c>
      <c r="I1376" s="65" t="s">
        <v>73</v>
      </c>
      <c r="J1376" s="349" t="s">
        <v>1217</v>
      </c>
      <c r="K1376" s="336">
        <v>7</v>
      </c>
      <c r="L1376" s="63" t="s">
        <v>4791</v>
      </c>
      <c r="M1376" s="63" t="s">
        <v>314</v>
      </c>
      <c r="N1376" s="63" t="s">
        <v>5729</v>
      </c>
      <c r="O1376" s="63" t="str">
        <f ca="1">IF(H1376&lt;&gt;"",IF(H1376&lt;=TODAY(),"SI","NO"),"LIMBO")</f>
        <v>SI</v>
      </c>
      <c r="P1376" s="63" t="str">
        <f>IF($P$1=H1376,"DIASOL", "DIANOSOL")</f>
        <v>DIANOSOL</v>
      </c>
      <c r="Q1376" s="63" t="s">
        <v>911</v>
      </c>
      <c r="R1376" s="63" t="str">
        <f>VLOOKUP($Q1376,Resultados!$A$1:$B$49,2,FALSE)</f>
        <v>Prision domiciliaria</v>
      </c>
      <c r="S1376" s="63" t="s">
        <v>679</v>
      </c>
      <c r="T1376" s="72" t="str">
        <f>IF(G1376=$J$1,"SI","NO")</f>
        <v>NO</v>
      </c>
      <c r="U1376" s="72"/>
      <c r="V1376" s="7" t="str">
        <f ca="1">IF(color_Celda(E1376)=12106214,"ROSA",IF(color_Celda(E1376)=65535,"AMARILLO",IF(color_Celda(E1376)=5296274,"VERDE",IF(color_Celda(E1376)=16777215,"BLANCO","NO SE"))))</f>
        <v>ROSA</v>
      </c>
      <c r="W1376" s="63" t="s">
        <v>1126</v>
      </c>
      <c r="X1376" s="63" t="s">
        <v>4875</v>
      </c>
      <c r="Y1376" s="336"/>
      <c r="Z1376" s="63" t="s">
        <v>743</v>
      </c>
      <c r="AA1376" s="336" t="s">
        <v>1167</v>
      </c>
      <c r="AB1376" s="63" t="s">
        <v>1171</v>
      </c>
      <c r="AC1376" s="336"/>
    </row>
    <row r="1377" spans="1:29" ht="60" customHeight="1">
      <c r="A1377" s="336">
        <v>1373</v>
      </c>
      <c r="B1377" s="65">
        <v>45306</v>
      </c>
      <c r="C1377" s="63" t="s">
        <v>76</v>
      </c>
      <c r="D1377" s="63" t="s">
        <v>5365</v>
      </c>
      <c r="E1377" s="64" t="s">
        <v>5366</v>
      </c>
      <c r="F1377" s="63">
        <v>5</v>
      </c>
      <c r="G1377" s="336" t="s">
        <v>3323</v>
      </c>
      <c r="H1377" s="383">
        <v>45324</v>
      </c>
      <c r="I1377" s="65" t="s">
        <v>1083</v>
      </c>
      <c r="J1377" s="349" t="s">
        <v>1221</v>
      </c>
      <c r="K1377" s="336">
        <f>IFERROR(VLOOKUP(J1377,Jueces!$A$1:$B$11,2,FALSE),"")</f>
        <v>6</v>
      </c>
      <c r="L1377" s="63" t="s">
        <v>4779</v>
      </c>
      <c r="M1377" s="63" t="s">
        <v>2085</v>
      </c>
      <c r="N1377" s="63" t="s">
        <v>2100</v>
      </c>
      <c r="O1377" s="63" t="str">
        <f ca="1">IF(H1377&lt;&gt;"",IF(H1377&lt;=TODAY(),"SI","NO"),"LIMBO")</f>
        <v>SI</v>
      </c>
      <c r="P1377" s="63" t="str">
        <f>IF($P$1=H1377,"DIASOL", "DIANOSOL")</f>
        <v>DIANOSOL</v>
      </c>
      <c r="Q1377" s="63" t="s">
        <v>911</v>
      </c>
      <c r="R1377" s="63" t="str">
        <f>VLOOKUP($Q1377,Resultados!$A$1:$B$49,2,FALSE)</f>
        <v>Prision domiciliaria</v>
      </c>
      <c r="S1377" s="63" t="s">
        <v>2063</v>
      </c>
      <c r="T1377" s="72" t="str">
        <f>IF(G1377=$J$1,"SI","NO")</f>
        <v>NO</v>
      </c>
      <c r="U1377" s="72"/>
      <c r="V1377" s="7" t="str">
        <f ca="1">IF(color_Celda(E1377)=12106214,"ROSA",IF(color_Celda(E1377)=65535,"AMARILLO",IF(color_Celda(E1377)=5296274,"VERDE",IF(color_Celda(E1377)=16777215,"BLANCO","NO SE"))))</f>
        <v>ROSA</v>
      </c>
      <c r="W1377" s="63" t="s">
        <v>3108</v>
      </c>
      <c r="X1377" s="63" t="s">
        <v>5739</v>
      </c>
      <c r="Y1377" s="336"/>
      <c r="Z1377" s="63" t="s">
        <v>1039</v>
      </c>
      <c r="AA1377" s="336" t="s">
        <v>3379</v>
      </c>
      <c r="AB1377" s="63" t="s">
        <v>1170</v>
      </c>
      <c r="AC1377" s="336"/>
    </row>
    <row r="1378" spans="1:29" ht="60" customHeight="1">
      <c r="A1378" s="336">
        <v>1392</v>
      </c>
      <c r="B1378" s="349">
        <v>45310</v>
      </c>
      <c r="C1378" s="63" t="s">
        <v>1774</v>
      </c>
      <c r="D1378" s="63" t="s">
        <v>5452</v>
      </c>
      <c r="E1378" s="64" t="s">
        <v>5701</v>
      </c>
      <c r="F1378" s="63">
        <v>2</v>
      </c>
      <c r="G1378" s="336" t="s">
        <v>283</v>
      </c>
      <c r="H1378" s="208">
        <v>45324</v>
      </c>
      <c r="I1378" s="65" t="s">
        <v>1083</v>
      </c>
      <c r="J1378" s="349" t="s">
        <v>4746</v>
      </c>
      <c r="K1378" s="63" t="s">
        <v>1916</v>
      </c>
      <c r="L1378" s="63" t="s">
        <v>789</v>
      </c>
      <c r="M1378" s="63" t="s">
        <v>711</v>
      </c>
      <c r="N1378" s="63" t="s">
        <v>5735</v>
      </c>
      <c r="O1378" s="78" t="str">
        <f ca="1">IF(H1378&lt;&gt;"",IF(H1378&lt;=TODAY(),"SI","NO"),"LIMBO")</f>
        <v>SI</v>
      </c>
      <c r="P1378" s="78" t="str">
        <f>IF($P$1=H1378,"DIASOL", "DIANOSOL")</f>
        <v>DIANOSOL</v>
      </c>
      <c r="Q1378" s="63" t="s">
        <v>151</v>
      </c>
      <c r="R1378" s="63" t="s">
        <v>151</v>
      </c>
      <c r="S1378" s="63" t="s">
        <v>1384</v>
      </c>
      <c r="T1378" s="81" t="str">
        <f>IF(G1378=$J$1,"SI","NO")</f>
        <v>NO</v>
      </c>
      <c r="U1378" s="81"/>
      <c r="V1378" s="7" t="str">
        <f ca="1">IF(color_Celda(E1378)=12106214,"ROSA",IF(color_Celda(E1378)=65535,"AMARILLO",IF(color_Celda(E1378)=5296274,"VERDE",IF(color_Celda(E1378)=16777215,"BLANCO","NO SE"))))</f>
        <v>ROSA</v>
      </c>
      <c r="W1378" s="63" t="s">
        <v>1127</v>
      </c>
      <c r="X1378" s="63" t="s">
        <v>5736</v>
      </c>
      <c r="Y1378" s="336"/>
      <c r="Z1378" s="63" t="s">
        <v>1038</v>
      </c>
      <c r="AA1378" s="336" t="s">
        <v>2828</v>
      </c>
      <c r="AB1378" s="63" t="s">
        <v>3258</v>
      </c>
      <c r="AC1378" s="336"/>
    </row>
    <row r="1379" spans="1:29" ht="60" customHeight="1">
      <c r="A1379" s="336">
        <v>1390</v>
      </c>
      <c r="B1379" s="349">
        <v>45313</v>
      </c>
      <c r="C1379" s="63" t="s">
        <v>1458</v>
      </c>
      <c r="D1379" s="63" t="s">
        <v>5445</v>
      </c>
      <c r="E1379" s="64" t="s">
        <v>5446</v>
      </c>
      <c r="F1379" s="336">
        <v>3</v>
      </c>
      <c r="G1379" s="336" t="s">
        <v>1435</v>
      </c>
      <c r="H1379" s="383">
        <v>45324</v>
      </c>
      <c r="I1379" s="65" t="s">
        <v>1083</v>
      </c>
      <c r="J1379" s="349" t="s">
        <v>35</v>
      </c>
      <c r="K1379" s="336">
        <f>IFERROR(VLOOKUP(J1379,Jueces!$A$1:$B$11,2,FALSE),"")</f>
        <v>3</v>
      </c>
      <c r="L1379" s="63" t="s">
        <v>4791</v>
      </c>
      <c r="M1379" s="63" t="s">
        <v>712</v>
      </c>
      <c r="N1379" s="63" t="s">
        <v>5421</v>
      </c>
      <c r="O1379" s="78" t="str">
        <f ca="1">IF(H1379&lt;&gt;"",IF(H1379&lt;=TODAY(),"SI","NO"),"LIMBO")</f>
        <v>SI</v>
      </c>
      <c r="P1379" s="78" t="str">
        <f>IF($P$1=H1379,"DIASOL", "DIANOSOL")</f>
        <v>DIANOSOL</v>
      </c>
      <c r="Q1379" s="63" t="s">
        <v>902</v>
      </c>
      <c r="R1379" s="63" t="str">
        <f>VLOOKUP($Q1379,Resultados!$A$1:$B$49,2,FALSE)</f>
        <v>Juicio Abreviado</v>
      </c>
      <c r="S1379" s="63" t="s">
        <v>1332</v>
      </c>
      <c r="T1379" s="81" t="str">
        <f>IF(G1379=$J$1,"SI","NO")</f>
        <v>SI</v>
      </c>
      <c r="U1379" s="81"/>
      <c r="V1379" s="7" t="str">
        <f ca="1">IF(color_Celda(E1379)=12106214,"ROSA",IF(color_Celda(E1379)=65535,"AMARILLO",IF(color_Celda(E1379)=5296274,"VERDE",IF(color_Celda(E1379)=16777215,"BLANCO","NO SE"))))</f>
        <v>ROSA</v>
      </c>
      <c r="W1379" s="63" t="s">
        <v>1226</v>
      </c>
      <c r="X1379" s="63" t="s">
        <v>4891</v>
      </c>
      <c r="Y1379" s="336"/>
      <c r="Z1379" s="63" t="s">
        <v>3368</v>
      </c>
      <c r="AA1379" s="336" t="s">
        <v>3378</v>
      </c>
      <c r="AB1379" s="63" t="s">
        <v>1169</v>
      </c>
      <c r="AC1379" s="336"/>
    </row>
    <row r="1380" spans="1:29" ht="60" customHeight="1">
      <c r="A1380" s="336">
        <v>1393</v>
      </c>
      <c r="B1380" s="349">
        <v>45313</v>
      </c>
      <c r="C1380" s="63" t="s">
        <v>2878</v>
      </c>
      <c r="D1380" s="63" t="s">
        <v>5453</v>
      </c>
      <c r="E1380" s="64" t="s">
        <v>5454</v>
      </c>
      <c r="F1380" s="63">
        <v>2</v>
      </c>
      <c r="G1380" s="336" t="s">
        <v>2766</v>
      </c>
      <c r="H1380" s="383">
        <v>45324</v>
      </c>
      <c r="I1380" s="65" t="s">
        <v>1083</v>
      </c>
      <c r="J1380" s="349" t="s">
        <v>1217</v>
      </c>
      <c r="K1380" s="336">
        <v>7</v>
      </c>
      <c r="L1380" s="63" t="s">
        <v>4780</v>
      </c>
      <c r="M1380" s="63" t="s">
        <v>1084</v>
      </c>
      <c r="N1380" s="63" t="s">
        <v>5738</v>
      </c>
      <c r="O1380" s="78" t="str">
        <f ca="1">IF(H1380&lt;&gt;"",IF(H1380&lt;=TODAY(),"SI","NO"),"LIMBO")</f>
        <v>SI</v>
      </c>
      <c r="P1380" s="78" t="str">
        <f>IF($P$1=H1380,"DIASOL", "DIANOSOL")</f>
        <v>DIANOSOL</v>
      </c>
      <c r="Q1380" s="63" t="s">
        <v>897</v>
      </c>
      <c r="R1380" s="63" t="s">
        <v>900</v>
      </c>
      <c r="S1380" s="63" t="s">
        <v>1248</v>
      </c>
      <c r="T1380" s="81" t="str">
        <f>IF(G1380=$J$1,"SI","NO")</f>
        <v>NO</v>
      </c>
      <c r="U1380" s="81"/>
      <c r="V1380" s="7" t="str">
        <f ca="1">IF(color_Celda(E1380)=12106214,"ROSA",IF(color_Celda(E1380)=65535,"AMARILLO",IF(color_Celda(E1380)=5296274,"VERDE",IF(color_Celda(E1380)=16777215,"BLANCO","NO SE"))))</f>
        <v>ROSA</v>
      </c>
      <c r="W1380" s="63" t="s">
        <v>2595</v>
      </c>
      <c r="X1380" s="63" t="s">
        <v>4891</v>
      </c>
      <c r="Y1380" s="336"/>
      <c r="Z1380" s="63" t="s">
        <v>743</v>
      </c>
      <c r="AA1380" s="336" t="s">
        <v>1167</v>
      </c>
      <c r="AB1380" s="63" t="s">
        <v>1171</v>
      </c>
      <c r="AC1380" s="336"/>
    </row>
    <row r="1381" spans="1:29" ht="60" customHeight="1">
      <c r="A1381" s="336">
        <v>1380</v>
      </c>
      <c r="B1381" s="349">
        <v>45310</v>
      </c>
      <c r="C1381" s="336" t="s">
        <v>1206</v>
      </c>
      <c r="D1381" s="336" t="s">
        <v>5410</v>
      </c>
      <c r="E1381" s="355" t="s">
        <v>5411</v>
      </c>
      <c r="F1381" s="336">
        <v>3</v>
      </c>
      <c r="G1381" s="336" t="s">
        <v>1434</v>
      </c>
      <c r="H1381" s="383">
        <v>45324</v>
      </c>
      <c r="I1381" s="65" t="s">
        <v>1206</v>
      </c>
      <c r="J1381" s="349" t="s">
        <v>31</v>
      </c>
      <c r="K1381" s="336">
        <f>IFERROR(VLOOKUP(J1381,Jueces!$A$1:$B$11,2,FALSE),"")</f>
        <v>2</v>
      </c>
      <c r="L1381" s="63" t="s">
        <v>4789</v>
      </c>
      <c r="M1381" s="63" t="s">
        <v>712</v>
      </c>
      <c r="N1381" s="63" t="s">
        <v>5730</v>
      </c>
      <c r="O1381" s="63" t="str">
        <f ca="1">IF(H1381&lt;&gt;"",IF(H1381&lt;=TODAY(),"SI","NO"),"LIMBO")</f>
        <v>SI</v>
      </c>
      <c r="P1381" s="63" t="str">
        <f>IF($P$1=H1381,"DIASOL", "DIANOSOL")</f>
        <v>DIANOSOL</v>
      </c>
      <c r="Q1381" s="63" t="s">
        <v>151</v>
      </c>
      <c r="R1381" s="63" t="s">
        <v>151</v>
      </c>
      <c r="S1381" s="63" t="s">
        <v>1793</v>
      </c>
      <c r="T1381" s="72" t="str">
        <f>IF(G1381=$J$1,"SI","NO")</f>
        <v>NO</v>
      </c>
      <c r="U1381" s="72"/>
      <c r="V1381" s="7" t="str">
        <f ca="1">IF(color_Celda(E1381)=12106214,"ROSA",IF(color_Celda(E1381)=65535,"AMARILLO",IF(color_Celda(E1381)=5296274,"VERDE",IF(color_Celda(E1381)=16777215,"BLANCO","NO SE"))))</f>
        <v>ROSA</v>
      </c>
      <c r="W1381" s="63" t="s">
        <v>3115</v>
      </c>
      <c r="X1381" s="63" t="s">
        <v>5740</v>
      </c>
      <c r="Y1381" s="336"/>
      <c r="Z1381" s="63" t="s">
        <v>770</v>
      </c>
      <c r="AA1381" s="336" t="s">
        <v>2869</v>
      </c>
      <c r="AB1381" s="63" t="s">
        <v>1173</v>
      </c>
      <c r="AC1381" s="336"/>
    </row>
    <row r="1382" spans="1:29" ht="60" customHeight="1">
      <c r="A1382" s="336">
        <v>1389</v>
      </c>
      <c r="B1382" s="349">
        <v>45313</v>
      </c>
      <c r="C1382" s="63" t="s">
        <v>1774</v>
      </c>
      <c r="D1382" s="63" t="s">
        <v>5441</v>
      </c>
      <c r="E1382" s="64" t="s">
        <v>5442</v>
      </c>
      <c r="F1382" s="336">
        <v>3</v>
      </c>
      <c r="G1382" s="336" t="s">
        <v>1433</v>
      </c>
      <c r="H1382" s="383">
        <v>45324</v>
      </c>
      <c r="I1382" s="65" t="s">
        <v>3171</v>
      </c>
      <c r="J1382" s="349" t="s">
        <v>1216</v>
      </c>
      <c r="K1382" s="336">
        <f>IFERROR(VLOOKUP(J1382,Jueces!$A$1:$B$11,2,FALSE),"")</f>
        <v>1</v>
      </c>
      <c r="L1382" s="63" t="s">
        <v>4791</v>
      </c>
      <c r="M1382" s="63" t="s">
        <v>712</v>
      </c>
      <c r="N1382" s="63" t="s">
        <v>621</v>
      </c>
      <c r="O1382" s="78" t="str">
        <f ca="1">IF(H1382&lt;&gt;"",IF(H1382&lt;=TODAY(),"SI","NO"),"LIMBO")</f>
        <v>SI</v>
      </c>
      <c r="P1382" s="78" t="str">
        <f>IF($P$1=H1382,"DIASOL", "DIANOSOL")</f>
        <v>DIANOSOL</v>
      </c>
      <c r="Q1382" s="63" t="s">
        <v>151</v>
      </c>
      <c r="R1382" s="63" t="s">
        <v>151</v>
      </c>
      <c r="S1382" s="63" t="s">
        <v>3254</v>
      </c>
      <c r="T1382" s="81" t="str">
        <f>IF(G1382=$J$1,"SI","NO")</f>
        <v>NO</v>
      </c>
      <c r="U1382" s="81"/>
      <c r="V1382" s="7" t="str">
        <f ca="1">IF(color_Celda(E1382)=12106214,"ROSA",IF(color_Celda(E1382)=65535,"AMARILLO",IF(color_Celda(E1382)=5296274,"VERDE",IF(color_Celda(E1382)=16777215,"BLANCO","NO SE"))))</f>
        <v>ROSA</v>
      </c>
      <c r="W1382" s="63" t="s">
        <v>3309</v>
      </c>
      <c r="X1382" s="63" t="s">
        <v>5741</v>
      </c>
      <c r="Y1382" s="336"/>
      <c r="Z1382" s="63" t="s">
        <v>3368</v>
      </c>
      <c r="AA1382" s="336" t="s">
        <v>3379</v>
      </c>
      <c r="AB1382" s="63" t="s">
        <v>1170</v>
      </c>
      <c r="AC1382" s="336"/>
    </row>
    <row r="1383" spans="1:29" ht="60" customHeight="1">
      <c r="A1383" s="336">
        <v>1391</v>
      </c>
      <c r="B1383" s="349">
        <v>45310</v>
      </c>
      <c r="C1383" s="63" t="s">
        <v>1774</v>
      </c>
      <c r="D1383" s="63" t="s">
        <v>5449</v>
      </c>
      <c r="E1383" s="64" t="s">
        <v>5450</v>
      </c>
      <c r="F1383" s="63">
        <v>2</v>
      </c>
      <c r="G1383" s="336" t="s">
        <v>3791</v>
      </c>
      <c r="H1383" s="383">
        <v>45324</v>
      </c>
      <c r="I1383" s="65" t="s">
        <v>77</v>
      </c>
      <c r="J1383" s="349" t="s">
        <v>1216</v>
      </c>
      <c r="K1383" s="336">
        <f>IFERROR(VLOOKUP(J1383,Jueces!$A$1:$B$11,2,FALSE),"")</f>
        <v>1</v>
      </c>
      <c r="L1383" s="63" t="s">
        <v>4781</v>
      </c>
      <c r="M1383" s="63" t="s">
        <v>712</v>
      </c>
      <c r="N1383" s="63" t="s">
        <v>5742</v>
      </c>
      <c r="O1383" s="78" t="str">
        <f ca="1">IF(H1383&lt;&gt;"",IF(H1383&lt;=TODAY(),"SI","NO"),"LIMBO")</f>
        <v>SI</v>
      </c>
      <c r="P1383" s="78" t="str">
        <f>IF($P$1=H1383,"DIASOL", "DIANOSOL")</f>
        <v>DIANOSOL</v>
      </c>
      <c r="Q1383" s="63" t="s">
        <v>151</v>
      </c>
      <c r="R1383" s="63" t="str">
        <f>VLOOKUP($Q1383,Resultados!$A$1:$B$49,2,FALSE)</f>
        <v>Prisión Preventiva</v>
      </c>
      <c r="S1383" s="63" t="s">
        <v>4573</v>
      </c>
      <c r="T1383" s="81" t="str">
        <f>IF(G1383=$J$1,"SI","NO")</f>
        <v>NO</v>
      </c>
      <c r="U1383" s="81"/>
      <c r="V1383" s="7" t="str">
        <f ca="1">IF(color_Celda(E1383)=12106214,"ROSA",IF(color_Celda(E1383)=65535,"AMARILLO",IF(color_Celda(E1383)=5296274,"VERDE",IF(color_Celda(E1383)=16777215,"BLANCO","NO SE"))))</f>
        <v>ROSA</v>
      </c>
      <c r="W1383" s="63" t="s">
        <v>5174</v>
      </c>
      <c r="X1383" s="63" t="s">
        <v>4649</v>
      </c>
      <c r="Y1383" s="336"/>
      <c r="Z1383" s="63" t="s">
        <v>3368</v>
      </c>
      <c r="AA1383" s="336" t="s">
        <v>3378</v>
      </c>
      <c r="AB1383" s="63" t="s">
        <v>1169</v>
      </c>
      <c r="AC1383" s="336"/>
    </row>
    <row r="1384" spans="1:29" ht="60" customHeight="1">
      <c r="A1384" s="336">
        <v>1383</v>
      </c>
      <c r="B1384" s="349">
        <v>45310</v>
      </c>
      <c r="C1384" s="63" t="s">
        <v>1630</v>
      </c>
      <c r="D1384" s="63" t="s">
        <v>5428</v>
      </c>
      <c r="E1384" s="64" t="s">
        <v>5429</v>
      </c>
      <c r="F1384" s="63">
        <v>7</v>
      </c>
      <c r="G1384" s="336" t="s">
        <v>3324</v>
      </c>
      <c r="H1384" s="383">
        <v>45327</v>
      </c>
      <c r="I1384" s="65" t="s">
        <v>73</v>
      </c>
      <c r="J1384" s="349" t="s">
        <v>4746</v>
      </c>
      <c r="K1384" s="63" t="s">
        <v>1916</v>
      </c>
      <c r="L1384" s="63" t="s">
        <v>805</v>
      </c>
      <c r="M1384" s="63" t="s">
        <v>1084</v>
      </c>
      <c r="N1384" s="63" t="s">
        <v>5779</v>
      </c>
      <c r="O1384" s="78" t="str">
        <f ca="1">IF(H1384&lt;&gt;"",IF(H1384&lt;=TODAY(),"SI","NO"),"LIMBO")</f>
        <v>SI</v>
      </c>
      <c r="P1384" s="78" t="str">
        <f>IF($P$1=H1384,"DIASOL", "DIANOSOL")</f>
        <v>DIANOSOL</v>
      </c>
      <c r="Q1384" s="63" t="s">
        <v>151</v>
      </c>
      <c r="R1384" s="63" t="s">
        <v>151</v>
      </c>
      <c r="S1384" s="63" t="s">
        <v>2685</v>
      </c>
      <c r="T1384" s="81" t="str">
        <f>IF(G1384=$J$1,"SI","NO")</f>
        <v>NO</v>
      </c>
      <c r="U1384" s="81"/>
      <c r="V1384" s="7" t="str">
        <f ca="1">IF(color_Celda(E1384)=12106214,"ROSA",IF(color_Celda(E1384)=65535,"AMARILLO",IF(color_Celda(E1384)=5296274,"VERDE",IF(color_Celda(E1384)=16777215,"BLANCO","NO SE"))))</f>
        <v>ROSA</v>
      </c>
      <c r="W1384" s="63" t="s">
        <v>1437</v>
      </c>
      <c r="X1384" s="63" t="s">
        <v>5780</v>
      </c>
      <c r="Y1384" s="336"/>
      <c r="Z1384" s="336" t="s">
        <v>748</v>
      </c>
      <c r="AA1384" s="336" t="s">
        <v>2828</v>
      </c>
      <c r="AB1384" s="63" t="s">
        <v>3258</v>
      </c>
      <c r="AC1384" s="336"/>
    </row>
    <row r="1385" spans="1:29" ht="60" customHeight="1">
      <c r="A1385" s="336">
        <v>1412</v>
      </c>
      <c r="B1385" s="349">
        <v>45314</v>
      </c>
      <c r="C1385" s="63" t="s">
        <v>5168</v>
      </c>
      <c r="D1385" s="63" t="s">
        <v>5500</v>
      </c>
      <c r="E1385" s="64" t="s">
        <v>5501</v>
      </c>
      <c r="F1385" s="336">
        <v>8</v>
      </c>
      <c r="G1385" s="336" t="s">
        <v>3323</v>
      </c>
      <c r="H1385" s="383">
        <v>45327</v>
      </c>
      <c r="I1385" s="65" t="s">
        <v>73</v>
      </c>
      <c r="J1385" s="349" t="s">
        <v>1217</v>
      </c>
      <c r="K1385" s="336">
        <f>IFERROR(VLOOKUP(J1385,Jueces!$A$1:$B$11,2,FALSE),"")</f>
        <v>7</v>
      </c>
      <c r="L1385" s="63" t="s">
        <v>4789</v>
      </c>
      <c r="M1385" s="63" t="s">
        <v>711</v>
      </c>
      <c r="N1385" s="63" t="s">
        <v>621</v>
      </c>
      <c r="O1385" s="78" t="str">
        <f ca="1">IF(H1385&lt;&gt;"",IF(H1385&lt;=TODAY(),"SI","NO"),"LIMBO")</f>
        <v>SI</v>
      </c>
      <c r="P1385" s="78" t="str">
        <f>IF($P$1=H1385,"DIASOL", "DIANOSOL")</f>
        <v>DIANOSOL</v>
      </c>
      <c r="Q1385" s="63" t="s">
        <v>151</v>
      </c>
      <c r="R1385" s="63" t="str">
        <f>VLOOKUP($Q1385,Resultados!$A$1:$B$49,2,FALSE)</f>
        <v>Prisión Preventiva</v>
      </c>
      <c r="S1385" s="63" t="s">
        <v>686</v>
      </c>
      <c r="T1385" s="81" t="str">
        <f>IF(G1385=$J$1,"SI","NO")</f>
        <v>NO</v>
      </c>
      <c r="U1385" s="81"/>
      <c r="V1385" s="7" t="str">
        <f ca="1">IF(color_Celda(E1385)=12106214,"ROSA",IF(color_Celda(E1385)=65535,"AMARILLO",IF(color_Celda(E1385)=5296274,"VERDE",IF(color_Celda(E1385)=16777215,"BLANCO","NO SE"))))</f>
        <v>ROSA</v>
      </c>
      <c r="W1385" s="63" t="s">
        <v>1232</v>
      </c>
      <c r="X1385" s="63" t="s">
        <v>4644</v>
      </c>
      <c r="Y1385" s="336"/>
      <c r="Z1385" s="336" t="s">
        <v>770</v>
      </c>
      <c r="AA1385" s="336" t="s">
        <v>3379</v>
      </c>
      <c r="AB1385" s="63" t="s">
        <v>1173</v>
      </c>
      <c r="AC1385" s="336"/>
    </row>
    <row r="1386" spans="1:29" ht="60" customHeight="1">
      <c r="A1386" s="336">
        <v>1414</v>
      </c>
      <c r="B1386" s="349">
        <v>45314</v>
      </c>
      <c r="C1386" s="63" t="s">
        <v>3171</v>
      </c>
      <c r="D1386" s="63" t="s">
        <v>5503</v>
      </c>
      <c r="E1386" s="64" t="s">
        <v>5504</v>
      </c>
      <c r="F1386" s="336">
        <v>2</v>
      </c>
      <c r="G1386" s="336" t="s">
        <v>29</v>
      </c>
      <c r="H1386" s="383">
        <v>45327</v>
      </c>
      <c r="I1386" s="65" t="s">
        <v>73</v>
      </c>
      <c r="J1386" s="349" t="s">
        <v>4932</v>
      </c>
      <c r="K1386" s="63" t="s">
        <v>1341</v>
      </c>
      <c r="L1386" s="63" t="s">
        <v>2077</v>
      </c>
      <c r="M1386" s="63" t="s">
        <v>3695</v>
      </c>
      <c r="N1386" s="63" t="s">
        <v>5781</v>
      </c>
      <c r="O1386" s="78" t="str">
        <f ca="1">IF(H1386&lt;&gt;"",IF(H1386&lt;=TODAY(),"SI","NO"),"LIMBO")</f>
        <v>SI</v>
      </c>
      <c r="P1386" s="78" t="str">
        <f>IF($P$1=H1386,"DIASOL", "DIANOSOL")</f>
        <v>DIANOSOL</v>
      </c>
      <c r="Q1386" s="63" t="s">
        <v>911</v>
      </c>
      <c r="R1386" s="63" t="str">
        <f>VLOOKUP($Q1386,Resultados!$A$1:$B$49,2,FALSE)</f>
        <v>Prision domiciliaria</v>
      </c>
      <c r="S1386" s="63" t="s">
        <v>1489</v>
      </c>
      <c r="T1386" s="81" t="str">
        <f>IF(G1386=$J$1,"SI","NO")</f>
        <v>NO</v>
      </c>
      <c r="U1386" s="81"/>
      <c r="V1386" s="7" t="str">
        <f ca="1">IF(color_Celda(E1386)=12106214,"ROSA",IF(color_Celda(E1386)=65535,"AMARILLO",IF(color_Celda(E1386)=5296274,"VERDE",IF(color_Celda(E1386)=16777215,"BLANCO","NO SE"))))</f>
        <v>ROSA</v>
      </c>
      <c r="W1386" s="63" t="s">
        <v>3108</v>
      </c>
      <c r="X1386" s="63" t="s">
        <v>5782</v>
      </c>
      <c r="Y1386" s="336"/>
      <c r="Z1386" s="336" t="s">
        <v>3368</v>
      </c>
      <c r="AA1386" s="336" t="s">
        <v>2869</v>
      </c>
      <c r="AB1386" s="63" t="s">
        <v>1170</v>
      </c>
      <c r="AC1386" s="336"/>
    </row>
    <row r="1387" spans="1:29" ht="60" customHeight="1">
      <c r="A1387" s="336">
        <v>1439</v>
      </c>
      <c r="B1387" s="349">
        <v>45299</v>
      </c>
      <c r="C1387" s="568" t="s">
        <v>5168</v>
      </c>
      <c r="D1387" s="336" t="s">
        <v>5169</v>
      </c>
      <c r="E1387" s="355" t="s">
        <v>4551</v>
      </c>
      <c r="F1387" s="336">
        <v>5</v>
      </c>
      <c r="G1387" s="336" t="s">
        <v>3791</v>
      </c>
      <c r="H1387" s="208">
        <v>45327</v>
      </c>
      <c r="I1387" s="65" t="s">
        <v>1083</v>
      </c>
      <c r="J1387" s="349" t="s">
        <v>35</v>
      </c>
      <c r="K1387" s="336">
        <f>IFERROR(VLOOKUP(J1387,Jueces!$A$1:$B$11,2,FALSE),"")</f>
        <v>3</v>
      </c>
      <c r="L1387" s="63" t="s">
        <v>508</v>
      </c>
      <c r="M1387" s="63" t="s">
        <v>1426</v>
      </c>
      <c r="N1387" s="63" t="s">
        <v>5777</v>
      </c>
      <c r="O1387" s="78" t="str">
        <f ca="1">IF(H1387&lt;&gt;"",IF(H1387&lt;=TODAY(),"SI","NO"),"LIMBO")</f>
        <v>SI</v>
      </c>
      <c r="P1387" s="78" t="str">
        <f>IF($P$1=H1387,"DIASOL", "DIANOSOL")</f>
        <v>DIANOSOL</v>
      </c>
      <c r="Q1387" s="63" t="s">
        <v>911</v>
      </c>
      <c r="R1387" s="63" t="s">
        <v>911</v>
      </c>
      <c r="S1387" s="63" t="s">
        <v>2688</v>
      </c>
      <c r="T1387" s="81" t="str">
        <f>IF(G1387=$J$1,"SI","NO")</f>
        <v>NO</v>
      </c>
      <c r="U1387" s="81"/>
      <c r="V1387" s="7" t="str">
        <f ca="1">IF(color_Celda(E1387)=12106214,"ROSA",IF(color_Celda(E1387)=65535,"AMARILLO",IF(color_Celda(E1387)=5296274,"VERDE",IF(color_Celda(E1387)=16777215,"BLANCO","NO SE"))))</f>
        <v>ROSA</v>
      </c>
      <c r="W1387" s="63" t="s">
        <v>1528</v>
      </c>
      <c r="X1387" s="63" t="s">
        <v>4644</v>
      </c>
      <c r="Y1387" s="336"/>
      <c r="Z1387" s="336" t="s">
        <v>1038</v>
      </c>
      <c r="AA1387" s="336" t="s">
        <v>1167</v>
      </c>
      <c r="AB1387" s="63" t="s">
        <v>1170</v>
      </c>
      <c r="AC1387" s="336"/>
    </row>
    <row r="1388" spans="1:29" ht="60" customHeight="1">
      <c r="A1388" s="336">
        <v>1369</v>
      </c>
      <c r="B1388" s="349">
        <v>45302</v>
      </c>
      <c r="C1388" s="63" t="s">
        <v>5168</v>
      </c>
      <c r="D1388" s="63" t="s">
        <v>5350</v>
      </c>
      <c r="E1388" s="64" t="s">
        <v>5351</v>
      </c>
      <c r="F1388" s="336">
        <v>7</v>
      </c>
      <c r="G1388" s="336" t="s">
        <v>2766</v>
      </c>
      <c r="H1388" s="383">
        <v>45327</v>
      </c>
      <c r="I1388" s="65" t="s">
        <v>1083</v>
      </c>
      <c r="J1388" s="349" t="s">
        <v>1221</v>
      </c>
      <c r="K1388" s="336">
        <f>IFERROR(VLOOKUP(J1388,Jueces!$A$1:$B$11,2,FALSE),"")</f>
        <v>6</v>
      </c>
      <c r="L1388" s="63" t="s">
        <v>4790</v>
      </c>
      <c r="M1388" s="63" t="s">
        <v>885</v>
      </c>
      <c r="N1388" s="63" t="s">
        <v>5778</v>
      </c>
      <c r="O1388" s="78" t="str">
        <f ca="1">IF(H1388&lt;&gt;"",IF(H1388&lt;=TODAY(),"SI","NO"),"LIMBO")</f>
        <v>SI</v>
      </c>
      <c r="P1388" s="78" t="str">
        <f>IF($P$1=H1388,"DIASOL", "DIANOSOL")</f>
        <v>DIANOSOL</v>
      </c>
      <c r="Q1388" s="63" t="s">
        <v>151</v>
      </c>
      <c r="R1388" s="63" t="str">
        <f>VLOOKUP($Q1388,Resultados!$A$1:$B$49,2,FALSE)</f>
        <v>Prisión Preventiva</v>
      </c>
      <c r="S1388" s="63" t="s">
        <v>1016</v>
      </c>
      <c r="T1388" s="81" t="str">
        <f>IF(G1388=$J$1,"SI","NO")</f>
        <v>NO</v>
      </c>
      <c r="U1388" s="81"/>
      <c r="V1388" s="7" t="str">
        <f ca="1">IF(color_Celda(E1388)=12106214,"ROSA",IF(color_Celda(E1388)=65535,"AMARILLO",IF(color_Celda(E1388)=5296274,"VERDE",IF(color_Celda(E1388)=16777215,"BLANCO","NO SE"))))</f>
        <v>ROSA</v>
      </c>
      <c r="W1388" s="63" t="s">
        <v>1001</v>
      </c>
      <c r="X1388" s="336"/>
      <c r="Y1388" s="336"/>
      <c r="Z1388" s="336" t="s">
        <v>743</v>
      </c>
      <c r="AA1388" s="336" t="s">
        <v>2869</v>
      </c>
      <c r="AB1388" s="63" t="s">
        <v>3258</v>
      </c>
      <c r="AC1388" s="336"/>
    </row>
    <row r="1389" spans="1:29" ht="60" customHeight="1">
      <c r="A1389" s="336">
        <v>1366</v>
      </c>
      <c r="B1389" s="349">
        <v>45306</v>
      </c>
      <c r="C1389" s="568">
        <v>0.46597222222222223</v>
      </c>
      <c r="D1389" s="63" t="s">
        <v>5307</v>
      </c>
      <c r="E1389" s="64" t="s">
        <v>5308</v>
      </c>
      <c r="F1389" s="63">
        <v>1</v>
      </c>
      <c r="G1389" s="336" t="s">
        <v>1435</v>
      </c>
      <c r="H1389" s="383">
        <v>45327</v>
      </c>
      <c r="I1389" s="65" t="s">
        <v>1083</v>
      </c>
      <c r="J1389" s="349" t="s">
        <v>31</v>
      </c>
      <c r="K1389" s="336">
        <f>IFERROR(VLOOKUP(J1389,Jueces!$A$1:$B$11,2,FALSE),"")</f>
        <v>2</v>
      </c>
      <c r="L1389" s="63" t="s">
        <v>4789</v>
      </c>
      <c r="M1389" s="63" t="s">
        <v>1084</v>
      </c>
      <c r="N1389" s="63" t="s">
        <v>4643</v>
      </c>
      <c r="O1389" s="78" t="str">
        <f ca="1">IF(H1389&lt;&gt;"",IF(H1389&lt;=TODAY(),"SI","NO"),"LIMBO")</f>
        <v>SI</v>
      </c>
      <c r="P1389" s="78" t="str">
        <f>IF($P$1=H1389,"DIASOL", "DIANOSOL")</f>
        <v>DIANOSOL</v>
      </c>
      <c r="Q1389" s="63" t="s">
        <v>903</v>
      </c>
      <c r="R1389" s="63" t="s">
        <v>100</v>
      </c>
      <c r="S1389" s="63" t="s">
        <v>2402</v>
      </c>
      <c r="T1389" s="81" t="str">
        <f>IF(G1389=$J$1,"SI","NO")</f>
        <v>SI</v>
      </c>
      <c r="U1389" s="81"/>
      <c r="V1389" s="7" t="str">
        <f ca="1">IF(color_Celda(E1389)=12106214,"ROSA",IF(color_Celda(E1389)=65535,"AMARILLO",IF(color_Celda(E1389)=5296274,"VERDE",IF(color_Celda(E1389)=16777215,"BLANCO","NO SE"))))</f>
        <v>ROSA</v>
      </c>
      <c r="W1389" s="63" t="s">
        <v>2662</v>
      </c>
      <c r="X1389" s="63" t="s">
        <v>4891</v>
      </c>
      <c r="Y1389" s="336"/>
      <c r="Z1389" s="336" t="s">
        <v>770</v>
      </c>
      <c r="AA1389" s="336" t="s">
        <v>3378</v>
      </c>
      <c r="AB1389" s="63" t="s">
        <v>1169</v>
      </c>
      <c r="AC1389" s="336"/>
    </row>
    <row r="1390" spans="1:29" ht="60" customHeight="1">
      <c r="A1390" s="336">
        <v>1411</v>
      </c>
      <c r="B1390" s="349">
        <v>45314</v>
      </c>
      <c r="C1390" s="63" t="s">
        <v>2929</v>
      </c>
      <c r="D1390" s="63" t="s">
        <v>5498</v>
      </c>
      <c r="E1390" s="64" t="s">
        <v>5499</v>
      </c>
      <c r="F1390" s="336">
        <v>3</v>
      </c>
      <c r="G1390" s="336" t="s">
        <v>568</v>
      </c>
      <c r="H1390" s="208">
        <v>45327</v>
      </c>
      <c r="I1390" s="65" t="s">
        <v>1083</v>
      </c>
      <c r="J1390" s="349" t="s">
        <v>78</v>
      </c>
      <c r="K1390" s="336">
        <f>IFERROR(VLOOKUP(J1390,Jueces!$A$1:$B$11,2,FALSE),"")</f>
        <v>8</v>
      </c>
      <c r="L1390" s="63" t="s">
        <v>4781</v>
      </c>
      <c r="M1390" s="63" t="s">
        <v>712</v>
      </c>
      <c r="N1390" s="63" t="s">
        <v>5421</v>
      </c>
      <c r="O1390" s="78" t="str">
        <f ca="1">IF(H1390&lt;&gt;"",IF(H1390&lt;=TODAY(),"SI","NO"),"LIMBO")</f>
        <v>SI</v>
      </c>
      <c r="P1390" s="78" t="str">
        <f>IF($P$1=H1390,"DIASOL", "DIANOSOL")</f>
        <v>DIANOSOL</v>
      </c>
      <c r="Q1390" s="63" t="s">
        <v>902</v>
      </c>
      <c r="R1390" s="63" t="str">
        <f>VLOOKUP($Q1390,Resultados!$A$1:$B$49,2,FALSE)</f>
        <v>Juicio Abreviado</v>
      </c>
      <c r="S1390" s="63" t="s">
        <v>5313</v>
      </c>
      <c r="T1390" s="81" t="str">
        <f>IF(G1390=$J$1,"SI","NO")</f>
        <v>NO</v>
      </c>
      <c r="U1390" s="81"/>
      <c r="V1390" s="7" t="str">
        <f ca="1">IF(color_Celda(E1390)=12106214,"ROSA",IF(color_Celda(E1390)=65535,"AMARILLO",IF(color_Celda(E1390)=5296274,"VERDE",IF(color_Celda(E1390)=16777215,"BLANCO","NO SE"))))</f>
        <v>ROSA</v>
      </c>
      <c r="W1390" s="63" t="s">
        <v>5585</v>
      </c>
      <c r="X1390" s="63" t="s">
        <v>5785</v>
      </c>
      <c r="Y1390" s="336"/>
      <c r="Z1390" s="336" t="s">
        <v>1039</v>
      </c>
      <c r="AA1390" s="336" t="s">
        <v>2828</v>
      </c>
      <c r="AB1390" s="63" t="s">
        <v>1171</v>
      </c>
      <c r="AC1390" s="336"/>
    </row>
    <row r="1391" spans="1:29" ht="60" customHeight="1">
      <c r="A1391" s="336">
        <v>1427</v>
      </c>
      <c r="B1391" s="349">
        <v>45316</v>
      </c>
      <c r="C1391" s="336" t="s">
        <v>1570</v>
      </c>
      <c r="D1391" s="336" t="s">
        <v>5553</v>
      </c>
      <c r="E1391" s="355" t="s">
        <v>5554</v>
      </c>
      <c r="F1391" s="336">
        <v>3</v>
      </c>
      <c r="G1391" s="336" t="s">
        <v>2815</v>
      </c>
      <c r="H1391" s="383">
        <v>45327</v>
      </c>
      <c r="I1391" s="65" t="s">
        <v>1083</v>
      </c>
      <c r="J1391" s="349" t="s">
        <v>1216</v>
      </c>
      <c r="K1391" s="336">
        <f>IFERROR(VLOOKUP(J1391,Jueces!$A$1:$B$11,2,FALSE),"")</f>
        <v>1</v>
      </c>
      <c r="L1391" s="63" t="s">
        <v>4785</v>
      </c>
      <c r="M1391" s="63" t="s">
        <v>1994</v>
      </c>
      <c r="N1391" s="63" t="s">
        <v>5784</v>
      </c>
      <c r="O1391" s="63" t="str">
        <f ca="1">IF(H1391&lt;&gt;"",IF(H1391&lt;=TODAY(),"SI","NO"),"LIMBO")</f>
        <v>SI</v>
      </c>
      <c r="P1391" s="63" t="str">
        <f>IF($P$1=H1391,"DIASOL", "DIANOSOL")</f>
        <v>DIANOSOL</v>
      </c>
      <c r="Q1391" s="63" t="s">
        <v>910</v>
      </c>
      <c r="R1391" s="63" t="str">
        <f>VLOOKUP($Q1391,Resultados!$A$1:$B$49,2,FALSE)</f>
        <v>Suspendida</v>
      </c>
      <c r="S1391" s="63"/>
      <c r="T1391" s="72" t="str">
        <f>IF(G1391=$J$1,"SI","NO")</f>
        <v>NO</v>
      </c>
      <c r="U1391" s="72"/>
      <c r="V1391" s="7" t="str">
        <f ca="1">IF(color_Celda(E1391)=12106214,"ROSA",IF(color_Celda(E1391)=65535,"AMARILLO",IF(color_Celda(E1391)=5296274,"VERDE",IF(color_Celda(E1391)=16777215,"BLANCO","NO SE"))))</f>
        <v>ROSA</v>
      </c>
      <c r="W1391" s="336"/>
      <c r="X1391" s="336"/>
      <c r="Y1391" s="336"/>
      <c r="Z1391" s="336" t="s">
        <v>3368</v>
      </c>
      <c r="AA1391" s="336" t="s">
        <v>3379</v>
      </c>
      <c r="AB1391" s="63" t="s">
        <v>1173</v>
      </c>
      <c r="AC1391" s="336"/>
    </row>
    <row r="1392" spans="1:29" ht="60" customHeight="1">
      <c r="A1392" s="336">
        <v>1476</v>
      </c>
      <c r="B1392" s="349">
        <v>45309</v>
      </c>
      <c r="C1392" s="568" t="s">
        <v>3244</v>
      </c>
      <c r="D1392" s="336" t="s">
        <v>5389</v>
      </c>
      <c r="E1392" s="355" t="s">
        <v>5390</v>
      </c>
      <c r="F1392" s="336">
        <v>3</v>
      </c>
      <c r="G1392" s="63" t="s">
        <v>5709</v>
      </c>
      <c r="H1392" s="383">
        <v>45327</v>
      </c>
      <c r="I1392" s="65" t="s">
        <v>1206</v>
      </c>
      <c r="J1392" s="65" t="s">
        <v>78</v>
      </c>
      <c r="K1392" s="336">
        <f>IFERROR(VLOOKUP(J1392,Jueces!$A$1:$B$11,2,FALSE),"")</f>
        <v>8</v>
      </c>
      <c r="L1392" s="63" t="s">
        <v>4790</v>
      </c>
      <c r="M1392" s="63" t="s">
        <v>712</v>
      </c>
      <c r="N1392" s="63" t="s">
        <v>5783</v>
      </c>
      <c r="O1392" s="78" t="str">
        <f ca="1">IF(H1392&lt;&gt;"",IF(H1392&lt;=TODAY(),"SI","NO"),"LIMBO")</f>
        <v>SI</v>
      </c>
      <c r="P1392" s="78" t="str">
        <f>IF($P$1=H1392,"DIASOL", "DIANOSOL")</f>
        <v>DIANOSOL</v>
      </c>
      <c r="Q1392" s="63" t="s">
        <v>902</v>
      </c>
      <c r="R1392" s="63" t="str">
        <f>VLOOKUP($Q1392,Resultados!$A$1:$B$49,2,FALSE)</f>
        <v>Juicio Abreviado</v>
      </c>
      <c r="S1392" s="63" t="s">
        <v>1236</v>
      </c>
      <c r="T1392" s="81" t="str">
        <f>IF(G1392=$J$1,"SI","NO")</f>
        <v>NO</v>
      </c>
      <c r="U1392" s="81"/>
      <c r="V1392" s="7" t="str">
        <f ca="1">IF(color_Celda(E1392)=12106214,"ROSA",IF(color_Celda(E1392)=65535,"AMARILLO",IF(color_Celda(E1392)=5296274,"VERDE",IF(color_Celda(E1392)=16777215,"BLANCO","NO SE"))))</f>
        <v>ROSA</v>
      </c>
      <c r="W1392" s="63" t="s">
        <v>1270</v>
      </c>
      <c r="X1392" s="63" t="s">
        <v>4887</v>
      </c>
      <c r="Y1392" s="336"/>
      <c r="Z1392" s="336" t="s">
        <v>748</v>
      </c>
      <c r="AA1392" s="63" t="s">
        <v>3378</v>
      </c>
      <c r="AB1392" s="63" t="s">
        <v>1169</v>
      </c>
      <c r="AC1392" s="336"/>
    </row>
    <row r="1393" spans="1:29" ht="60" customHeight="1">
      <c r="A1393" s="336">
        <v>1437</v>
      </c>
      <c r="B1393" s="349">
        <v>45294</v>
      </c>
      <c r="C1393" s="568">
        <v>0.52361111111111114</v>
      </c>
      <c r="D1393" s="336" t="s">
        <v>5110</v>
      </c>
      <c r="E1393" s="64" t="s">
        <v>5574</v>
      </c>
      <c r="F1393" s="336">
        <v>1</v>
      </c>
      <c r="G1393" s="63" t="s">
        <v>283</v>
      </c>
      <c r="H1393" s="383">
        <v>45328</v>
      </c>
      <c r="I1393" s="65" t="s">
        <v>73</v>
      </c>
      <c r="J1393" s="349" t="s">
        <v>1217</v>
      </c>
      <c r="K1393" s="336">
        <f>IFERROR(VLOOKUP(J1393,Jueces!$A$1:$B$11,2,FALSE),"")</f>
        <v>7</v>
      </c>
      <c r="L1393" s="63" t="s">
        <v>4789</v>
      </c>
      <c r="M1393" s="63" t="s">
        <v>1084</v>
      </c>
      <c r="N1393" s="63" t="s">
        <v>5850</v>
      </c>
      <c r="O1393" s="63" t="str">
        <f ca="1">IF(H1393&lt;&gt;"",IF(H1393&lt;=TODAY(),"SI","NO"),"LIMBO")</f>
        <v>SI</v>
      </c>
      <c r="P1393" s="63" t="str">
        <f>IF($P$1=H1393,"DIASOL", "DIANOSOL")</f>
        <v>DIANOSOL</v>
      </c>
      <c r="Q1393" s="63" t="s">
        <v>902</v>
      </c>
      <c r="R1393" s="63" t="str">
        <f>VLOOKUP($Q1393,Resultados!$A$1:$B$49,2,FALSE)</f>
        <v>Juicio Abreviado</v>
      </c>
      <c r="S1393" s="63" t="s">
        <v>1083</v>
      </c>
      <c r="T1393" s="72" t="str">
        <f>IF(G1393=$J$1,"SI","NO")</f>
        <v>NO</v>
      </c>
      <c r="U1393" s="72"/>
      <c r="V1393" s="7" t="str">
        <f ca="1">IF(color_Celda(E1393)=12106214,"ROSA",IF(color_Celda(E1393)=65535,"AMARILLO",IF(color_Celda(E1393)=5296274,"VERDE",IF(color_Celda(E1393)=16777215,"BLANCO","NO SE"))))</f>
        <v>ROSA</v>
      </c>
      <c r="W1393" s="63" t="s">
        <v>1002</v>
      </c>
      <c r="X1393" s="63" t="s">
        <v>5851</v>
      </c>
      <c r="Y1393" s="336"/>
      <c r="Z1393" s="336" t="s">
        <v>3368</v>
      </c>
      <c r="AA1393" s="63" t="s">
        <v>3378</v>
      </c>
      <c r="AB1393" s="63" t="s">
        <v>1170</v>
      </c>
      <c r="AC1393" s="336"/>
    </row>
    <row r="1394" spans="1:29" ht="60" customHeight="1">
      <c r="A1394" s="336">
        <v>1381</v>
      </c>
      <c r="B1394" s="349">
        <v>45310</v>
      </c>
      <c r="C1394" s="63" t="s">
        <v>1730</v>
      </c>
      <c r="D1394" s="63" t="s">
        <v>5424</v>
      </c>
      <c r="E1394" s="64" t="s">
        <v>5425</v>
      </c>
      <c r="F1394" s="63">
        <v>2</v>
      </c>
      <c r="G1394" s="336" t="s">
        <v>1434</v>
      </c>
      <c r="H1394" s="383">
        <v>45328</v>
      </c>
      <c r="I1394" s="65" t="s">
        <v>73</v>
      </c>
      <c r="J1394" s="349" t="s">
        <v>31</v>
      </c>
      <c r="K1394" s="336">
        <f>IFERROR(VLOOKUP(J1394,Jueces!$A$1:$B$11,2,FALSE),"")</f>
        <v>2</v>
      </c>
      <c r="L1394" s="63" t="s">
        <v>4788</v>
      </c>
      <c r="M1394" s="63" t="s">
        <v>711</v>
      </c>
      <c r="N1394" s="63" t="s">
        <v>5848</v>
      </c>
      <c r="O1394" s="63" t="str">
        <f ca="1">IF(H1394&lt;&gt;"",IF(H1394&lt;=TODAY(),"SI","NO"),"LIMBO")</f>
        <v>SI</v>
      </c>
      <c r="P1394" s="63" t="str">
        <f>IF($P$1=H1394,"DIASOL", "DIANOSOL")</f>
        <v>DIANOSOL</v>
      </c>
      <c r="Q1394" s="63" t="s">
        <v>151</v>
      </c>
      <c r="R1394" s="63" t="str">
        <f>VLOOKUP($Q1394,Resultados!$A$1:$B$49,2,FALSE)</f>
        <v>Prisión Preventiva</v>
      </c>
      <c r="S1394" s="63" t="s">
        <v>1558</v>
      </c>
      <c r="T1394" s="72" t="str">
        <f>IF(G1394=$J$1,"SI","NO")</f>
        <v>NO</v>
      </c>
      <c r="U1394" s="72"/>
      <c r="V1394" s="7" t="str">
        <f ca="1">IF(color_Celda(E1394)=12106214,"ROSA",IF(color_Celda(E1394)=65535,"AMARILLO",IF(color_Celda(E1394)=5296274,"VERDE",IF(color_Celda(E1394)=16777215,"BLANCO","NO SE"))))</f>
        <v>ROSA</v>
      </c>
      <c r="W1394" s="63" t="s">
        <v>1737</v>
      </c>
      <c r="X1394" s="63" t="s">
        <v>5849</v>
      </c>
      <c r="Y1394" s="336"/>
      <c r="Z1394" s="336" t="s">
        <v>1039</v>
      </c>
      <c r="AA1394" s="63" t="s">
        <v>2869</v>
      </c>
      <c r="AB1394" s="63" t="s">
        <v>3258</v>
      </c>
      <c r="AC1394" s="336"/>
    </row>
    <row r="1395" spans="1:29" ht="60" customHeight="1">
      <c r="A1395" s="336">
        <v>1394</v>
      </c>
      <c r="B1395" s="349">
        <v>45310</v>
      </c>
      <c r="C1395" s="63" t="s">
        <v>1796</v>
      </c>
      <c r="D1395" s="63" t="s">
        <v>5455</v>
      </c>
      <c r="E1395" s="64" t="s">
        <v>5456</v>
      </c>
      <c r="F1395" s="336">
        <v>8</v>
      </c>
      <c r="G1395" s="336" t="s">
        <v>2752</v>
      </c>
      <c r="H1395" s="383">
        <v>45328</v>
      </c>
      <c r="I1395" s="65" t="s">
        <v>73</v>
      </c>
      <c r="J1395" s="349" t="s">
        <v>78</v>
      </c>
      <c r="K1395" s="336">
        <f>IFERROR(VLOOKUP(J1395,Jueces!$A$1:$B$11,2,FALSE),"")</f>
        <v>8</v>
      </c>
      <c r="L1395" s="63" t="s">
        <v>4782</v>
      </c>
      <c r="M1395" s="63" t="s">
        <v>712</v>
      </c>
      <c r="N1395" s="63" t="s">
        <v>621</v>
      </c>
      <c r="O1395" s="63" t="str">
        <f ca="1">IF(H1395&lt;&gt;"",IF(H1395&lt;=TODAY(),"SI","NO"),"LIMBO")</f>
        <v>SI</v>
      </c>
      <c r="P1395" s="63" t="str">
        <f>IF($P$1=H1395,"DIASOL", "DIANOSOL")</f>
        <v>DIANOSOL</v>
      </c>
      <c r="Q1395" s="63" t="s">
        <v>151</v>
      </c>
      <c r="R1395" s="63" t="str">
        <f>VLOOKUP($Q1395,Resultados!$A$1:$B$49,2,FALSE)</f>
        <v>Prisión Preventiva</v>
      </c>
      <c r="S1395" s="63" t="s">
        <v>1012</v>
      </c>
      <c r="T1395" s="72" t="str">
        <f>IF(G1395=$J$1,"SI","NO")</f>
        <v>NO</v>
      </c>
      <c r="U1395" s="72"/>
      <c r="V1395" s="7" t="str">
        <f ca="1">IF(color_Celda(E1395)=12106214,"ROSA",IF(color_Celda(E1395)=65535,"AMARILLO",IF(color_Celda(E1395)=5296274,"VERDE",IF(color_Celda(E1395)=16777215,"BLANCO","NO SE"))))</f>
        <v>ROSA</v>
      </c>
      <c r="W1395" s="63" t="s">
        <v>2685</v>
      </c>
      <c r="X1395" s="63" t="s">
        <v>5847</v>
      </c>
      <c r="Y1395" s="336"/>
      <c r="Z1395" s="336" t="s">
        <v>748</v>
      </c>
      <c r="AA1395" s="336" t="s">
        <v>2828</v>
      </c>
      <c r="AB1395" s="63" t="s">
        <v>1171</v>
      </c>
      <c r="AC1395" s="336"/>
    </row>
    <row r="1396" spans="1:29" ht="60" customHeight="1">
      <c r="A1396" s="336">
        <v>1399</v>
      </c>
      <c r="B1396" s="349">
        <v>45313</v>
      </c>
      <c r="C1396" s="63" t="s">
        <v>5181</v>
      </c>
      <c r="D1396" s="63" t="s">
        <v>5464</v>
      </c>
      <c r="E1396" s="64" t="s">
        <v>5465</v>
      </c>
      <c r="F1396" s="336">
        <v>8</v>
      </c>
      <c r="G1396" s="336" t="s">
        <v>568</v>
      </c>
      <c r="H1396" s="383">
        <v>45328</v>
      </c>
      <c r="I1396" s="65" t="s">
        <v>1083</v>
      </c>
      <c r="J1396" s="349" t="s">
        <v>1217</v>
      </c>
      <c r="K1396" s="336">
        <f>IFERROR(VLOOKUP(J1396,Jueces!$A$1:$B$11,2,FALSE),"")</f>
        <v>7</v>
      </c>
      <c r="L1396" s="63" t="s">
        <v>4788</v>
      </c>
      <c r="M1396" s="63" t="s">
        <v>1144</v>
      </c>
      <c r="N1396" s="63" t="s">
        <v>5853</v>
      </c>
      <c r="O1396" s="63" t="str">
        <f ca="1">IF(H1396&lt;&gt;"",IF(H1396&lt;=TODAY(),"SI","NO"),"LIMBO")</f>
        <v>SI</v>
      </c>
      <c r="P1396" s="63" t="str">
        <f>IF($P$1=H1396,"DIASOL", "DIANOSOL")</f>
        <v>DIANOSOL</v>
      </c>
      <c r="Q1396" s="63" t="s">
        <v>151</v>
      </c>
      <c r="R1396" s="63" t="s">
        <v>151</v>
      </c>
      <c r="S1396" s="63" t="s">
        <v>1793</v>
      </c>
      <c r="T1396" s="72" t="str">
        <f>IF(G1396=$J$1,"SI","NO")</f>
        <v>NO</v>
      </c>
      <c r="U1396" s="72"/>
      <c r="V1396" s="7" t="str">
        <f ca="1">IF(color_Celda(E1396)=12106214,"ROSA",IF(color_Celda(E1396)=65535,"AMARILLO",IF(color_Celda(E1396)=5296274,"VERDE",IF(color_Celda(E1396)=16777215,"BLANCO","NO SE"))))</f>
        <v>ROSA</v>
      </c>
      <c r="W1396" s="63" t="s">
        <v>1396</v>
      </c>
      <c r="X1396" s="63" t="s">
        <v>5854</v>
      </c>
      <c r="Y1396" s="336"/>
      <c r="Z1396" s="336" t="s">
        <v>3368</v>
      </c>
      <c r="AA1396" s="336" t="s">
        <v>2869</v>
      </c>
      <c r="AB1396" s="63" t="s">
        <v>3258</v>
      </c>
      <c r="AC1396" s="336"/>
    </row>
    <row r="1397" spans="1:29" ht="60" customHeight="1">
      <c r="A1397" s="336">
        <v>1400</v>
      </c>
      <c r="B1397" s="349">
        <v>45313</v>
      </c>
      <c r="C1397" s="63" t="s">
        <v>1367</v>
      </c>
      <c r="D1397" s="63" t="s">
        <v>5466</v>
      </c>
      <c r="E1397" s="64" t="s">
        <v>5573</v>
      </c>
      <c r="F1397" s="336">
        <v>8</v>
      </c>
      <c r="G1397" s="336" t="s">
        <v>29</v>
      </c>
      <c r="H1397" s="383">
        <v>45328</v>
      </c>
      <c r="I1397" s="65" t="s">
        <v>1083</v>
      </c>
      <c r="J1397" s="349" t="s">
        <v>1216</v>
      </c>
      <c r="K1397" s="336">
        <f>IFERROR(VLOOKUP(J1397,Jueces!$A$1:$B$11,2,FALSE),"")</f>
        <v>1</v>
      </c>
      <c r="L1397" s="63" t="s">
        <v>805</v>
      </c>
      <c r="M1397" s="63" t="s">
        <v>712</v>
      </c>
      <c r="N1397" s="63" t="s">
        <v>4523</v>
      </c>
      <c r="O1397" s="63" t="str">
        <f ca="1">IF(H1397&lt;&gt;"",IF(H1397&lt;=TODAY(),"SI","NO"),"LIMBO")</f>
        <v>SI</v>
      </c>
      <c r="P1397" s="63" t="str">
        <f>IF($P$1=H1397,"DIASOL", "DIANOSOL")</f>
        <v>DIANOSOL</v>
      </c>
      <c r="Q1397" s="63" t="s">
        <v>902</v>
      </c>
      <c r="R1397" s="63" t="s">
        <v>100</v>
      </c>
      <c r="S1397" s="63" t="s">
        <v>1388</v>
      </c>
      <c r="T1397" s="72" t="str">
        <f>IF(G1397=$J$1,"SI","NO")</f>
        <v>NO</v>
      </c>
      <c r="U1397" s="72"/>
      <c r="V1397" s="7" t="str">
        <f ca="1">IF(color_Celda(E1397)=12106214,"ROSA",IF(color_Celda(E1397)=65535,"AMARILLO",IF(color_Celda(E1397)=5296274,"VERDE",IF(color_Celda(E1397)=16777215,"BLANCO","NO SE"))))</f>
        <v>ROSA</v>
      </c>
      <c r="W1397" s="63" t="s">
        <v>2366</v>
      </c>
      <c r="X1397" s="63" t="s">
        <v>4644</v>
      </c>
      <c r="Y1397" s="336"/>
      <c r="Z1397" s="336" t="s">
        <v>770</v>
      </c>
      <c r="AA1397" s="336" t="s">
        <v>3378</v>
      </c>
      <c r="AB1397" s="63" t="s">
        <v>1171</v>
      </c>
      <c r="AC1397" s="336"/>
    </row>
    <row r="1398" spans="1:29" ht="60" customHeight="1">
      <c r="A1398" s="336">
        <v>1417</v>
      </c>
      <c r="B1398" s="349">
        <v>45314</v>
      </c>
      <c r="C1398" s="63" t="s">
        <v>3171</v>
      </c>
      <c r="D1398" s="63" t="s">
        <v>5510</v>
      </c>
      <c r="E1398" s="64" t="s">
        <v>5733</v>
      </c>
      <c r="F1398" s="336">
        <v>2</v>
      </c>
      <c r="G1398" s="336" t="s">
        <v>3791</v>
      </c>
      <c r="H1398" s="383">
        <v>45328</v>
      </c>
      <c r="I1398" s="65" t="s">
        <v>1083</v>
      </c>
      <c r="J1398" s="349" t="s">
        <v>78</v>
      </c>
      <c r="K1398" s="336">
        <v>8</v>
      </c>
      <c r="L1398" s="63" t="s">
        <v>4778</v>
      </c>
      <c r="M1398" s="63" t="s">
        <v>711</v>
      </c>
      <c r="N1398" s="63" t="s">
        <v>5855</v>
      </c>
      <c r="O1398" s="63" t="str">
        <f ca="1">IF(H1398&lt;&gt;"",IF(H1398&lt;=TODAY(),"SI","NO"),"LIMBO")</f>
        <v>SI</v>
      </c>
      <c r="P1398" s="63" t="str">
        <f>IF($P$1=H1398,"DIASOL", "DIANOSOL")</f>
        <v>DIANOSOL</v>
      </c>
      <c r="Q1398" s="63" t="s">
        <v>903</v>
      </c>
      <c r="R1398" s="63" t="s">
        <v>100</v>
      </c>
      <c r="S1398" s="63" t="s">
        <v>1121</v>
      </c>
      <c r="T1398" s="72" t="str">
        <f>IF(G1398=$J$1,"SI","NO")</f>
        <v>NO</v>
      </c>
      <c r="U1398" s="72"/>
      <c r="V1398" s="7" t="str">
        <f ca="1">IF(color_Celda(E1398)=12106214,"ROSA",IF(color_Celda(E1398)=65535,"AMARILLO",IF(color_Celda(E1398)=5296274,"VERDE",IF(color_Celda(E1398)=16777215,"BLANCO","NO SE"))))</f>
        <v>ROSA</v>
      </c>
      <c r="W1398" s="63" t="s">
        <v>4492</v>
      </c>
      <c r="X1398" s="63" t="s">
        <v>5856</v>
      </c>
      <c r="Y1398" s="336"/>
      <c r="Z1398" s="336" t="s">
        <v>748</v>
      </c>
      <c r="AA1398" s="336" t="s">
        <v>1167</v>
      </c>
      <c r="AB1398" s="63" t="s">
        <v>5776</v>
      </c>
      <c r="AC1398" s="336"/>
    </row>
    <row r="1399" spans="1:29" ht="60" customHeight="1">
      <c r="A1399" s="336">
        <v>1422</v>
      </c>
      <c r="B1399" s="349">
        <v>45315</v>
      </c>
      <c r="C1399" s="63" t="s">
        <v>4573</v>
      </c>
      <c r="D1399" s="63" t="s">
        <v>5522</v>
      </c>
      <c r="E1399" s="64" t="s">
        <v>5523</v>
      </c>
      <c r="F1399" s="336">
        <v>3</v>
      </c>
      <c r="G1399" s="336" t="s">
        <v>3323</v>
      </c>
      <c r="H1399" s="208">
        <v>45328</v>
      </c>
      <c r="I1399" s="65" t="s">
        <v>1206</v>
      </c>
      <c r="J1399" s="349" t="s">
        <v>31</v>
      </c>
      <c r="K1399" s="336">
        <f>IFERROR(VLOOKUP(J1399,Jueces!$A$1:$B$11,2,FALSE),"")</f>
        <v>2</v>
      </c>
      <c r="L1399" s="63" t="s">
        <v>4788</v>
      </c>
      <c r="M1399" s="63" t="s">
        <v>712</v>
      </c>
      <c r="N1399" s="63" t="s">
        <v>5852</v>
      </c>
      <c r="O1399" s="63" t="str">
        <f ca="1">IF(H1399&lt;&gt;"",IF(H1399&lt;=TODAY(),"SI","NO"),"LIMBO")</f>
        <v>SI</v>
      </c>
      <c r="P1399" s="63" t="str">
        <f>IF($P$1=H1399,"DIASOL", "DIANOSOL")</f>
        <v>DIANOSOL</v>
      </c>
      <c r="Q1399" s="63" t="s">
        <v>151</v>
      </c>
      <c r="R1399" s="63" t="s">
        <v>151</v>
      </c>
      <c r="S1399" s="63" t="s">
        <v>2663</v>
      </c>
      <c r="T1399" s="72" t="str">
        <f>IF(G1399=$J$1,"SI","NO")</f>
        <v>NO</v>
      </c>
      <c r="U1399" s="72"/>
      <c r="V1399" s="7" t="str">
        <f ca="1">IF(color_Celda(E1399)=12106214,"ROSA",IF(color_Celda(E1399)=65535,"AMARILLO",IF(color_Celda(E1399)=5296274,"VERDE",IF(color_Celda(E1399)=16777215,"BLANCO","NO SE"))))</f>
        <v>ROSA</v>
      </c>
      <c r="W1399" s="63" t="s">
        <v>1626</v>
      </c>
      <c r="X1399" s="63" t="s">
        <v>4891</v>
      </c>
      <c r="Y1399" s="336"/>
      <c r="Z1399" s="336" t="s">
        <v>748</v>
      </c>
      <c r="AA1399" s="336" t="s">
        <v>3379</v>
      </c>
      <c r="AB1399" s="63" t="s">
        <v>1170</v>
      </c>
      <c r="AC1399" s="336"/>
    </row>
    <row r="1400" spans="1:29" ht="60" customHeight="1">
      <c r="A1400" s="336">
        <v>1407</v>
      </c>
      <c r="B1400" s="349">
        <v>45313</v>
      </c>
      <c r="C1400" s="63" t="s">
        <v>73</v>
      </c>
      <c r="D1400" s="63" t="s">
        <v>5480</v>
      </c>
      <c r="E1400" s="64" t="s">
        <v>5679</v>
      </c>
      <c r="F1400" s="336">
        <v>2</v>
      </c>
      <c r="G1400" s="63" t="s">
        <v>1433</v>
      </c>
      <c r="H1400" s="383">
        <v>45328</v>
      </c>
      <c r="I1400" s="65" t="s">
        <v>3171</v>
      </c>
      <c r="J1400" s="65" t="s">
        <v>1216</v>
      </c>
      <c r="K1400" s="336">
        <f>IFERROR(VLOOKUP(J1400,Jueces!$A$1:$B$11,2,FALSE),"")</f>
        <v>1</v>
      </c>
      <c r="L1400" s="63" t="s">
        <v>806</v>
      </c>
      <c r="M1400" s="63" t="s">
        <v>712</v>
      </c>
      <c r="N1400" s="63" t="s">
        <v>577</v>
      </c>
      <c r="O1400" s="63" t="str">
        <f ca="1">IF(H1400&lt;&gt;"",IF(H1400&lt;=TODAY(),"SI","NO"),"LIMBO")</f>
        <v>SI</v>
      </c>
      <c r="P1400" s="63" t="str">
        <f>IF($P$1=H1400,"DIASOL", "DIANOSOL")</f>
        <v>DIANOSOL</v>
      </c>
      <c r="Q1400" s="63" t="s">
        <v>151</v>
      </c>
      <c r="R1400" s="63" t="s">
        <v>151</v>
      </c>
      <c r="S1400" s="63" t="s">
        <v>3465</v>
      </c>
      <c r="T1400" s="72" t="str">
        <f>IF(G1400=$J$1,"SI","NO")</f>
        <v>NO</v>
      </c>
      <c r="U1400" s="72"/>
      <c r="V1400" s="7" t="str">
        <f ca="1">IF(color_Celda(E1400)=12106214,"ROSA",IF(color_Celda(E1400)=65535,"AMARILLO",IF(color_Celda(E1400)=5296274,"VERDE",IF(color_Celda(E1400)=16777215,"BLANCO","NO SE"))))</f>
        <v>ROSA</v>
      </c>
      <c r="W1400" s="63" t="s">
        <v>5181</v>
      </c>
      <c r="X1400" s="63" t="s">
        <v>4644</v>
      </c>
      <c r="Y1400" s="336"/>
      <c r="Z1400" s="336" t="s">
        <v>770</v>
      </c>
      <c r="AA1400" s="63" t="s">
        <v>1167</v>
      </c>
      <c r="AB1400" s="63" t="s">
        <v>1169</v>
      </c>
      <c r="AC1400" s="336"/>
    </row>
    <row r="1401" spans="1:29" ht="60" customHeight="1">
      <c r="A1401" s="336">
        <v>1401</v>
      </c>
      <c r="B1401" s="349">
        <v>45310</v>
      </c>
      <c r="C1401" s="63" t="s">
        <v>5467</v>
      </c>
      <c r="D1401" s="63" t="s">
        <v>5468</v>
      </c>
      <c r="E1401" s="64" t="s">
        <v>5469</v>
      </c>
      <c r="F1401" s="336">
        <v>7</v>
      </c>
      <c r="G1401" s="336" t="s">
        <v>3324</v>
      </c>
      <c r="H1401" s="383">
        <v>45329</v>
      </c>
      <c r="I1401" s="65" t="s">
        <v>73</v>
      </c>
      <c r="J1401" s="349" t="s">
        <v>1217</v>
      </c>
      <c r="K1401" s="336">
        <f>IFERROR(VLOOKUP(J1401,Jueces!$A$1:$B$11,2,FALSE),"")</f>
        <v>7</v>
      </c>
      <c r="L1401" s="63" t="s">
        <v>4788</v>
      </c>
      <c r="M1401" s="63" t="s">
        <v>885</v>
      </c>
      <c r="N1401" s="63" t="s">
        <v>2550</v>
      </c>
      <c r="O1401" s="63" t="str">
        <f ca="1">IF(H1401&lt;&gt;"",IF(H1401&lt;=TODAY(),"SI","NO"),"LIMBO")</f>
        <v>SI</v>
      </c>
      <c r="P1401" s="63" t="str">
        <f>IF($P$1=H1401,"DIASOL", "DIANOSOL")</f>
        <v>DIANOSOL</v>
      </c>
      <c r="Q1401" s="63" t="s">
        <v>897</v>
      </c>
      <c r="R1401" s="63" t="s">
        <v>900</v>
      </c>
      <c r="S1401" s="63" t="s">
        <v>2659</v>
      </c>
      <c r="T1401" s="72" t="str">
        <f>IF(G1401=$J$1,"SI","NO")</f>
        <v>NO</v>
      </c>
      <c r="U1401" s="72"/>
      <c r="V1401" s="7" t="str">
        <f ca="1">IF(color_Celda(E1401)=12106214,"ROSA",IF(color_Celda(E1401)=65535,"AMARILLO",IF(color_Celda(E1401)=5296274,"VERDE",IF(color_Celda(E1401)=16777215,"BLANCO","NO SE"))))</f>
        <v>ROSA</v>
      </c>
      <c r="W1401" s="63" t="s">
        <v>1233</v>
      </c>
      <c r="X1401" s="63" t="s">
        <v>4644</v>
      </c>
      <c r="Y1401" s="336"/>
      <c r="Z1401" s="336" t="s">
        <v>1039</v>
      </c>
      <c r="AA1401" s="336" t="s">
        <v>1167</v>
      </c>
      <c r="AB1401" s="63" t="s">
        <v>1173</v>
      </c>
      <c r="AC1401" s="336"/>
    </row>
    <row r="1402" spans="1:29" ht="60" customHeight="1">
      <c r="A1402" s="336">
        <v>1395</v>
      </c>
      <c r="B1402" s="349">
        <v>45313</v>
      </c>
      <c r="C1402" s="63" t="s">
        <v>2878</v>
      </c>
      <c r="D1402" s="63" t="s">
        <v>5457</v>
      </c>
      <c r="E1402" s="64" t="s">
        <v>5458</v>
      </c>
      <c r="F1402" s="63">
        <v>2</v>
      </c>
      <c r="G1402" s="336" t="s">
        <v>2815</v>
      </c>
      <c r="H1402" s="208">
        <v>45329</v>
      </c>
      <c r="I1402" s="65" t="s">
        <v>73</v>
      </c>
      <c r="J1402" s="349" t="s">
        <v>4932</v>
      </c>
      <c r="K1402" s="63" t="s">
        <v>1916</v>
      </c>
      <c r="L1402" s="63" t="s">
        <v>4767</v>
      </c>
      <c r="M1402" s="63" t="s">
        <v>711</v>
      </c>
      <c r="N1402" s="63" t="s">
        <v>5863</v>
      </c>
      <c r="O1402" s="63" t="str">
        <f ca="1">IF(H1402&lt;&gt;"",IF(H1402&lt;=TODAY(),"SI","NO"),"LIMBO")</f>
        <v>SI</v>
      </c>
      <c r="P1402" s="63" t="str">
        <f>IF($P$1=H1402,"DIASOL", "DIANOSOL")</f>
        <v>DIANOSOL</v>
      </c>
      <c r="Q1402" s="63" t="s">
        <v>897</v>
      </c>
      <c r="R1402" s="63" t="s">
        <v>900</v>
      </c>
      <c r="S1402" s="63" t="s">
        <v>1242</v>
      </c>
      <c r="T1402" s="72" t="str">
        <f>IF(G1402=$J$1,"SI","NO")</f>
        <v>NO</v>
      </c>
      <c r="U1402" s="72"/>
      <c r="V1402" s="7" t="str">
        <f ca="1">IF(color_Celda(E1402)=12106214,"ROSA",IF(color_Celda(E1402)=65535,"AMARILLO",IF(color_Celda(E1402)=5296274,"VERDE",IF(color_Celda(E1402)=16777215,"BLANCO","NO SE"))))</f>
        <v>ROSA</v>
      </c>
      <c r="W1402" s="63" t="s">
        <v>1126</v>
      </c>
      <c r="X1402" s="63" t="s">
        <v>3482</v>
      </c>
      <c r="Y1402" s="336"/>
      <c r="Z1402" s="336" t="s">
        <v>743</v>
      </c>
      <c r="AA1402" s="336" t="s">
        <v>3378</v>
      </c>
      <c r="AB1402" s="63" t="s">
        <v>3258</v>
      </c>
      <c r="AC1402" s="336"/>
    </row>
    <row r="1403" spans="1:29" ht="60" customHeight="1">
      <c r="A1403" s="336">
        <v>1396</v>
      </c>
      <c r="B1403" s="349">
        <v>45313</v>
      </c>
      <c r="C1403" s="63" t="s">
        <v>77</v>
      </c>
      <c r="D1403" s="63" t="s">
        <v>5459</v>
      </c>
      <c r="E1403" s="64" t="s">
        <v>5460</v>
      </c>
      <c r="F1403" s="63">
        <v>2</v>
      </c>
      <c r="G1403" s="336" t="s">
        <v>1434</v>
      </c>
      <c r="H1403" s="383">
        <v>45329</v>
      </c>
      <c r="I1403" s="65" t="s">
        <v>73</v>
      </c>
      <c r="J1403" s="349" t="s">
        <v>31</v>
      </c>
      <c r="K1403" s="336">
        <f>IFERROR(VLOOKUP(J1403,Jueces!$A$1:$B$11,2,FALSE),"")</f>
        <v>2</v>
      </c>
      <c r="L1403" s="63" t="s">
        <v>4789</v>
      </c>
      <c r="M1403" s="63" t="s">
        <v>1084</v>
      </c>
      <c r="N1403" s="63" t="s">
        <v>5857</v>
      </c>
      <c r="O1403" s="63" t="str">
        <f ca="1">IF(H1403&lt;&gt;"",IF(H1403&lt;=TODAY(),"SI","NO"),"LIMBO")</f>
        <v>SI</v>
      </c>
      <c r="P1403" s="63" t="str">
        <f>IF($P$1=H1403,"DIASOL", "DIANOSOL")</f>
        <v>DIANOSOL</v>
      </c>
      <c r="Q1403" s="63" t="s">
        <v>902</v>
      </c>
      <c r="R1403" s="63" t="str">
        <f>VLOOKUP($Q1403,Resultados!$A$1:$B$49,2,FALSE)</f>
        <v>Juicio Abreviado</v>
      </c>
      <c r="S1403" s="63" t="s">
        <v>749</v>
      </c>
      <c r="T1403" s="72" t="str">
        <f>IF(G1403=$J$1,"SI","NO")</f>
        <v>NO</v>
      </c>
      <c r="U1403" s="72"/>
      <c r="V1403" s="7" t="str">
        <f ca="1">IF(color_Celda(E1403)=12106214,"ROSA",IF(color_Celda(E1403)=65535,"AMARILLO",IF(color_Celda(E1403)=5296274,"VERDE",IF(color_Celda(E1403)=16777215,"BLANCO","NO SE"))))</f>
        <v>ROSA</v>
      </c>
      <c r="W1403" s="63" t="s">
        <v>1242</v>
      </c>
      <c r="X1403" s="63" t="s">
        <v>4644</v>
      </c>
      <c r="Y1403" s="336"/>
      <c r="Z1403" s="336" t="s">
        <v>770</v>
      </c>
      <c r="AA1403" s="336" t="s">
        <v>2828</v>
      </c>
      <c r="AB1403" s="63" t="s">
        <v>1171</v>
      </c>
      <c r="AC1403" s="336"/>
    </row>
    <row r="1404" spans="1:29" ht="60" customHeight="1">
      <c r="A1404" s="336">
        <v>1410</v>
      </c>
      <c r="B1404" s="349">
        <v>45314</v>
      </c>
      <c r="C1404" s="63" t="s">
        <v>3682</v>
      </c>
      <c r="D1404" s="63" t="s">
        <v>5569</v>
      </c>
      <c r="E1404" s="64" t="s">
        <v>5495</v>
      </c>
      <c r="F1404" s="336">
        <v>3</v>
      </c>
      <c r="G1404" s="336" t="s">
        <v>3323</v>
      </c>
      <c r="H1404" s="383">
        <v>45329</v>
      </c>
      <c r="I1404" s="65" t="s">
        <v>73</v>
      </c>
      <c r="J1404" s="349" t="s">
        <v>78</v>
      </c>
      <c r="K1404" s="336">
        <f>IFERROR(VLOOKUP(J1404,Jueces!$A$1:$B$11,2,FALSE),"")</f>
        <v>8</v>
      </c>
      <c r="L1404" s="63" t="s">
        <v>4790</v>
      </c>
      <c r="M1404" s="63" t="s">
        <v>712</v>
      </c>
      <c r="N1404" s="63" t="s">
        <v>5817</v>
      </c>
      <c r="O1404" s="63" t="str">
        <f ca="1">IF(H1404&lt;&gt;"",IF(H1404&lt;=TODAY(),"SI","NO"),"LIMBO")</f>
        <v>SI</v>
      </c>
      <c r="P1404" s="63" t="str">
        <f>IF($P$1=H1404,"DIASOL", "DIANOSOL")</f>
        <v>DIANOSOL</v>
      </c>
      <c r="Q1404" s="63" t="s">
        <v>1010</v>
      </c>
      <c r="R1404" s="63" t="s">
        <v>947</v>
      </c>
      <c r="S1404" s="63"/>
      <c r="T1404" s="72" t="str">
        <f>IF(G1404=$J$1,"SI","NO")</f>
        <v>NO</v>
      </c>
      <c r="U1404" s="72"/>
      <c r="V1404" s="7" t="str">
        <f ca="1">IF(color_Celda(E1404)=12106214,"ROSA",IF(color_Celda(E1404)=65535,"AMARILLO",IF(color_Celda(E1404)=5296274,"VERDE",IF(color_Celda(E1404)=16777215,"BLANCO","NO SE"))))</f>
        <v>ROSA</v>
      </c>
      <c r="W1404" s="336"/>
      <c r="X1404" s="336"/>
      <c r="Y1404" s="336"/>
      <c r="Z1404" s="336" t="s">
        <v>748</v>
      </c>
      <c r="AA1404" s="336" t="s">
        <v>3379</v>
      </c>
      <c r="AB1404" s="63" t="s">
        <v>1170</v>
      </c>
      <c r="AC1404" s="336"/>
    </row>
    <row r="1405" spans="1:29" ht="60" customHeight="1">
      <c r="A1405" s="336">
        <v>1386</v>
      </c>
      <c r="B1405" s="65">
        <v>45308</v>
      </c>
      <c r="C1405" s="63" t="s">
        <v>75</v>
      </c>
      <c r="D1405" s="325" t="s">
        <v>5435</v>
      </c>
      <c r="E1405" s="64" t="s">
        <v>5436</v>
      </c>
      <c r="F1405" s="63">
        <v>2</v>
      </c>
      <c r="G1405" s="336" t="s">
        <v>1433</v>
      </c>
      <c r="H1405" s="383">
        <v>45329</v>
      </c>
      <c r="I1405" s="65" t="s">
        <v>1083</v>
      </c>
      <c r="J1405" s="349" t="s">
        <v>31</v>
      </c>
      <c r="K1405" s="336">
        <v>2</v>
      </c>
      <c r="L1405" s="63" t="s">
        <v>806</v>
      </c>
      <c r="M1405" s="63" t="s">
        <v>1084</v>
      </c>
      <c r="N1405" s="63" t="s">
        <v>5858</v>
      </c>
      <c r="O1405" s="63" t="str">
        <f ca="1">IF(H1405&lt;&gt;"",IF(H1405&lt;=TODAY(),"SI","NO"),"LIMBO")</f>
        <v>SI</v>
      </c>
      <c r="P1405" s="63" t="str">
        <f>IF($P$1=H1405,"DIASOL", "DIANOSOL")</f>
        <v>DIANOSOL</v>
      </c>
      <c r="Q1405" s="63" t="s">
        <v>903</v>
      </c>
      <c r="R1405" s="63" t="s">
        <v>100</v>
      </c>
      <c r="S1405" s="63" t="s">
        <v>1013</v>
      </c>
      <c r="T1405" s="72" t="str">
        <f>IF(G1405=$J$1,"SI","NO")</f>
        <v>NO</v>
      </c>
      <c r="U1405" s="72"/>
      <c r="V1405" s="7" t="str">
        <f ca="1">IF(color_Celda(E1405)=12106214,"ROSA",IF(color_Celda(E1405)=65535,"AMARILLO",IF(color_Celda(E1405)=5296274,"VERDE",IF(color_Celda(E1405)=16777215,"BLANCO","NO SE"))))</f>
        <v>ROSA</v>
      </c>
      <c r="W1405" s="63" t="s">
        <v>1164</v>
      </c>
      <c r="X1405" s="63" t="s">
        <v>4644</v>
      </c>
      <c r="Y1405" s="336"/>
      <c r="Z1405" s="336" t="s">
        <v>770</v>
      </c>
      <c r="AA1405" s="7" t="s">
        <v>2828</v>
      </c>
      <c r="AB1405" s="63" t="s">
        <v>1169</v>
      </c>
      <c r="AC1405" s="336" t="s">
        <v>1792</v>
      </c>
    </row>
    <row r="1406" spans="1:29" ht="60" customHeight="1">
      <c r="A1406" s="336">
        <v>1413</v>
      </c>
      <c r="B1406" s="65">
        <v>45314</v>
      </c>
      <c r="C1406" s="63" t="s">
        <v>1907</v>
      </c>
      <c r="D1406" s="63" t="s">
        <v>5502</v>
      </c>
      <c r="E1406" s="64" t="s">
        <v>5532</v>
      </c>
      <c r="F1406" s="336">
        <v>8</v>
      </c>
      <c r="G1406" s="336" t="s">
        <v>568</v>
      </c>
      <c r="H1406" s="383">
        <v>45329</v>
      </c>
      <c r="I1406" s="65" t="s">
        <v>1083</v>
      </c>
      <c r="J1406" s="349" t="s">
        <v>4931</v>
      </c>
      <c r="K1406" s="63" t="s">
        <v>4118</v>
      </c>
      <c r="L1406" s="63" t="s">
        <v>4780</v>
      </c>
      <c r="M1406" s="63" t="s">
        <v>5533</v>
      </c>
      <c r="N1406" s="63" t="s">
        <v>5858</v>
      </c>
      <c r="O1406" s="63" t="str">
        <f ca="1">IF(H1406&lt;&gt;"",IF(H1406&lt;=TODAY(),"SI","NO"),"LIMBO")</f>
        <v>SI</v>
      </c>
      <c r="P1406" s="63" t="str">
        <f>IF($P$1=H1406,"DIASOL", "DIANOSOL")</f>
        <v>DIANOSOL</v>
      </c>
      <c r="Q1406" s="63" t="s">
        <v>903</v>
      </c>
      <c r="R1406" s="63" t="s">
        <v>100</v>
      </c>
      <c r="S1406" s="63" t="s">
        <v>1384</v>
      </c>
      <c r="T1406" s="72" t="str">
        <f>IF(G1406=$J$1,"SI","NO")</f>
        <v>NO</v>
      </c>
      <c r="U1406" s="72"/>
      <c r="V1406" s="7" t="str">
        <f ca="1">IF(color_Celda(E1406)=12106214,"ROSA",IF(color_Celda(E1406)=65535,"AMARILLO",IF(color_Celda(E1406)=5296274,"VERDE",IF(color_Celda(E1406)=16777215,"BLANCO","NO SE"))))</f>
        <v>ROSA</v>
      </c>
      <c r="W1406" s="63" t="s">
        <v>75</v>
      </c>
      <c r="X1406" s="63" t="s">
        <v>5860</v>
      </c>
      <c r="Y1406" s="336"/>
      <c r="Z1406" s="336" t="s">
        <v>1038</v>
      </c>
      <c r="AA1406" s="392" t="s">
        <v>3378</v>
      </c>
      <c r="AB1406" s="63" t="s">
        <v>3258</v>
      </c>
      <c r="AC1406" s="336"/>
    </row>
    <row r="1407" spans="1:29" ht="60" customHeight="1">
      <c r="A1407" s="336">
        <v>1428</v>
      </c>
      <c r="B1407" s="349">
        <v>45315</v>
      </c>
      <c r="C1407" s="63" t="s">
        <v>1270</v>
      </c>
      <c r="D1407" s="63" t="s">
        <v>5530</v>
      </c>
      <c r="E1407" s="64" t="s">
        <v>5531</v>
      </c>
      <c r="F1407" s="336">
        <v>2</v>
      </c>
      <c r="G1407" s="336" t="s">
        <v>2752</v>
      </c>
      <c r="H1407" s="208">
        <v>45329</v>
      </c>
      <c r="I1407" s="65" t="s">
        <v>1083</v>
      </c>
      <c r="J1407" s="349" t="s">
        <v>35</v>
      </c>
      <c r="K1407" s="336">
        <v>3</v>
      </c>
      <c r="L1407" s="63" t="s">
        <v>805</v>
      </c>
      <c r="M1407" s="63" t="s">
        <v>1378</v>
      </c>
      <c r="N1407" s="63" t="s">
        <v>1846</v>
      </c>
      <c r="O1407" s="63" t="str">
        <f ca="1">IF(H1407&lt;&gt;"",IF(H1407&lt;=TODAY(),"SI","NO"),"LIMBO")</f>
        <v>SI</v>
      </c>
      <c r="P1407" s="63" t="str">
        <f>IF($P$1=H1407,"DIASOL", "DIANOSOL")</f>
        <v>DIANOSOL</v>
      </c>
      <c r="Q1407" s="63" t="s">
        <v>902</v>
      </c>
      <c r="R1407" s="63" t="s">
        <v>100</v>
      </c>
      <c r="S1407" s="63" t="s">
        <v>1234</v>
      </c>
      <c r="T1407" s="72" t="str">
        <f>IF(G1407=$J$1,"SI","NO")</f>
        <v>NO</v>
      </c>
      <c r="U1407" s="72"/>
      <c r="V1407" s="7" t="str">
        <f ca="1">IF(color_Celda(E1407)=12106214,"ROSA",IF(color_Celda(E1407)=65535,"AMARILLO",IF(color_Celda(E1407)=5296274,"VERDE",IF(color_Celda(E1407)=16777215,"BLANCO","NO SE"))))</f>
        <v>ROSA</v>
      </c>
      <c r="W1407" s="63" t="s">
        <v>1001</v>
      </c>
      <c r="X1407" s="63" t="s">
        <v>4644</v>
      </c>
      <c r="Y1407" s="336"/>
      <c r="Z1407" s="336" t="s">
        <v>3368</v>
      </c>
      <c r="AA1407" s="328" t="s">
        <v>1167</v>
      </c>
      <c r="AB1407" s="63" t="s">
        <v>1171</v>
      </c>
      <c r="AC1407" s="336"/>
    </row>
    <row r="1408" spans="1:29" ht="60" customHeight="1">
      <c r="A1408" s="336">
        <v>1442</v>
      </c>
      <c r="B1408" s="349">
        <v>45317</v>
      </c>
      <c r="C1408" s="63" t="s">
        <v>1232</v>
      </c>
      <c r="D1408" s="63" t="s">
        <v>5581</v>
      </c>
      <c r="E1408" s="64" t="s">
        <v>5582</v>
      </c>
      <c r="F1408" s="336">
        <v>3</v>
      </c>
      <c r="G1408" s="63" t="s">
        <v>5710</v>
      </c>
      <c r="H1408" s="383">
        <v>45329</v>
      </c>
      <c r="I1408" s="65" t="s">
        <v>1083</v>
      </c>
      <c r="J1408" s="65" t="s">
        <v>78</v>
      </c>
      <c r="K1408" s="336">
        <v>8</v>
      </c>
      <c r="L1408" s="63" t="s">
        <v>4789</v>
      </c>
      <c r="M1408" s="63" t="s">
        <v>692</v>
      </c>
      <c r="N1408" s="63" t="s">
        <v>5859</v>
      </c>
      <c r="O1408" s="63" t="str">
        <f ca="1">IF(H1408&lt;&gt;"",IF(H1408&lt;=TODAY(),"SI","NO"),"LIMBO")</f>
        <v>SI</v>
      </c>
      <c r="P1408" s="63" t="str">
        <f>IF($P$1=H1408,"DIASOL", "DIANOSOL")</f>
        <v>DIANOSOL</v>
      </c>
      <c r="Q1408" s="63" t="s">
        <v>902</v>
      </c>
      <c r="R1408" s="63" t="s">
        <v>100</v>
      </c>
      <c r="S1408" s="63" t="s">
        <v>1387</v>
      </c>
      <c r="T1408" s="72" t="str">
        <f>IF(G1408=$J$1,"SI","NO")</f>
        <v>NO</v>
      </c>
      <c r="U1408" s="72"/>
      <c r="V1408" s="7" t="str">
        <f ca="1">IF(color_Celda(E1408)=12106214,"ROSA",IF(color_Celda(E1408)=65535,"AMARILLO",IF(color_Celda(E1408)=5296274,"VERDE",IF(color_Celda(E1408)=16777215,"BLANCO","NO SE"))))</f>
        <v>ROSA</v>
      </c>
      <c r="W1408" s="63" t="s">
        <v>1164</v>
      </c>
      <c r="X1408" s="63" t="s">
        <v>4644</v>
      </c>
      <c r="Y1408" s="336"/>
      <c r="Z1408" s="336" t="s">
        <v>748</v>
      </c>
      <c r="AA1408" s="63" t="s">
        <v>3378</v>
      </c>
      <c r="AB1408" s="63" t="s">
        <v>1173</v>
      </c>
      <c r="AC1408" s="336"/>
    </row>
    <row r="1409" spans="1:29" ht="60" customHeight="1">
      <c r="A1409" s="336">
        <v>1419</v>
      </c>
      <c r="B1409" s="349">
        <v>45314</v>
      </c>
      <c r="C1409" s="63" t="s">
        <v>3171</v>
      </c>
      <c r="D1409" s="63" t="s">
        <v>5516</v>
      </c>
      <c r="E1409" s="64" t="s">
        <v>5517</v>
      </c>
      <c r="F1409" s="336">
        <v>2</v>
      </c>
      <c r="G1409" s="336" t="s">
        <v>2766</v>
      </c>
      <c r="H1409" s="383">
        <v>45329</v>
      </c>
      <c r="I1409" s="65" t="s">
        <v>75</v>
      </c>
      <c r="J1409" s="349" t="s">
        <v>1216</v>
      </c>
      <c r="K1409" s="336">
        <f>IFERROR(VLOOKUP(J1409,Jueces!$A$1:$B$11,2,FALSE),"")</f>
        <v>1</v>
      </c>
      <c r="L1409" s="63" t="s">
        <v>791</v>
      </c>
      <c r="M1409" s="63" t="s">
        <v>711</v>
      </c>
      <c r="N1409" s="63" t="s">
        <v>2550</v>
      </c>
      <c r="O1409" s="63" t="str">
        <f ca="1">IF(H1409&lt;&gt;"",IF(H1409&lt;=TODAY(),"SI","NO"),"LIMBO")</f>
        <v>SI</v>
      </c>
      <c r="P1409" s="63" t="str">
        <f>IF($P$1=H1409,"DIASOL", "DIANOSOL")</f>
        <v>DIANOSOL</v>
      </c>
      <c r="Q1409" s="63" t="s">
        <v>897</v>
      </c>
      <c r="R1409" s="63" t="s">
        <v>900</v>
      </c>
      <c r="S1409" s="63" t="s">
        <v>2259</v>
      </c>
      <c r="T1409" s="72" t="str">
        <f>IF(G1409=$J$1,"SI","NO")</f>
        <v>NO</v>
      </c>
      <c r="U1409" s="72"/>
      <c r="V1409" s="7" t="str">
        <f ca="1">IF(color_Celda(E1409)=12106214,"ROSA",IF(color_Celda(E1409)=65535,"AMARILLO",IF(color_Celda(E1409)=5296274,"VERDE",IF(color_Celda(E1409)=16777215,"BLANCO","NO SE"))))</f>
        <v>ROSA</v>
      </c>
      <c r="W1409" s="63" t="s">
        <v>5861</v>
      </c>
      <c r="X1409" s="63" t="s">
        <v>5862</v>
      </c>
      <c r="Y1409" s="336"/>
      <c r="Z1409" s="336" t="s">
        <v>748</v>
      </c>
      <c r="AA1409" s="336" t="s">
        <v>2869</v>
      </c>
      <c r="AB1409" s="63" t="s">
        <v>1170</v>
      </c>
      <c r="AC1409" s="336"/>
    </row>
    <row r="1410" spans="1:29" ht="60" customHeight="1">
      <c r="A1410" s="336">
        <v>1405</v>
      </c>
      <c r="B1410" s="349">
        <v>45313</v>
      </c>
      <c r="C1410" s="63" t="s">
        <v>73</v>
      </c>
      <c r="D1410" s="63" t="s">
        <v>5476</v>
      </c>
      <c r="E1410" s="64" t="s">
        <v>5477</v>
      </c>
      <c r="F1410" s="63">
        <v>2</v>
      </c>
      <c r="G1410" s="336" t="s">
        <v>29</v>
      </c>
      <c r="H1410" s="383">
        <v>45329</v>
      </c>
      <c r="I1410" s="65" t="s">
        <v>77</v>
      </c>
      <c r="J1410" s="349" t="s">
        <v>1216</v>
      </c>
      <c r="K1410" s="336">
        <v>1</v>
      </c>
      <c r="L1410" s="63" t="s">
        <v>4788</v>
      </c>
      <c r="M1410" s="63" t="s">
        <v>885</v>
      </c>
      <c r="N1410" s="63" t="s">
        <v>4525</v>
      </c>
      <c r="O1410" s="63" t="str">
        <f ca="1">IF(H1410&lt;&gt;"",IF(H1410&lt;=TODAY(),"SI","NO"),"LIMBO")</f>
        <v>SI</v>
      </c>
      <c r="P1410" s="63" t="str">
        <f>IF($P$1=H1410,"DIASOL", "DIANOSOL")</f>
        <v>DIANOSOL</v>
      </c>
      <c r="Q1410" s="63" t="s">
        <v>151</v>
      </c>
      <c r="R1410" s="63" t="s">
        <v>151</v>
      </c>
      <c r="S1410" s="63" t="s">
        <v>4388</v>
      </c>
      <c r="T1410" s="72" t="str">
        <f>IF(G1410=$J$1,"SI","NO")</f>
        <v>NO</v>
      </c>
      <c r="U1410" s="72"/>
      <c r="V1410" s="7" t="str">
        <f ca="1">IF(color_Celda(E1410)=12106214,"ROSA",IF(color_Celda(E1410)=65535,"AMARILLO",IF(color_Celda(E1410)=5296274,"VERDE",IF(color_Celda(E1410)=16777215,"BLANCO","NO SE"))))</f>
        <v>ROSA</v>
      </c>
      <c r="W1410" s="63" t="s">
        <v>3437</v>
      </c>
      <c r="X1410" s="63" t="s">
        <v>4891</v>
      </c>
      <c r="Y1410" s="336"/>
      <c r="Z1410" s="336" t="s">
        <v>748</v>
      </c>
      <c r="AA1410" s="336" t="s">
        <v>3379</v>
      </c>
      <c r="AB1410" s="63" t="s">
        <v>1169</v>
      </c>
      <c r="AC1410" s="336"/>
    </row>
    <row r="1411" spans="1:29" ht="60" customHeight="1">
      <c r="A1411" s="336">
        <v>1340</v>
      </c>
      <c r="B1411" s="65">
        <v>45302</v>
      </c>
      <c r="C1411" s="568">
        <v>0.375</v>
      </c>
      <c r="D1411" s="63" t="s">
        <v>5209</v>
      </c>
      <c r="E1411" s="64" t="s">
        <v>5210</v>
      </c>
      <c r="F1411" s="63">
        <v>2</v>
      </c>
      <c r="G1411" s="336" t="s">
        <v>283</v>
      </c>
      <c r="H1411" s="383">
        <v>45329</v>
      </c>
      <c r="I1411" s="65" t="s">
        <v>1146</v>
      </c>
      <c r="J1411" s="349" t="s">
        <v>1216</v>
      </c>
      <c r="K1411" s="336">
        <f>IFERROR(VLOOKUP(J1411,Jueces!$A$1:$B$11,2,FALSE),"")</f>
        <v>1</v>
      </c>
      <c r="L1411" s="63" t="s">
        <v>4791</v>
      </c>
      <c r="M1411" s="63" t="s">
        <v>711</v>
      </c>
      <c r="N1411" s="63" t="s">
        <v>5864</v>
      </c>
      <c r="O1411" s="63" t="str">
        <f ca="1">IF(H1411&lt;&gt;"",IF(H1411&lt;=TODAY(),"SI","NO"),"LIMBO")</f>
        <v>SI</v>
      </c>
      <c r="P1411" s="63" t="str">
        <f>IF($P$1=H1411,"DIASOL", "DIANOSOL")</f>
        <v>DIANOSOL</v>
      </c>
      <c r="Q1411" s="63" t="s">
        <v>151</v>
      </c>
      <c r="R1411" s="63" t="s">
        <v>151</v>
      </c>
      <c r="S1411" s="63" t="s">
        <v>1906</v>
      </c>
      <c r="T1411" s="72" t="str">
        <f>IF(G1411=$J$1,"SI","NO")</f>
        <v>NO</v>
      </c>
      <c r="U1411" s="72"/>
      <c r="V1411" s="7" t="str">
        <f ca="1">IF(color_Celda(E1411)=12106214,"ROSA",IF(color_Celda(E1411)=65535,"AMARILLO",IF(color_Celda(E1411)=5296274,"VERDE",IF(color_Celda(E1411)=16777215,"BLANCO","NO SE"))))</f>
        <v>ROSA</v>
      </c>
      <c r="W1411" s="63" t="s">
        <v>1911</v>
      </c>
      <c r="X1411" s="63" t="s">
        <v>4891</v>
      </c>
      <c r="Y1411" s="336"/>
      <c r="Z1411" s="336" t="s">
        <v>3368</v>
      </c>
      <c r="AA1411" s="336" t="s">
        <v>3378</v>
      </c>
      <c r="AB1411" s="63" t="s">
        <v>1171</v>
      </c>
      <c r="AC1411" s="336"/>
    </row>
    <row r="1412" spans="1:29" ht="60" customHeight="1">
      <c r="A1412" s="336">
        <v>1500</v>
      </c>
      <c r="B1412" s="349">
        <v>45296</v>
      </c>
      <c r="C1412" s="70">
        <v>0.33333333333333331</v>
      </c>
      <c r="D1412" s="336" t="s">
        <v>5553</v>
      </c>
      <c r="E1412" s="355" t="s">
        <v>5554</v>
      </c>
      <c r="F1412" s="336">
        <v>3</v>
      </c>
      <c r="G1412" s="336" t="s">
        <v>2815</v>
      </c>
      <c r="H1412" s="383">
        <v>45330</v>
      </c>
      <c r="I1412" s="65" t="s">
        <v>73</v>
      </c>
      <c r="J1412" s="349" t="s">
        <v>4932</v>
      </c>
      <c r="K1412" s="63" t="s">
        <v>4733</v>
      </c>
      <c r="L1412" s="63" t="s">
        <v>4785</v>
      </c>
      <c r="M1412" s="63" t="s">
        <v>1994</v>
      </c>
      <c r="N1412" s="63" t="s">
        <v>5878</v>
      </c>
      <c r="O1412" s="78" t="str">
        <f ca="1">IF(H1412&lt;&gt;"",IF(H1412&lt;=TODAY(),"SI","NO"),"LIMBO")</f>
        <v>SI</v>
      </c>
      <c r="P1412" s="78" t="str">
        <f>IF($P$1=H1412,"DIASOL", "DIANOSOL")</f>
        <v>DIANOSOL</v>
      </c>
      <c r="Q1412" s="63" t="s">
        <v>151</v>
      </c>
      <c r="R1412" s="63" t="s">
        <v>151</v>
      </c>
      <c r="S1412" s="63" t="s">
        <v>749</v>
      </c>
      <c r="T1412" s="81" t="str">
        <f>IF(G1412=$J$1,"SI","NO")</f>
        <v>NO</v>
      </c>
      <c r="U1412" s="81"/>
      <c r="V1412" s="7" t="str">
        <f ca="1">IF(color_Celda(E1412)=12106214,"ROSA",IF(color_Celda(E1412)=65535,"AMARILLO",IF(color_Celda(E1412)=5296274,"VERDE",IF(color_Celda(E1412)=16777215,"BLANCO","NO SE"))))</f>
        <v>ROSA</v>
      </c>
      <c r="W1412" s="63" t="s">
        <v>1367</v>
      </c>
      <c r="X1412" s="336"/>
      <c r="Y1412" s="336"/>
      <c r="Z1412" s="63" t="s">
        <v>743</v>
      </c>
      <c r="AA1412" s="63" t="s">
        <v>3378</v>
      </c>
      <c r="AB1412" s="63" t="s">
        <v>1171</v>
      </c>
      <c r="AC1412" s="336"/>
    </row>
    <row r="1413" spans="1:29" ht="60" customHeight="1">
      <c r="A1413" s="336">
        <v>1376</v>
      </c>
      <c r="B1413" s="349">
        <v>45310</v>
      </c>
      <c r="C1413" s="63" t="s">
        <v>73</v>
      </c>
      <c r="D1413" s="63" t="s">
        <v>5402</v>
      </c>
      <c r="E1413" s="64" t="s">
        <v>5403</v>
      </c>
      <c r="F1413" s="63">
        <v>2</v>
      </c>
      <c r="G1413" s="63" t="s">
        <v>1434</v>
      </c>
      <c r="H1413" s="383">
        <v>45330</v>
      </c>
      <c r="I1413" s="65" t="s">
        <v>73</v>
      </c>
      <c r="J1413" s="349" t="s">
        <v>1217</v>
      </c>
      <c r="K1413" s="336">
        <f>IFERROR(VLOOKUP(J1413,Jueces!$A$1:$B$11,2,FALSE),"")</f>
        <v>7</v>
      </c>
      <c r="L1413" s="63" t="s">
        <v>4790</v>
      </c>
      <c r="M1413" s="63" t="s">
        <v>1084</v>
      </c>
      <c r="N1413" s="63" t="s">
        <v>5868</v>
      </c>
      <c r="O1413" s="63" t="str">
        <f ca="1">IF(H1413&lt;&gt;"",IF(H1413&lt;=TODAY(),"SI","NO"),"LIMBO")</f>
        <v>SI</v>
      </c>
      <c r="P1413" s="63" t="str">
        <f>IF($P$1=H1413,"DIASOL", "DIANOSOL")</f>
        <v>DIANOSOL</v>
      </c>
      <c r="Q1413" s="63" t="s">
        <v>909</v>
      </c>
      <c r="R1413" s="63" t="s">
        <v>947</v>
      </c>
      <c r="S1413" s="63" t="s">
        <v>1387</v>
      </c>
      <c r="T1413" s="72" t="str">
        <f>IF(G1413=$J$1,"SI","NO")</f>
        <v>NO</v>
      </c>
      <c r="U1413" s="72"/>
      <c r="V1413" s="7" t="str">
        <f ca="1">IF(color_Celda(E1413)=12106214,"ROSA",IF(color_Celda(E1413)=65535,"AMARILLO",IF(color_Celda(E1413)=5296274,"VERDE",IF(color_Celda(E1413)=16777215,"BLANCO","NO SE"))))</f>
        <v>ROSA</v>
      </c>
      <c r="W1413" s="63" t="s">
        <v>1450</v>
      </c>
      <c r="X1413" s="63" t="s">
        <v>4875</v>
      </c>
      <c r="Y1413" s="336"/>
      <c r="Z1413" s="63" t="s">
        <v>1038</v>
      </c>
      <c r="AA1413" s="336" t="s">
        <v>2828</v>
      </c>
      <c r="AB1413" s="63" t="s">
        <v>1173</v>
      </c>
      <c r="AC1413" s="336"/>
    </row>
    <row r="1414" spans="1:29" ht="60" customHeight="1">
      <c r="A1414" s="336">
        <v>1404</v>
      </c>
      <c r="B1414" s="349">
        <v>45313</v>
      </c>
      <c r="C1414" s="63" t="s">
        <v>73</v>
      </c>
      <c r="D1414" s="63" t="s">
        <v>5474</v>
      </c>
      <c r="E1414" s="64" t="s">
        <v>5774</v>
      </c>
      <c r="F1414" s="63">
        <v>7</v>
      </c>
      <c r="G1414" s="63" t="s">
        <v>5710</v>
      </c>
      <c r="H1414" s="383">
        <v>45330</v>
      </c>
      <c r="I1414" s="65" t="s">
        <v>73</v>
      </c>
      <c r="J1414" s="65" t="s">
        <v>4746</v>
      </c>
      <c r="K1414" s="336">
        <v>1</v>
      </c>
      <c r="L1414" s="63" t="s">
        <v>4789</v>
      </c>
      <c r="M1414" s="63" t="s">
        <v>885</v>
      </c>
      <c r="N1414" s="63" t="s">
        <v>5865</v>
      </c>
      <c r="O1414" s="63" t="str">
        <f ca="1">IF(H1414&lt;&gt;"",IF(H1414&lt;=TODAY(),"SI","NO"),"LIMBO")</f>
        <v>SI</v>
      </c>
      <c r="P1414" s="63" t="str">
        <f>IF($P$1=H1414,"DIASOL", "DIANOSOL")</f>
        <v>DIANOSOL</v>
      </c>
      <c r="Q1414" s="63" t="s">
        <v>902</v>
      </c>
      <c r="R1414" s="63" t="s">
        <v>100</v>
      </c>
      <c r="S1414" s="63" t="s">
        <v>1183</v>
      </c>
      <c r="T1414" s="72" t="str">
        <f>IF(G1414=$J$1,"SI","NO")</f>
        <v>NO</v>
      </c>
      <c r="U1414" s="72"/>
      <c r="V1414" s="7" t="str">
        <f ca="1">IF(color_Celda(E1414)=12106214,"ROSA",IF(color_Celda(E1414)=65535,"AMARILLO",IF(color_Celda(E1414)=5296274,"VERDE",IF(color_Celda(E1414)=16777215,"BLANCO","NO SE"))))</f>
        <v>ROSA</v>
      </c>
      <c r="W1414" s="63" t="s">
        <v>1604</v>
      </c>
      <c r="X1414" s="63" t="s">
        <v>4644</v>
      </c>
      <c r="Y1414" s="336"/>
      <c r="Z1414" s="63" t="s">
        <v>3368</v>
      </c>
      <c r="AA1414" s="336" t="s">
        <v>2828</v>
      </c>
      <c r="AB1414" s="63" t="s">
        <v>1170</v>
      </c>
      <c r="AC1414" s="336"/>
    </row>
    <row r="1415" spans="1:29" ht="60" customHeight="1">
      <c r="A1415" s="336">
        <v>1424</v>
      </c>
      <c r="B1415" s="349">
        <v>45315</v>
      </c>
      <c r="C1415" s="63" t="s">
        <v>987</v>
      </c>
      <c r="D1415" s="63" t="s">
        <v>5526</v>
      </c>
      <c r="E1415" s="64" t="s">
        <v>5527</v>
      </c>
      <c r="F1415" s="336">
        <v>3</v>
      </c>
      <c r="G1415" s="336" t="s">
        <v>29</v>
      </c>
      <c r="H1415" s="383">
        <v>45330</v>
      </c>
      <c r="I1415" s="65" t="s">
        <v>73</v>
      </c>
      <c r="J1415" s="349" t="s">
        <v>35</v>
      </c>
      <c r="K1415" s="336">
        <v>3</v>
      </c>
      <c r="L1415" s="63" t="s">
        <v>805</v>
      </c>
      <c r="M1415" s="63" t="s">
        <v>712</v>
      </c>
      <c r="N1415" s="63" t="s">
        <v>4688</v>
      </c>
      <c r="O1415" s="78" t="str">
        <f ca="1">IF(H1415&lt;&gt;"",IF(H1415&lt;=TODAY(),"SI","NO"),"LIMBO")</f>
        <v>SI</v>
      </c>
      <c r="P1415" s="78" t="str">
        <f>IF($P$1=H1415,"DIASOL", "DIANOSOL")</f>
        <v>DIANOSOL</v>
      </c>
      <c r="Q1415" s="63" t="s">
        <v>902</v>
      </c>
      <c r="R1415" s="63" t="s">
        <v>100</v>
      </c>
      <c r="S1415" s="63" t="s">
        <v>1291</v>
      </c>
      <c r="T1415" s="81" t="str">
        <f>IF(G1415=$J$1,"SI","NO")</f>
        <v>NO</v>
      </c>
      <c r="U1415" s="81"/>
      <c r="V1415" s="7" t="str">
        <f ca="1">IF(color_Celda(E1415)=12106214,"ROSA",IF(color_Celda(E1415)=65535,"AMARILLO",IF(color_Celda(E1415)=5296274,"VERDE",IF(color_Celda(E1415)=16777215,"BLANCO","NO SE"))))</f>
        <v>ROSA</v>
      </c>
      <c r="W1415" s="63" t="s">
        <v>1125</v>
      </c>
      <c r="X1415" s="63" t="s">
        <v>4644</v>
      </c>
      <c r="Y1415" s="336"/>
      <c r="Z1415" s="63" t="s">
        <v>770</v>
      </c>
      <c r="AA1415" s="336" t="s">
        <v>2869</v>
      </c>
      <c r="AB1415" s="63" t="s">
        <v>1169</v>
      </c>
      <c r="AC1415" s="336"/>
    </row>
    <row r="1416" spans="1:29" ht="60" customHeight="1">
      <c r="A1416" s="336">
        <v>1445</v>
      </c>
      <c r="B1416" s="349">
        <v>45317</v>
      </c>
      <c r="C1416" s="63" t="s">
        <v>3157</v>
      </c>
      <c r="D1416" s="63" t="s">
        <v>5590</v>
      </c>
      <c r="E1416" s="64" t="s">
        <v>5675</v>
      </c>
      <c r="F1416" s="336">
        <v>3</v>
      </c>
      <c r="G1416" s="336" t="s">
        <v>5709</v>
      </c>
      <c r="H1416" s="383">
        <v>45330</v>
      </c>
      <c r="I1416" s="65" t="s">
        <v>73</v>
      </c>
      <c r="J1416" s="65" t="s">
        <v>78</v>
      </c>
      <c r="K1416" s="336">
        <f>IFERROR(VLOOKUP(J1416,Jueces!$A$1:$B$11,2,FALSE),"")</f>
        <v>8</v>
      </c>
      <c r="L1416" s="63" t="s">
        <v>4788</v>
      </c>
      <c r="M1416" s="63" t="s">
        <v>692</v>
      </c>
      <c r="N1416" s="63" t="s">
        <v>5869</v>
      </c>
      <c r="O1416" s="63" t="str">
        <f ca="1">IF(H1416&lt;&gt;"",IF(H1416&lt;=TODAY(),"SI","NO"),"LIMBO")</f>
        <v>SI</v>
      </c>
      <c r="P1416" s="63" t="str">
        <f>IF($P$1=H1416,"DIASOL", "DIANOSOL")</f>
        <v>DIANOSOL</v>
      </c>
      <c r="Q1416" s="63" t="s">
        <v>902</v>
      </c>
      <c r="R1416" s="63" t="str">
        <f>VLOOKUP($Q1416,Resultados!$A$1:$B$49,2,FALSE)</f>
        <v>Juicio Abreviado</v>
      </c>
      <c r="S1416" s="63" t="s">
        <v>1164</v>
      </c>
      <c r="T1416" s="72" t="str">
        <f>IF(G1416=$J$1,"SI","NO")</f>
        <v>NO</v>
      </c>
      <c r="U1416" s="72"/>
      <c r="V1416" s="7" t="str">
        <f ca="1">IF(color_Celda(E1416)=12106214,"ROSA",IF(color_Celda(E1416)=65535,"AMARILLO",IF(color_Celda(E1416)=5296274,"VERDE",IF(color_Celda(E1416)=16777215,"BLANCO","NO SE"))))</f>
        <v>ROSA</v>
      </c>
      <c r="W1416" s="63" t="s">
        <v>1189</v>
      </c>
      <c r="X1416" s="63" t="s">
        <v>5860</v>
      </c>
      <c r="Y1416" s="336"/>
      <c r="Z1416" s="63" t="s">
        <v>748</v>
      </c>
      <c r="AA1416" s="63" t="s">
        <v>3379</v>
      </c>
      <c r="AB1416" s="63" t="s">
        <v>5776</v>
      </c>
      <c r="AC1416" s="336"/>
    </row>
    <row r="1417" spans="1:29" ht="60" customHeight="1">
      <c r="A1417" s="336">
        <v>1473</v>
      </c>
      <c r="B1417" s="65">
        <v>45322</v>
      </c>
      <c r="C1417" s="568">
        <v>0.43611111111111112</v>
      </c>
      <c r="D1417" s="63" t="s">
        <v>5693</v>
      </c>
      <c r="E1417" s="64" t="s">
        <v>5713</v>
      </c>
      <c r="F1417" s="336">
        <v>3</v>
      </c>
      <c r="G1417" s="63" t="s">
        <v>283</v>
      </c>
      <c r="H1417" s="383">
        <v>45330</v>
      </c>
      <c r="I1417" s="65" t="s">
        <v>73</v>
      </c>
      <c r="J1417" s="65" t="s">
        <v>31</v>
      </c>
      <c r="K1417" s="336">
        <f>IFERROR(VLOOKUP(J1417,Jueces!$A$1:$B$11,2,FALSE),"")</f>
        <v>2</v>
      </c>
      <c r="L1417" s="63" t="s">
        <v>2077</v>
      </c>
      <c r="M1417" s="63" t="s">
        <v>693</v>
      </c>
      <c r="N1417" s="63" t="s">
        <v>5866</v>
      </c>
      <c r="O1417" s="63" t="str">
        <f ca="1">IF(H1417&lt;&gt;"",IF(H1417&lt;=TODAY(),"SI","NO"),"LIMBO")</f>
        <v>SI</v>
      </c>
      <c r="P1417" s="63" t="str">
        <f>IF($P$1=H1417,"DIASOL", "DIANOSOL")</f>
        <v>DIANOSOL</v>
      </c>
      <c r="Q1417" s="63" t="s">
        <v>903</v>
      </c>
      <c r="R1417" s="63" t="s">
        <v>100</v>
      </c>
      <c r="S1417" s="63" t="s">
        <v>1006</v>
      </c>
      <c r="T1417" s="72" t="str">
        <f>IF(G1417=$J$1,"SI","NO")</f>
        <v>NO</v>
      </c>
      <c r="U1417" s="72"/>
      <c r="V1417" s="7" t="str">
        <f ca="1">IF(color_Celda(E1417)=12106214,"ROSA",IF(color_Celda(E1417)=65535,"AMARILLO",IF(color_Celda(E1417)=5296274,"VERDE",IF(color_Celda(E1417)=16777215,"BLANCO","NO SE"))))</f>
        <v>ROSA</v>
      </c>
      <c r="W1417" s="63" t="s">
        <v>1491</v>
      </c>
      <c r="X1417" s="63" t="s">
        <v>5867</v>
      </c>
      <c r="Y1417" s="336"/>
      <c r="Z1417" s="63" t="s">
        <v>1039</v>
      </c>
      <c r="AA1417" s="63" t="s">
        <v>3378</v>
      </c>
      <c r="AB1417" s="63" t="s">
        <v>3258</v>
      </c>
      <c r="AC1417" s="336"/>
    </row>
    <row r="1418" spans="1:29" ht="60" customHeight="1">
      <c r="A1418" s="336">
        <v>1452</v>
      </c>
      <c r="B1418" s="349">
        <v>45302</v>
      </c>
      <c r="C1418" s="568">
        <v>0.47083333333333338</v>
      </c>
      <c r="D1418" s="336" t="s">
        <v>5274</v>
      </c>
      <c r="E1418" s="355" t="s">
        <v>5375</v>
      </c>
      <c r="F1418" s="336">
        <v>7</v>
      </c>
      <c r="G1418" s="336" t="s">
        <v>2752</v>
      </c>
      <c r="H1418" s="383">
        <v>45330</v>
      </c>
      <c r="I1418" s="349" t="s">
        <v>1083</v>
      </c>
      <c r="J1418" s="349" t="s">
        <v>1216</v>
      </c>
      <c r="K1418" s="336">
        <f>IFERROR(VLOOKUP(J1418,Jueces!$A$1:$B$11,2,FALSE),"")</f>
        <v>1</v>
      </c>
      <c r="L1418" s="63" t="s">
        <v>791</v>
      </c>
      <c r="M1418" s="63" t="s">
        <v>885</v>
      </c>
      <c r="N1418" s="63" t="s">
        <v>5870</v>
      </c>
      <c r="O1418" s="63" t="str">
        <f ca="1">IF(H1418&lt;&gt;"",IF(H1418&lt;=TODAY(),"SI","NO"),"LIMBO")</f>
        <v>SI</v>
      </c>
      <c r="P1418" s="63" t="str">
        <f>IF($P$1=H1418,"DIASOL", "DIANOSOL")</f>
        <v>DIANOSOL</v>
      </c>
      <c r="Q1418" s="63" t="s">
        <v>902</v>
      </c>
      <c r="R1418" s="63" t="s">
        <v>100</v>
      </c>
      <c r="S1418" s="63" t="s">
        <v>1004</v>
      </c>
      <c r="T1418" s="72" t="str">
        <f>IF(G1418=$J$1,"SI","NO")</f>
        <v>NO</v>
      </c>
      <c r="U1418" s="72"/>
      <c r="V1418" s="7" t="str">
        <f ca="1">IF(color_Celda(E1418)=12106214,"ROSA",IF(color_Celda(E1418)=65535,"AMARILLO",IF(color_Celda(E1418)=5296274,"VERDE",IF(color_Celda(E1418)=16777215,"BLANCO","NO SE"))))</f>
        <v>ROSA</v>
      </c>
      <c r="W1418" s="63" t="s">
        <v>2366</v>
      </c>
      <c r="X1418" s="63" t="s">
        <v>5854</v>
      </c>
      <c r="Y1418" s="336"/>
      <c r="Z1418" s="63" t="s">
        <v>3368</v>
      </c>
      <c r="AA1418" s="336" t="s">
        <v>2869</v>
      </c>
      <c r="AB1418" s="63" t="s">
        <v>1173</v>
      </c>
      <c r="AC1418" s="336"/>
    </row>
    <row r="1419" spans="1:29" ht="60" customHeight="1">
      <c r="A1419" s="336">
        <v>1402</v>
      </c>
      <c r="B1419" s="349">
        <v>45310</v>
      </c>
      <c r="C1419" s="63" t="s">
        <v>1766</v>
      </c>
      <c r="D1419" s="63" t="s">
        <v>5470</v>
      </c>
      <c r="E1419" s="64" t="s">
        <v>5698</v>
      </c>
      <c r="F1419" s="63">
        <v>2</v>
      </c>
      <c r="G1419" s="336" t="s">
        <v>1435</v>
      </c>
      <c r="H1419" s="383">
        <v>45330</v>
      </c>
      <c r="I1419" s="65" t="s">
        <v>1083</v>
      </c>
      <c r="J1419" s="349" t="s">
        <v>4746</v>
      </c>
      <c r="K1419" s="63" t="s">
        <v>1321</v>
      </c>
      <c r="L1419" s="63" t="s">
        <v>789</v>
      </c>
      <c r="M1419" s="63" t="s">
        <v>5550</v>
      </c>
      <c r="N1419" s="63" t="s">
        <v>5873</v>
      </c>
      <c r="O1419" s="63" t="str">
        <f ca="1">IF(H1419&lt;&gt;"",IF(H1419&lt;=TODAY(),"SI","NO"),"LIMBO")</f>
        <v>SI</v>
      </c>
      <c r="P1419" s="63" t="str">
        <f>IF($P$1=H1419,"DIASOL", "DIANOSOL")</f>
        <v>DIANOSOL</v>
      </c>
      <c r="Q1419" s="63" t="s">
        <v>897</v>
      </c>
      <c r="R1419" s="63" t="s">
        <v>900</v>
      </c>
      <c r="S1419" s="63" t="s">
        <v>1227</v>
      </c>
      <c r="T1419" s="72" t="str">
        <f>IF(G1419=$J$1,"SI","NO")</f>
        <v>SI</v>
      </c>
      <c r="U1419" s="72"/>
      <c r="V1419" s="7" t="str">
        <f ca="1">IF(color_Celda(E1419)=12106214,"ROSA",IF(color_Celda(E1419)=65535,"AMARILLO",IF(color_Celda(E1419)=5296274,"VERDE",IF(color_Celda(E1419)=16777215,"BLANCO","NO SE"))))</f>
        <v>ROSA</v>
      </c>
      <c r="W1419" s="63" t="s">
        <v>75</v>
      </c>
      <c r="X1419" s="336"/>
      <c r="Y1419" s="336"/>
      <c r="Z1419" s="63" t="s">
        <v>770</v>
      </c>
      <c r="AA1419" s="336" t="s">
        <v>2869</v>
      </c>
      <c r="AB1419" s="63" t="s">
        <v>1170</v>
      </c>
      <c r="AC1419" s="336"/>
    </row>
    <row r="1420" spans="1:29" ht="60" customHeight="1">
      <c r="A1420" s="336">
        <v>1418</v>
      </c>
      <c r="B1420" s="65">
        <v>45314</v>
      </c>
      <c r="C1420" s="63" t="s">
        <v>3171</v>
      </c>
      <c r="D1420" s="63" t="s">
        <v>5513</v>
      </c>
      <c r="E1420" s="64" t="s">
        <v>5512</v>
      </c>
      <c r="F1420" s="336">
        <v>2</v>
      </c>
      <c r="G1420" s="336" t="s">
        <v>3323</v>
      </c>
      <c r="H1420" s="383">
        <v>45330</v>
      </c>
      <c r="I1420" s="65" t="s">
        <v>1083</v>
      </c>
      <c r="J1420" s="349" t="s">
        <v>1221</v>
      </c>
      <c r="K1420" s="336">
        <f>IFERROR(VLOOKUP(J1420,Jueces!$A$1:$B$11,2,FALSE),"")</f>
        <v>6</v>
      </c>
      <c r="L1420" s="63" t="s">
        <v>4781</v>
      </c>
      <c r="M1420" s="63" t="s">
        <v>711</v>
      </c>
      <c r="N1420" s="63" t="s">
        <v>5871</v>
      </c>
      <c r="O1420" s="63" t="str">
        <f ca="1">IF(H1420&lt;&gt;"",IF(H1420&lt;=TODAY(),"SI","NO"),"LIMBO")</f>
        <v>SI</v>
      </c>
      <c r="P1420" s="63" t="str">
        <f>IF($P$1=H1420,"DIASOL", "DIANOSOL")</f>
        <v>DIANOSOL</v>
      </c>
      <c r="Q1420" s="63" t="s">
        <v>151</v>
      </c>
      <c r="R1420" s="63" t="str">
        <f>VLOOKUP($Q1420,Resultados!$A$1:$B$49,2,FALSE)</f>
        <v>Prisión Preventiva</v>
      </c>
      <c r="S1420" s="63" t="s">
        <v>1232</v>
      </c>
      <c r="T1420" s="72" t="str">
        <f>IF(G1420=$J$1,"SI","NO")</f>
        <v>NO</v>
      </c>
      <c r="U1420" s="72"/>
      <c r="V1420" s="7" t="str">
        <f ca="1">IF(color_Celda(E1420)=12106214,"ROSA",IF(color_Celda(E1420)=65535,"AMARILLO",IF(color_Celda(E1420)=5296274,"VERDE",IF(color_Celda(E1420)=16777215,"BLANCO","NO SE"))))</f>
        <v>ROSA</v>
      </c>
      <c r="W1420" s="63" t="s">
        <v>1332</v>
      </c>
      <c r="X1420" s="63" t="s">
        <v>5872</v>
      </c>
      <c r="Y1420" s="336"/>
      <c r="Z1420" s="63" t="s">
        <v>4584</v>
      </c>
      <c r="AA1420" s="336" t="s">
        <v>2828</v>
      </c>
      <c r="AB1420" s="63" t="s">
        <v>1169</v>
      </c>
      <c r="AC1420" s="336"/>
    </row>
    <row r="1421" spans="1:29" ht="60" customHeight="1">
      <c r="A1421" s="336">
        <v>1423</v>
      </c>
      <c r="B1421" s="349">
        <v>45315</v>
      </c>
      <c r="C1421" s="63" t="s">
        <v>1729</v>
      </c>
      <c r="D1421" s="63" t="s">
        <v>5524</v>
      </c>
      <c r="E1421" s="64" t="s">
        <v>5525</v>
      </c>
      <c r="F1421" s="336">
        <v>3</v>
      </c>
      <c r="G1421" s="336" t="s">
        <v>3324</v>
      </c>
      <c r="H1421" s="383">
        <v>45330</v>
      </c>
      <c r="I1421" s="65" t="s">
        <v>1083</v>
      </c>
      <c r="J1421" s="349" t="s">
        <v>78</v>
      </c>
      <c r="K1421" s="336">
        <v>8</v>
      </c>
      <c r="L1421" s="63" t="s">
        <v>4788</v>
      </c>
      <c r="M1421" s="63" t="s">
        <v>712</v>
      </c>
      <c r="N1421" s="63" t="s">
        <v>5876</v>
      </c>
      <c r="O1421" s="78" t="str">
        <f ca="1">IF(H1421&lt;&gt;"",IF(H1421&lt;=TODAY(),"SI","NO"),"LIMBO")</f>
        <v>SI</v>
      </c>
      <c r="P1421" s="78" t="str">
        <f>IF($P$1=H1421,"DIASOL", "DIANOSOL")</f>
        <v>DIANOSOL</v>
      </c>
      <c r="Q1421" s="63" t="s">
        <v>902</v>
      </c>
      <c r="R1421" s="63" t="s">
        <v>100</v>
      </c>
      <c r="S1421" s="63" t="s">
        <v>1798</v>
      </c>
      <c r="T1421" s="81" t="str">
        <f>IF(G1421=$J$1,"SI","NO")</f>
        <v>NO</v>
      </c>
      <c r="U1421" s="81"/>
      <c r="V1421" s="7" t="str">
        <f ca="1">IF(color_Celda(E1421)=12106214,"ROSA",IF(color_Celda(E1421)=65535,"AMARILLO",IF(color_Celda(E1421)=5296274,"VERDE",IF(color_Celda(E1421)=16777215,"BLANCO","NO SE"))))</f>
        <v>ROSA</v>
      </c>
      <c r="W1421" s="63" t="s">
        <v>3111</v>
      </c>
      <c r="X1421" s="63" t="s">
        <v>4644</v>
      </c>
      <c r="Y1421" s="336"/>
      <c r="Z1421" s="63" t="s">
        <v>748</v>
      </c>
      <c r="AA1421" s="336" t="s">
        <v>1167</v>
      </c>
      <c r="AB1421" s="63" t="s">
        <v>3258</v>
      </c>
      <c r="AC1421" s="336"/>
    </row>
    <row r="1422" spans="1:29" ht="60" customHeight="1">
      <c r="A1422" s="336">
        <v>1398</v>
      </c>
      <c r="B1422" s="65">
        <v>45314</v>
      </c>
      <c r="C1422" s="63" t="s">
        <v>76</v>
      </c>
      <c r="D1422" s="63" t="s">
        <v>5463</v>
      </c>
      <c r="E1422" s="64" t="s">
        <v>5699</v>
      </c>
      <c r="F1422" s="336">
        <v>2</v>
      </c>
      <c r="G1422" s="336" t="s">
        <v>1434</v>
      </c>
      <c r="H1422" s="383">
        <v>45330</v>
      </c>
      <c r="I1422" s="65" t="s">
        <v>1206</v>
      </c>
      <c r="J1422" s="349" t="s">
        <v>4931</v>
      </c>
      <c r="K1422" s="63" t="s">
        <v>1512</v>
      </c>
      <c r="L1422" s="63" t="s">
        <v>789</v>
      </c>
      <c r="M1422" s="63" t="s">
        <v>711</v>
      </c>
      <c r="N1422" s="63" t="s">
        <v>3186</v>
      </c>
      <c r="O1422" s="78" t="str">
        <f ca="1">IF(H1422&lt;&gt;"",IF(H1422&lt;=TODAY(),"SI","NO"),"LIMBO")</f>
        <v>SI</v>
      </c>
      <c r="P1422" s="78" t="str">
        <f>IF($P$1=H1422,"DIASOL", "DIANOSOL")</f>
        <v>DIANOSOL</v>
      </c>
      <c r="Q1422" s="63" t="s">
        <v>907</v>
      </c>
      <c r="R1422" s="63" t="s">
        <v>907</v>
      </c>
      <c r="S1422" s="63" t="s">
        <v>3115</v>
      </c>
      <c r="T1422" s="81" t="str">
        <f>IF(G1422=$J$1,"SI","NO")</f>
        <v>NO</v>
      </c>
      <c r="U1422" s="81"/>
      <c r="V1422" s="7" t="str">
        <f ca="1">IF(color_Celda(E1422)=12106214,"ROSA",IF(color_Celda(E1422)=65535,"AMARILLO",IF(color_Celda(E1422)=5296274,"VERDE",IF(color_Celda(E1422)=16777215,"BLANCO","NO SE"))))</f>
        <v>ROSA</v>
      </c>
      <c r="W1422" s="63" t="s">
        <v>3628</v>
      </c>
      <c r="X1422" s="63" t="s">
        <v>5877</v>
      </c>
      <c r="Y1422" s="336"/>
      <c r="Z1422" s="63" t="s">
        <v>1039</v>
      </c>
      <c r="AA1422" s="336" t="s">
        <v>3379</v>
      </c>
      <c r="AB1422" s="63" t="s">
        <v>1171</v>
      </c>
      <c r="AC1422" s="336"/>
    </row>
    <row r="1423" spans="1:29" ht="60" customHeight="1">
      <c r="A1423" s="336">
        <v>1415</v>
      </c>
      <c r="B1423" s="349">
        <v>45314</v>
      </c>
      <c r="C1423" s="63" t="s">
        <v>3539</v>
      </c>
      <c r="D1423" s="63" t="s">
        <v>5505</v>
      </c>
      <c r="E1423" s="64" t="s">
        <v>5506</v>
      </c>
      <c r="F1423" s="336">
        <v>2</v>
      </c>
      <c r="G1423" s="336" t="s">
        <v>2766</v>
      </c>
      <c r="H1423" s="383">
        <v>45330</v>
      </c>
      <c r="I1423" s="65" t="s">
        <v>1206</v>
      </c>
      <c r="J1423" s="349" t="s">
        <v>1216</v>
      </c>
      <c r="K1423" s="336">
        <f>IFERROR(VLOOKUP(J1423,Jueces!$A$1:$B$11,2,FALSE),"")</f>
        <v>1</v>
      </c>
      <c r="L1423" s="63" t="s">
        <v>4789</v>
      </c>
      <c r="M1423" s="63" t="s">
        <v>1084</v>
      </c>
      <c r="N1423" s="63" t="s">
        <v>5874</v>
      </c>
      <c r="O1423" s="78" t="str">
        <f ca="1">IF(H1423&lt;&gt;"",IF(H1423&lt;=TODAY(),"SI","NO"),"LIMBO")</f>
        <v>SI</v>
      </c>
      <c r="P1423" s="78" t="str">
        <f>IF($P$1=H1423,"DIASOL", "DIANOSOL")</f>
        <v>DIANOSOL</v>
      </c>
      <c r="Q1423" s="63" t="s">
        <v>903</v>
      </c>
      <c r="R1423" s="63" t="str">
        <f>VLOOKUP($Q1423,Resultados!$A$1:$B$49,2,FALSE)</f>
        <v>Juicio Abreviado</v>
      </c>
      <c r="S1423" s="63" t="s">
        <v>3539</v>
      </c>
      <c r="T1423" s="81" t="str">
        <f>IF(G1423=$J$1,"SI","NO")</f>
        <v>NO</v>
      </c>
      <c r="U1423" s="81"/>
      <c r="V1423" s="7" t="str">
        <f ca="1">IF(color_Celda(E1423)=12106214,"ROSA",IF(color_Celda(E1423)=65535,"AMARILLO",IF(color_Celda(E1423)=5296274,"VERDE",IF(color_Celda(E1423)=16777215,"BLANCO","NO SE"))))</f>
        <v>ROSA</v>
      </c>
      <c r="W1423" s="63" t="s">
        <v>1774</v>
      </c>
      <c r="X1423" s="63" t="s">
        <v>5875</v>
      </c>
      <c r="Y1423" s="336"/>
      <c r="Z1423" s="63" t="s">
        <v>3368</v>
      </c>
      <c r="AA1423" s="336" t="s">
        <v>3378</v>
      </c>
      <c r="AB1423" s="63" t="s">
        <v>1170</v>
      </c>
      <c r="AC1423" s="336"/>
    </row>
    <row r="1424" spans="1:29" ht="60" customHeight="1">
      <c r="A1424" s="336">
        <v>1491</v>
      </c>
      <c r="B1424" s="349">
        <v>45323</v>
      </c>
      <c r="C1424" s="568">
        <v>0.33333333333333331</v>
      </c>
      <c r="D1424" s="336" t="s">
        <v>5213</v>
      </c>
      <c r="E1424" s="355" t="s">
        <v>5214</v>
      </c>
      <c r="F1424" s="336">
        <v>2</v>
      </c>
      <c r="G1424" s="63" t="s">
        <v>3791</v>
      </c>
      <c r="H1424" s="208">
        <v>45330</v>
      </c>
      <c r="I1424" s="65" t="s">
        <v>3171</v>
      </c>
      <c r="J1424" s="349" t="s">
        <v>1217</v>
      </c>
      <c r="K1424" s="63" t="s">
        <v>2324</v>
      </c>
      <c r="L1424" s="63" t="s">
        <v>4781</v>
      </c>
      <c r="M1424" s="63" t="s">
        <v>1084</v>
      </c>
      <c r="N1424" s="63" t="s">
        <v>5881</v>
      </c>
      <c r="O1424" s="78" t="str">
        <f ca="1">IF(H1424&lt;&gt;"",IF(H1424&lt;=TODAY(),"SI","NO"),"LIMBO")</f>
        <v>SI</v>
      </c>
      <c r="P1424" s="78" t="str">
        <f>IF($P$1=H1424,"DIASOL", "DIANOSOL")</f>
        <v>DIANOSOL</v>
      </c>
      <c r="Q1424" s="63" t="s">
        <v>151</v>
      </c>
      <c r="R1424" s="63" t="s">
        <v>151</v>
      </c>
      <c r="S1424" s="63" t="s">
        <v>3527</v>
      </c>
      <c r="T1424" s="81" t="str">
        <f>IF(G1424=$J$1,"SI","NO")</f>
        <v>NO</v>
      </c>
      <c r="U1424" s="81"/>
      <c r="V1424" s="7" t="str">
        <f ca="1">IF(color_Celda(E1424)=12106214,"ROSA",IF(color_Celda(E1424)=65535,"AMARILLO",IF(color_Celda(E1424)=5296274,"VERDE",IF(color_Celda(E1424)=16777215,"BLANCO","NO SE"))))</f>
        <v>ROSA</v>
      </c>
      <c r="W1424" s="63" t="s">
        <v>5880</v>
      </c>
      <c r="X1424" s="63" t="s">
        <v>4891</v>
      </c>
      <c r="Y1424" s="336"/>
      <c r="Z1424" s="63" t="s">
        <v>748</v>
      </c>
      <c r="AA1424" s="63" t="s">
        <v>2869</v>
      </c>
      <c r="AB1424" s="63" t="s">
        <v>1169</v>
      </c>
      <c r="AC1424" s="336"/>
    </row>
    <row r="1425" spans="1:29" ht="60" customHeight="1">
      <c r="A1425" s="336">
        <v>1403</v>
      </c>
      <c r="B1425" s="349">
        <v>45313</v>
      </c>
      <c r="C1425" s="63" t="s">
        <v>73</v>
      </c>
      <c r="D1425" s="325" t="s">
        <v>5471</v>
      </c>
      <c r="E1425" s="64" t="s">
        <v>5472</v>
      </c>
      <c r="F1425" s="336">
        <v>2</v>
      </c>
      <c r="G1425" s="336" t="s">
        <v>568</v>
      </c>
      <c r="H1425" s="383">
        <v>45330</v>
      </c>
      <c r="I1425" s="65" t="s">
        <v>547</v>
      </c>
      <c r="J1425" s="349" t="s">
        <v>31</v>
      </c>
      <c r="K1425" s="336">
        <f>IFERROR(VLOOKUP(J1425,Jueces!$A$1:$B$11,2,FALSE),"")</f>
        <v>2</v>
      </c>
      <c r="L1425" s="63" t="s">
        <v>806</v>
      </c>
      <c r="M1425" s="63" t="s">
        <v>711</v>
      </c>
      <c r="N1425" s="63" t="s">
        <v>5879</v>
      </c>
      <c r="O1425" s="78" t="str">
        <f ca="1">IF(H1425&lt;&gt;"",IF(H1425&lt;=TODAY(),"SI","NO"),"LIMBO")</f>
        <v>SI</v>
      </c>
      <c r="P1425" s="78" t="str">
        <f>IF($P$1=H1425,"DIASOL", "DIANOSOL")</f>
        <v>DIANOSOL</v>
      </c>
      <c r="Q1425" s="63" t="s">
        <v>902</v>
      </c>
      <c r="R1425" s="63" t="str">
        <f>VLOOKUP($Q1425,Resultados!$A$1:$B$49,2,FALSE)</f>
        <v>Juicio Abreviado</v>
      </c>
      <c r="S1425" s="63" t="s">
        <v>5069</v>
      </c>
      <c r="T1425" s="81" t="str">
        <f>IF(G1425=$J$1,"SI","NO")</f>
        <v>NO</v>
      </c>
      <c r="U1425" s="81"/>
      <c r="V1425" s="7" t="str">
        <f ca="1">IF(color_Celda(E1425)=12106214,"ROSA",IF(color_Celda(E1425)=65535,"AMARILLO",IF(color_Celda(E1425)=5296274,"VERDE",IF(color_Celda(E1425)=16777215,"BLANCO","NO SE"))))</f>
        <v>ROSA</v>
      </c>
      <c r="W1425" s="63" t="s">
        <v>5337</v>
      </c>
      <c r="X1425" s="63" t="s">
        <v>4891</v>
      </c>
      <c r="Y1425" s="336"/>
      <c r="Z1425" s="63" t="s">
        <v>1038</v>
      </c>
      <c r="AA1425" s="336" t="s">
        <v>2828</v>
      </c>
      <c r="AB1425" s="63" t="s">
        <v>3258</v>
      </c>
      <c r="AC1425" s="336" t="s">
        <v>1792</v>
      </c>
    </row>
    <row r="1426" spans="1:29" ht="60" customHeight="1">
      <c r="A1426" s="336">
        <v>1397</v>
      </c>
      <c r="B1426" s="349">
        <v>45314</v>
      </c>
      <c r="C1426" s="63" t="s">
        <v>76</v>
      </c>
      <c r="D1426" s="63" t="s">
        <v>5461</v>
      </c>
      <c r="E1426" s="64" t="s">
        <v>5462</v>
      </c>
      <c r="F1426" s="63">
        <v>2</v>
      </c>
      <c r="G1426" s="336" t="s">
        <v>1435</v>
      </c>
      <c r="H1426" s="383">
        <v>45330</v>
      </c>
      <c r="I1426" s="65" t="s">
        <v>1554</v>
      </c>
      <c r="J1426" s="349" t="s">
        <v>35</v>
      </c>
      <c r="K1426" s="336">
        <f>IFERROR(VLOOKUP(J1426,Jueces!$A$1:$B$11,2,FALSE),"")</f>
        <v>3</v>
      </c>
      <c r="L1426" s="63" t="s">
        <v>806</v>
      </c>
      <c r="M1426" s="63" t="s">
        <v>711</v>
      </c>
      <c r="N1426" s="63" t="s">
        <v>6183</v>
      </c>
      <c r="O1426" s="63" t="str">
        <f ca="1">IF(H1426&lt;&gt;"",IF(H1426&lt;=TODAY(),"SI","NO"),"LIMBO")</f>
        <v>SI</v>
      </c>
      <c r="P1426" s="63" t="str">
        <f>IF($P$1=H1426,"DIASOL", "DIANOSOL")</f>
        <v>DIANOSOL</v>
      </c>
      <c r="Q1426" s="63" t="s">
        <v>910</v>
      </c>
      <c r="R1426" s="63" t="s">
        <v>947</v>
      </c>
      <c r="S1426" s="63"/>
      <c r="T1426" s="72" t="str">
        <f>IF(G1426=$J$1,"SI","NO")</f>
        <v>SI</v>
      </c>
      <c r="U1426" s="72"/>
      <c r="V1426" s="7" t="str">
        <f ca="1">IF(color_Celda(E1426)=12106214,"ROSA",IF(color_Celda(E1426)=65535,"AMARILLO",IF(color_Celda(E1426)=5296274,"VERDE",IF(color_Celda(E1426)=16777215,"BLANCO","NO SE"))))</f>
        <v>ROSA</v>
      </c>
      <c r="W1426" s="336"/>
      <c r="X1426" s="336"/>
      <c r="Y1426" s="336"/>
      <c r="Z1426" s="63" t="s">
        <v>770</v>
      </c>
      <c r="AA1426" s="336" t="s">
        <v>1167</v>
      </c>
      <c r="AB1426" s="63" t="s">
        <v>1171</v>
      </c>
      <c r="AC1426" s="336"/>
    </row>
    <row r="1427" spans="1:29" ht="60" customHeight="1">
      <c r="A1427" s="336">
        <v>1365</v>
      </c>
      <c r="B1427" s="349">
        <v>45306</v>
      </c>
      <c r="C1427" s="568">
        <v>0.46388888888888885</v>
      </c>
      <c r="D1427" s="325" t="s">
        <v>4093</v>
      </c>
      <c r="E1427" s="64" t="s">
        <v>5306</v>
      </c>
      <c r="F1427" s="63">
        <v>2</v>
      </c>
      <c r="G1427" s="336" t="s">
        <v>3324</v>
      </c>
      <c r="H1427" s="383">
        <v>45331</v>
      </c>
      <c r="I1427" s="65" t="s">
        <v>73</v>
      </c>
      <c r="J1427" s="349" t="s">
        <v>4746</v>
      </c>
      <c r="K1427" s="63" t="s">
        <v>1341</v>
      </c>
      <c r="L1427" s="63" t="s">
        <v>4791</v>
      </c>
      <c r="M1427" s="63" t="s">
        <v>1956</v>
      </c>
      <c r="N1427" s="63" t="s">
        <v>6019</v>
      </c>
      <c r="O1427" s="63" t="str">
        <f ca="1">IF(H1427&lt;&gt;"",IF(H1427&lt;=TODAY(),"SI","NO"),"LIMBO")</f>
        <v>SI</v>
      </c>
      <c r="P1427" s="63" t="str">
        <f>IF($P$1=H1427,"DIASOL", "DIANOSOL")</f>
        <v>DIANOSOL</v>
      </c>
      <c r="Q1427" s="63" t="s">
        <v>151</v>
      </c>
      <c r="R1427" s="63" t="s">
        <v>151</v>
      </c>
      <c r="S1427" s="63"/>
      <c r="T1427" s="72" t="str">
        <f>IF(G1427=$J$1,"SI","NO")</f>
        <v>NO</v>
      </c>
      <c r="U1427" s="72"/>
      <c r="V1427" s="7" t="str">
        <f ca="1">IF(color_Celda(E1427)=12106214,"ROSA",IF(color_Celda(E1427)=65535,"AMARILLO",IF(color_Celda(E1427)=5296274,"VERDE",IF(color_Celda(E1427)=16777215,"BLANCO","NO SE"))))</f>
        <v>ROSA</v>
      </c>
      <c r="W1427" s="336"/>
      <c r="X1427" s="336"/>
      <c r="Y1427" s="336"/>
      <c r="Z1427" s="63" t="s">
        <v>3368</v>
      </c>
      <c r="AA1427" s="336" t="s">
        <v>2869</v>
      </c>
      <c r="AB1427" s="63" t="s">
        <v>1173</v>
      </c>
      <c r="AC1427" s="336" t="s">
        <v>1792</v>
      </c>
    </row>
    <row r="1428" spans="1:29" ht="60" customHeight="1">
      <c r="A1428" s="336">
        <v>1406</v>
      </c>
      <c r="B1428" s="349">
        <v>45313</v>
      </c>
      <c r="C1428" s="63" t="s">
        <v>73</v>
      </c>
      <c r="D1428" s="63" t="s">
        <v>5478</v>
      </c>
      <c r="E1428" s="64" t="s">
        <v>5479</v>
      </c>
      <c r="F1428" s="63">
        <v>2</v>
      </c>
      <c r="G1428" s="336" t="s">
        <v>29</v>
      </c>
      <c r="H1428" s="383">
        <v>45331</v>
      </c>
      <c r="I1428" s="65" t="s">
        <v>73</v>
      </c>
      <c r="J1428" s="349" t="s">
        <v>78</v>
      </c>
      <c r="K1428" s="336">
        <v>8</v>
      </c>
      <c r="L1428" s="63" t="s">
        <v>1693</v>
      </c>
      <c r="M1428" s="63" t="s">
        <v>5508</v>
      </c>
      <c r="N1428" s="63" t="s">
        <v>6018</v>
      </c>
      <c r="O1428" s="63" t="str">
        <f ca="1">IF(H1428&lt;&gt;"",IF(H1428&lt;=TODAY(),"SI","NO"),"LIMBO")</f>
        <v>SI</v>
      </c>
      <c r="P1428" s="63" t="str">
        <f>IF($P$1=H1428,"DIASOL", "DIANOSOL")</f>
        <v>DIANOSOL</v>
      </c>
      <c r="Q1428" s="63" t="s">
        <v>151</v>
      </c>
      <c r="R1428" s="63" t="str">
        <f>VLOOKUP($Q1428,Resultados!$A$1:$B$49,2,FALSE)</f>
        <v>Prisión Preventiva</v>
      </c>
      <c r="S1428" s="63"/>
      <c r="T1428" s="72" t="str">
        <f>IF(G1428=$J$1,"SI","NO")</f>
        <v>NO</v>
      </c>
      <c r="U1428" s="72"/>
      <c r="V1428" s="7" t="str">
        <f ca="1">IF(color_Celda(E1428)=12106214,"ROSA",IF(color_Celda(E1428)=65535,"AMARILLO",IF(color_Celda(E1428)=5296274,"VERDE",IF(color_Celda(E1428)=16777215,"BLANCO","NO SE"))))</f>
        <v>ROSA</v>
      </c>
      <c r="W1428" s="336"/>
      <c r="X1428" s="336"/>
      <c r="Y1428" s="336"/>
      <c r="Z1428" s="63" t="s">
        <v>770</v>
      </c>
      <c r="AA1428" s="336" t="s">
        <v>3379</v>
      </c>
      <c r="AB1428" s="63" t="s">
        <v>1170</v>
      </c>
      <c r="AC1428" s="336"/>
    </row>
    <row r="1429" spans="1:29" ht="60" customHeight="1">
      <c r="A1429" s="336">
        <v>1432</v>
      </c>
      <c r="B1429" s="349">
        <v>45316</v>
      </c>
      <c r="C1429" s="336" t="s">
        <v>3527</v>
      </c>
      <c r="D1429" s="336" t="s">
        <v>5558</v>
      </c>
      <c r="E1429" s="355" t="s">
        <v>5559</v>
      </c>
      <c r="F1429" s="336">
        <v>3</v>
      </c>
      <c r="G1429" s="336" t="s">
        <v>1433</v>
      </c>
      <c r="H1429" s="208">
        <v>45331</v>
      </c>
      <c r="I1429" s="65" t="s">
        <v>73</v>
      </c>
      <c r="J1429" s="349" t="s">
        <v>31</v>
      </c>
      <c r="K1429" s="336">
        <f>IFERROR(VLOOKUP(J1429,Jueces!$A$1:$B$11,2,FALSE),"")</f>
        <v>2</v>
      </c>
      <c r="L1429" s="63" t="s">
        <v>4788</v>
      </c>
      <c r="M1429" s="63" t="s">
        <v>692</v>
      </c>
      <c r="N1429" s="63" t="s">
        <v>5975</v>
      </c>
      <c r="O1429" s="63" t="str">
        <f ca="1">IF(H1429&lt;&gt;"",IF(H1429&lt;=TODAY(),"SI","NO"),"LIMBO")</f>
        <v>SI</v>
      </c>
      <c r="P1429" s="63" t="str">
        <f>IF($P$1=H1429,"DIASOL", "DIANOSOL")</f>
        <v>DIANOSOL</v>
      </c>
      <c r="Q1429" s="63" t="s">
        <v>902</v>
      </c>
      <c r="R1429" s="63" t="s">
        <v>100</v>
      </c>
      <c r="S1429" s="63" t="s">
        <v>1328</v>
      </c>
      <c r="T1429" s="72" t="str">
        <f>IF(G1429=$J$1,"SI","NO")</f>
        <v>NO</v>
      </c>
      <c r="U1429" s="72"/>
      <c r="V1429" s="7" t="str">
        <f ca="1">IF(color_Celda(E1429)=12106214,"ROSA",IF(color_Celda(E1429)=65535,"AMARILLO",IF(color_Celda(E1429)=5296274,"VERDE",IF(color_Celda(E1429)=16777215,"BLANCO","NO SE"))))</f>
        <v>ROSA</v>
      </c>
      <c r="W1429" s="63" t="s">
        <v>1287</v>
      </c>
      <c r="X1429" s="63" t="s">
        <v>4644</v>
      </c>
      <c r="Y1429" s="336"/>
      <c r="Z1429" s="63" t="s">
        <v>743</v>
      </c>
      <c r="AA1429" s="336" t="s">
        <v>3378</v>
      </c>
      <c r="AB1429" s="63" t="s">
        <v>1169</v>
      </c>
      <c r="AC1429" s="336"/>
    </row>
    <row r="1430" spans="1:29" ht="60" customHeight="1">
      <c r="A1430" s="336">
        <v>1498</v>
      </c>
      <c r="B1430" s="349">
        <v>45323</v>
      </c>
      <c r="C1430" s="568">
        <v>0.47569444444444442</v>
      </c>
      <c r="D1430" s="336" t="s">
        <v>4954</v>
      </c>
      <c r="E1430" s="355" t="s">
        <v>4955</v>
      </c>
      <c r="F1430" s="336">
        <v>7</v>
      </c>
      <c r="G1430" s="336" t="s">
        <v>2752</v>
      </c>
      <c r="H1430" s="383">
        <v>45331</v>
      </c>
      <c r="I1430" s="65" t="s">
        <v>73</v>
      </c>
      <c r="J1430" s="349" t="s">
        <v>1217</v>
      </c>
      <c r="K1430" s="336">
        <f>IFERROR(VLOOKUP(J1430,Jueces!$A$1:$B$11,2,FALSE),"")</f>
        <v>7</v>
      </c>
      <c r="L1430" s="63" t="s">
        <v>805</v>
      </c>
      <c r="M1430" s="63" t="s">
        <v>4769</v>
      </c>
      <c r="N1430" s="63" t="s">
        <v>5976</v>
      </c>
      <c r="O1430" s="63" t="str">
        <f ca="1">IF(H1430&lt;&gt;"",IF(H1430&lt;=TODAY(),"SI","NO"),"LIMBO")</f>
        <v>SI</v>
      </c>
      <c r="P1430" s="63" t="str">
        <f>IF($P$1=H1430,"DIASOL", "DIANOSOL")</f>
        <v>DIANOSOL</v>
      </c>
      <c r="Q1430" s="63" t="s">
        <v>903</v>
      </c>
      <c r="R1430" s="63" t="s">
        <v>100</v>
      </c>
      <c r="S1430" s="63" t="s">
        <v>1015</v>
      </c>
      <c r="T1430" s="72" t="str">
        <f>IF(G1430=$J$1,"SI","NO")</f>
        <v>NO</v>
      </c>
      <c r="U1430" s="72"/>
      <c r="V1430" s="7" t="str">
        <f ca="1">IF(color_Celda(E1430)=12106214,"ROSA",IF(color_Celda(E1430)=65535,"AMARILLO",IF(color_Celda(E1430)=5296274,"VERDE",IF(color_Celda(E1430)=16777215,"BLANCO","NO SE"))))</f>
        <v>ROSA</v>
      </c>
      <c r="W1430" s="63" t="s">
        <v>1134</v>
      </c>
      <c r="X1430" s="63" t="s">
        <v>4644</v>
      </c>
      <c r="Y1430" s="336"/>
      <c r="Z1430" s="63" t="s">
        <v>748</v>
      </c>
      <c r="AA1430" s="63" t="s">
        <v>1167</v>
      </c>
      <c r="AB1430" s="63" t="s">
        <v>5776</v>
      </c>
      <c r="AC1430" s="336"/>
    </row>
    <row r="1431" spans="1:29" ht="60" customHeight="1">
      <c r="A1431" s="336">
        <v>1359</v>
      </c>
      <c r="B1431" s="349">
        <v>45306</v>
      </c>
      <c r="C1431" s="568">
        <v>0.42708333333333331</v>
      </c>
      <c r="D1431" s="63" t="s">
        <v>5296</v>
      </c>
      <c r="E1431" s="64" t="s">
        <v>5297</v>
      </c>
      <c r="F1431" s="63">
        <v>2</v>
      </c>
      <c r="G1431" s="336" t="s">
        <v>3323</v>
      </c>
      <c r="H1431" s="383">
        <v>45331</v>
      </c>
      <c r="I1431" s="65" t="s">
        <v>1083</v>
      </c>
      <c r="J1431" s="349" t="s">
        <v>4931</v>
      </c>
      <c r="K1431" s="63" t="s">
        <v>2324</v>
      </c>
      <c r="L1431" s="63" t="s">
        <v>4777</v>
      </c>
      <c r="M1431" s="63" t="s">
        <v>711</v>
      </c>
      <c r="N1431" s="63" t="s">
        <v>6020</v>
      </c>
      <c r="O1431" s="63" t="str">
        <f ca="1">IF(H1431&lt;&gt;"",IF(H1431&lt;=TODAY(),"SI","NO"),"LIMBO")</f>
        <v>SI</v>
      </c>
      <c r="P1431" s="63" t="str">
        <f>IF($P$1=H1431,"DIASOL", "DIANOSOL")</f>
        <v>DIANOSOL</v>
      </c>
      <c r="Q1431" s="63" t="s">
        <v>911</v>
      </c>
      <c r="R1431" s="63" t="str">
        <f>VLOOKUP($Q1431,Resultados!$A$1:$B$49,2,FALSE)</f>
        <v>Prision domiciliaria</v>
      </c>
      <c r="S1431" s="63"/>
      <c r="T1431" s="72" t="str">
        <f>IF(G1431=$J$1,"SI","NO")</f>
        <v>NO</v>
      </c>
      <c r="U1431" s="72"/>
      <c r="V1431" s="7" t="str">
        <f ca="1">IF(color_Celda(E1431)=12106214,"ROSA",IF(color_Celda(E1431)=65535,"AMARILLO",IF(color_Celda(E1431)=5296274,"VERDE",IF(color_Celda(E1431)=16777215,"BLANCO","NO SE"))))</f>
        <v>ROSA</v>
      </c>
      <c r="W1431" s="336"/>
      <c r="X1431" s="336"/>
      <c r="Y1431" s="336"/>
      <c r="Z1431" s="63" t="s">
        <v>770</v>
      </c>
      <c r="AA1431" s="336" t="s">
        <v>1167</v>
      </c>
      <c r="AB1431" s="63" t="s">
        <v>3258</v>
      </c>
      <c r="AC1431" s="336"/>
    </row>
    <row r="1432" spans="1:29" ht="60" customHeight="1">
      <c r="A1432" s="336">
        <v>1387</v>
      </c>
      <c r="B1432" s="349">
        <v>45310</v>
      </c>
      <c r="C1432" s="63" t="s">
        <v>1858</v>
      </c>
      <c r="D1432" s="63" t="s">
        <v>5439</v>
      </c>
      <c r="E1432" s="64" t="s">
        <v>5440</v>
      </c>
      <c r="F1432" s="63">
        <v>7</v>
      </c>
      <c r="G1432" s="336" t="s">
        <v>1435</v>
      </c>
      <c r="H1432" s="208">
        <v>45331</v>
      </c>
      <c r="I1432" s="65" t="s">
        <v>1083</v>
      </c>
      <c r="J1432" s="349" t="s">
        <v>31</v>
      </c>
      <c r="K1432" s="336">
        <f>IFERROR(VLOOKUP(J1432,Jueces!$A$1:$B$11,2,FALSE),"")</f>
        <v>2</v>
      </c>
      <c r="L1432" s="63" t="s">
        <v>4767</v>
      </c>
      <c r="M1432" s="63" t="s">
        <v>3209</v>
      </c>
      <c r="N1432" s="63" t="s">
        <v>5977</v>
      </c>
      <c r="O1432" s="63" t="str">
        <f ca="1">IF(H1432&lt;&gt;"",IF(H1432&lt;=TODAY(),"SI","NO"),"LIMBO")</f>
        <v>SI</v>
      </c>
      <c r="P1432" s="63" t="str">
        <f>IF($P$1=H1432,"DIASOL", "DIANOSOL")</f>
        <v>DIANOSOL</v>
      </c>
      <c r="Q1432" s="63" t="s">
        <v>151</v>
      </c>
      <c r="R1432" s="63" t="str">
        <f>VLOOKUP($Q1432,Resultados!$A$1:$B$49,2,FALSE)</f>
        <v>Prisión Preventiva</v>
      </c>
      <c r="S1432" s="63" t="s">
        <v>2063</v>
      </c>
      <c r="T1432" s="72" t="str">
        <f>IF(G1432=$J$1,"SI","NO")</f>
        <v>SI</v>
      </c>
      <c r="U1432" s="72"/>
      <c r="V1432" s="7" t="str">
        <f ca="1">IF(color_Celda(E1432)=12106214,"ROSA",IF(color_Celda(E1432)=65535,"AMARILLO",IF(color_Celda(E1432)=5296274,"VERDE",IF(color_Celda(E1432)=16777215,"BLANCO","NO SE"))))</f>
        <v>ROSA</v>
      </c>
      <c r="W1432" s="63" t="s">
        <v>2929</v>
      </c>
      <c r="X1432" s="336"/>
      <c r="Y1432" s="336"/>
      <c r="Z1432" s="63" t="s">
        <v>743</v>
      </c>
      <c r="AA1432" s="336" t="s">
        <v>3379</v>
      </c>
      <c r="AB1432" s="63" t="s">
        <v>1173</v>
      </c>
      <c r="AC1432" s="336"/>
    </row>
    <row r="1433" spans="1:29" ht="60" customHeight="1">
      <c r="A1433" s="336">
        <v>1416</v>
      </c>
      <c r="B1433" s="349">
        <v>45315</v>
      </c>
      <c r="C1433" s="63" t="s">
        <v>1738</v>
      </c>
      <c r="D1433" s="63" t="s">
        <v>5509</v>
      </c>
      <c r="E1433" s="64" t="s">
        <v>5695</v>
      </c>
      <c r="F1433" s="336">
        <v>3</v>
      </c>
      <c r="G1433" s="63" t="s">
        <v>283</v>
      </c>
      <c r="H1433" s="383">
        <v>45331</v>
      </c>
      <c r="I1433" s="208" t="s">
        <v>1083</v>
      </c>
      <c r="J1433" s="65" t="s">
        <v>1217</v>
      </c>
      <c r="K1433" s="336">
        <f>IFERROR(VLOOKUP(J1433,Jueces!$A$1:$B$11,2,FALSE),"")</f>
        <v>7</v>
      </c>
      <c r="L1433" s="63" t="s">
        <v>2412</v>
      </c>
      <c r="M1433" s="63" t="s">
        <v>692</v>
      </c>
      <c r="N1433" s="63" t="s">
        <v>1795</v>
      </c>
      <c r="O1433" s="63" t="str">
        <f ca="1">IF(H1433&lt;&gt;"",IF(H1433&lt;=TODAY(),"SI","NO"),"LIMBO")</f>
        <v>SI</v>
      </c>
      <c r="P1433" s="63" t="str">
        <f>IF($P$1=H1433,"DIASOL", "DIANOSOL")</f>
        <v>DIANOSOL</v>
      </c>
      <c r="Q1433" s="63" t="s">
        <v>151</v>
      </c>
      <c r="R1433" s="63" t="str">
        <f>VLOOKUP($Q1433,Resultados!$A$1:$B$49,2,FALSE)</f>
        <v>Prisión Preventiva</v>
      </c>
      <c r="S1433" s="63" t="s">
        <v>1384</v>
      </c>
      <c r="T1433" s="72" t="str">
        <f>IF(G1433=$J$1,"SI","NO")</f>
        <v>NO</v>
      </c>
      <c r="U1433" s="72"/>
      <c r="V1433" s="7" t="str">
        <f ca="1">IF(color_Celda(E1433)=12106214,"ROSA",IF(color_Celda(E1433)=65535,"AMARILLO",IF(color_Celda(E1433)=5296274,"VERDE",IF(color_Celda(E1433)=16777215,"BLANCO","NO SE"))))</f>
        <v>ROSA</v>
      </c>
      <c r="W1433" s="63" t="s">
        <v>3115</v>
      </c>
      <c r="X1433" s="63" t="s">
        <v>4891</v>
      </c>
      <c r="Y1433" s="336"/>
      <c r="Z1433" s="63" t="s">
        <v>748</v>
      </c>
      <c r="AA1433" s="63" t="s">
        <v>2828</v>
      </c>
      <c r="AB1433" s="63" t="s">
        <v>1171</v>
      </c>
      <c r="AC1433" s="336"/>
    </row>
    <row r="1434" spans="1:29" ht="60" customHeight="1">
      <c r="A1434" s="336">
        <v>1429</v>
      </c>
      <c r="B1434" s="349">
        <v>45316</v>
      </c>
      <c r="C1434" s="336" t="s">
        <v>1797</v>
      </c>
      <c r="D1434" s="336" t="s">
        <v>5555</v>
      </c>
      <c r="E1434" s="64" t="s">
        <v>5697</v>
      </c>
      <c r="F1434" s="336">
        <v>2</v>
      </c>
      <c r="G1434" s="336" t="s">
        <v>3791</v>
      </c>
      <c r="H1434" s="208">
        <v>45331</v>
      </c>
      <c r="I1434" s="65" t="s">
        <v>1083</v>
      </c>
      <c r="J1434" s="349" t="s">
        <v>1216</v>
      </c>
      <c r="K1434" s="336">
        <v>1</v>
      </c>
      <c r="L1434" s="63" t="s">
        <v>789</v>
      </c>
      <c r="M1434" s="63" t="s">
        <v>4592</v>
      </c>
      <c r="N1434" s="63" t="s">
        <v>2550</v>
      </c>
      <c r="O1434" s="63" t="str">
        <f ca="1">IF(H1434&lt;&gt;"",IF(H1434&lt;=TODAY(),"SI","NO"),"LIMBO")</f>
        <v>SI</v>
      </c>
      <c r="P1434" s="63" t="str">
        <f>IF($P$1=H1434,"DIASOL", "DIANOSOL")</f>
        <v>DIANOSOL</v>
      </c>
      <c r="Q1434" s="63" t="s">
        <v>897</v>
      </c>
      <c r="R1434" s="63" t="str">
        <f>VLOOKUP($Q1434,Resultados!$A$1:$B$49,2,FALSE)</f>
        <v>Libertad</v>
      </c>
      <c r="S1434" s="70" t="s">
        <v>1134</v>
      </c>
      <c r="T1434" s="72" t="str">
        <f>IF(G1434=$J$1,"SI","NO")</f>
        <v>NO</v>
      </c>
      <c r="U1434" s="72"/>
      <c r="V1434" s="7" t="str">
        <f ca="1">IF(color_Celda(E1434)=12106214,"ROSA",IF(color_Celda(E1434)=65535,"AMARILLO",IF(color_Celda(E1434)=5296274,"VERDE",IF(color_Celda(E1434)=16777215,"BLANCO","NO SE"))))</f>
        <v>ROSA</v>
      </c>
      <c r="W1434" s="63" t="s">
        <v>1570</v>
      </c>
      <c r="X1434" s="336"/>
      <c r="Y1434" s="336"/>
      <c r="Z1434" s="63" t="s">
        <v>3368</v>
      </c>
      <c r="AA1434" s="63" t="s">
        <v>2869</v>
      </c>
      <c r="AB1434" s="63" t="s">
        <v>1170</v>
      </c>
      <c r="AC1434" s="336"/>
    </row>
    <row r="1435" spans="1:29" ht="60" customHeight="1">
      <c r="A1435" s="336">
        <v>1431</v>
      </c>
      <c r="B1435" s="349">
        <v>45316</v>
      </c>
      <c r="C1435" s="336" t="s">
        <v>1706</v>
      </c>
      <c r="D1435" s="336" t="s">
        <v>5557</v>
      </c>
      <c r="E1435" s="64" t="s">
        <v>5628</v>
      </c>
      <c r="F1435" s="336">
        <v>3</v>
      </c>
      <c r="G1435" s="336" t="s">
        <v>2766</v>
      </c>
      <c r="H1435" s="383">
        <v>45331</v>
      </c>
      <c r="I1435" s="65" t="s">
        <v>1083</v>
      </c>
      <c r="J1435" s="349" t="s">
        <v>4932</v>
      </c>
      <c r="K1435" s="63" t="s">
        <v>2375</v>
      </c>
      <c r="L1435" s="63" t="s">
        <v>805</v>
      </c>
      <c r="M1435" s="63" t="s">
        <v>712</v>
      </c>
      <c r="N1435" s="63" t="s">
        <v>2178</v>
      </c>
      <c r="O1435" s="63" t="str">
        <f ca="1">IF(H1435&lt;&gt;"",IF(H1435&lt;=TODAY(),"SI","NO"),"LIMBO")</f>
        <v>SI</v>
      </c>
      <c r="P1435" s="63" t="str">
        <f>IF($P$1=H1435,"DIASOL", "DIANOSOL")</f>
        <v>DIANOSOL</v>
      </c>
      <c r="Q1435" s="63" t="s">
        <v>902</v>
      </c>
      <c r="R1435" s="63" t="str">
        <f>VLOOKUP($Q1435,Resultados!$A$1:$B$49,2,FALSE)</f>
        <v>Juicio Abreviado</v>
      </c>
      <c r="S1435" s="63" t="s">
        <v>2935</v>
      </c>
      <c r="T1435" s="72" t="str">
        <f>IF(G1435=$J$1,"SI","NO")</f>
        <v>NO</v>
      </c>
      <c r="U1435" s="72"/>
      <c r="V1435" s="7" t="str">
        <f ca="1">IF(color_Celda(E1435)=12106214,"ROSA",IF(color_Celda(E1435)=65535,"AMARILLO",IF(color_Celda(E1435)=5296274,"VERDE",IF(color_Celda(E1435)=16777215,"BLANCO","NO SE"))))</f>
        <v>ROSA</v>
      </c>
      <c r="W1435" s="63" t="s">
        <v>1442</v>
      </c>
      <c r="X1435" s="63" t="s">
        <v>4644</v>
      </c>
      <c r="Y1435" s="336"/>
      <c r="Z1435" s="63" t="s">
        <v>1038</v>
      </c>
      <c r="AA1435" s="336" t="s">
        <v>3378</v>
      </c>
      <c r="AB1435" s="63" t="s">
        <v>1169</v>
      </c>
      <c r="AC1435" s="336"/>
    </row>
    <row r="1436" spans="1:29" ht="60" customHeight="1">
      <c r="A1436" s="336">
        <v>1457</v>
      </c>
      <c r="B1436" s="349">
        <v>45316</v>
      </c>
      <c r="C1436" s="70" t="s">
        <v>3738</v>
      </c>
      <c r="D1436" s="336" t="s">
        <v>4429</v>
      </c>
      <c r="E1436" s="355" t="s">
        <v>4430</v>
      </c>
      <c r="F1436" s="336">
        <v>5</v>
      </c>
      <c r="G1436" s="336" t="s">
        <v>568</v>
      </c>
      <c r="H1436" s="383">
        <v>45331</v>
      </c>
      <c r="I1436" s="65" t="s">
        <v>1083</v>
      </c>
      <c r="J1436" s="349" t="s">
        <v>35</v>
      </c>
      <c r="K1436" s="336">
        <f>IFERROR(VLOOKUP(J1436,Jueces!$A$1:$B$11,2,FALSE),"")</f>
        <v>3</v>
      </c>
      <c r="L1436" s="63" t="s">
        <v>3638</v>
      </c>
      <c r="M1436" s="63" t="s">
        <v>5533</v>
      </c>
      <c r="N1436" s="63" t="s">
        <v>5978</v>
      </c>
      <c r="O1436" s="63" t="str">
        <f ca="1">IF(H1436&lt;&gt;"",IF(H1436&lt;=TODAY(),"SI","NO"),"LIMBO")</f>
        <v>SI</v>
      </c>
      <c r="P1436" s="63" t="str">
        <f>IF($P$1=H1436,"DIASOL", "DIANOSOL")</f>
        <v>DIANOSOL</v>
      </c>
      <c r="Q1436" s="63" t="s">
        <v>902</v>
      </c>
      <c r="R1436" s="63" t="s">
        <v>100</v>
      </c>
      <c r="S1436" s="63" t="s">
        <v>1562</v>
      </c>
      <c r="T1436" s="72" t="str">
        <f>IF(G1436=$J$1,"SI","NO")</f>
        <v>NO</v>
      </c>
      <c r="U1436" s="72"/>
      <c r="V1436" s="7" t="str">
        <f ca="1">IF(color_Celda(E1436)=12106214,"ROSA",IF(color_Celda(E1436)=65535,"AMARILLO",IF(color_Celda(E1436)=5296274,"VERDE",IF(color_Celda(E1436)=16777215,"BLANCO","NO SE"))))</f>
        <v>ROSA</v>
      </c>
      <c r="W1436" s="63" t="s">
        <v>3201</v>
      </c>
      <c r="X1436" s="63" t="s">
        <v>5979</v>
      </c>
      <c r="Y1436" s="336"/>
      <c r="Z1436" s="63" t="s">
        <v>1039</v>
      </c>
      <c r="AA1436" s="336" t="s">
        <v>2869</v>
      </c>
      <c r="AB1436" s="63" t="s">
        <v>3258</v>
      </c>
      <c r="AC1436" s="336"/>
    </row>
    <row r="1437" spans="1:29" ht="60" customHeight="1">
      <c r="A1437" s="336">
        <v>1367</v>
      </c>
      <c r="B1437" s="349">
        <v>45306</v>
      </c>
      <c r="C1437" s="568">
        <v>0.47430555555555554</v>
      </c>
      <c r="D1437" s="63" t="s">
        <v>5311</v>
      </c>
      <c r="E1437" s="64" t="s">
        <v>5312</v>
      </c>
      <c r="F1437" s="63">
        <v>2</v>
      </c>
      <c r="G1437" s="336" t="s">
        <v>2815</v>
      </c>
      <c r="H1437" s="383">
        <v>45331</v>
      </c>
      <c r="I1437" s="65" t="s">
        <v>1206</v>
      </c>
      <c r="J1437" s="349" t="s">
        <v>35</v>
      </c>
      <c r="K1437" s="63" t="s">
        <v>2375</v>
      </c>
      <c r="L1437" s="63" t="s">
        <v>4791</v>
      </c>
      <c r="M1437" s="63" t="s">
        <v>783</v>
      </c>
      <c r="N1437" s="63" t="s">
        <v>151</v>
      </c>
      <c r="O1437" s="63" t="str">
        <f ca="1">IF(H1437&lt;&gt;"",IF(H1437&lt;=TODAY(),"SI","NO"),"LIMBO")</f>
        <v>SI</v>
      </c>
      <c r="P1437" s="63" t="str">
        <f>IF($P$1=H1437,"DIASOL", "DIANOSOL")</f>
        <v>DIANOSOL</v>
      </c>
      <c r="Q1437" s="63" t="s">
        <v>151</v>
      </c>
      <c r="R1437" s="63" t="str">
        <f>VLOOKUP($Q1437,Resultados!$A$1:$B$49,2,FALSE)</f>
        <v>Prisión Preventiva</v>
      </c>
      <c r="S1437" s="63"/>
      <c r="T1437" s="72" t="str">
        <f>IF(G1437=$J$1,"SI","NO")</f>
        <v>NO</v>
      </c>
      <c r="U1437" s="72"/>
      <c r="V1437" s="7" t="str">
        <f ca="1">IF(color_Celda(E1437)=12106214,"ROSA",IF(color_Celda(E1437)=65535,"AMARILLO",IF(color_Celda(E1437)=5296274,"VERDE",IF(color_Celda(E1437)=16777215,"BLANCO","NO SE"))))</f>
        <v>ROSA</v>
      </c>
      <c r="W1437" s="336"/>
      <c r="X1437" s="336"/>
      <c r="Y1437" s="336"/>
      <c r="Z1437" s="63" t="s">
        <v>5910</v>
      </c>
      <c r="AA1437" s="336" t="s">
        <v>1167</v>
      </c>
      <c r="AB1437" s="63" t="s">
        <v>1171</v>
      </c>
      <c r="AC1437" s="336"/>
    </row>
    <row r="1438" spans="1:29" ht="60" customHeight="1">
      <c r="A1438" s="336">
        <v>1458</v>
      </c>
      <c r="B1438" s="349">
        <v>45320</v>
      </c>
      <c r="C1438" s="63" t="s">
        <v>4077</v>
      </c>
      <c r="D1438" s="63" t="s">
        <v>5616</v>
      </c>
      <c r="E1438" s="64" t="s">
        <v>5831</v>
      </c>
      <c r="F1438" s="336">
        <v>3</v>
      </c>
      <c r="G1438" s="336" t="s">
        <v>5710</v>
      </c>
      <c r="H1438" s="383">
        <v>45331</v>
      </c>
      <c r="I1438" s="65" t="s">
        <v>1206</v>
      </c>
      <c r="J1438" s="65" t="s">
        <v>78</v>
      </c>
      <c r="K1438" s="336">
        <f>IFERROR(VLOOKUP(J1438,Jueces!$A$1:$B$11,2,FALSE),"")</f>
        <v>8</v>
      </c>
      <c r="L1438" s="63" t="s">
        <v>4779</v>
      </c>
      <c r="M1438" s="63" t="s">
        <v>712</v>
      </c>
      <c r="N1438" s="63" t="s">
        <v>6021</v>
      </c>
      <c r="O1438" s="63" t="str">
        <f ca="1">IF(H1438&lt;&gt;"",IF(H1438&lt;=TODAY(),"SI","NO"),"LIMBO")</f>
        <v>SI</v>
      </c>
      <c r="P1438" s="63" t="str">
        <f>IF($P$1=H1438,"DIASOL", "DIANOSOL")</f>
        <v>DIANOSOL</v>
      </c>
      <c r="Q1438" s="63" t="s">
        <v>903</v>
      </c>
      <c r="R1438" s="63" t="str">
        <f>VLOOKUP($Q1438,Resultados!$A$1:$B$49,2,FALSE)</f>
        <v>Juicio Abreviado</v>
      </c>
      <c r="S1438" s="63"/>
      <c r="T1438" s="72" t="str">
        <f>IF(G1438=$J$1,"SI","NO")</f>
        <v>NO</v>
      </c>
      <c r="U1438" s="72"/>
      <c r="V1438" s="7" t="str">
        <f ca="1">IF(color_Celda(E1438)=12106214,"ROSA",IF(color_Celda(E1438)=65535,"AMARILLO",IF(color_Celda(E1438)=5296274,"VERDE",IF(color_Celda(E1438)=16777215,"BLANCO","NO SE"))))</f>
        <v>ROSA</v>
      </c>
      <c r="W1438" s="336"/>
      <c r="X1438" s="336"/>
      <c r="Y1438" s="336"/>
      <c r="Z1438" s="63" t="s">
        <v>770</v>
      </c>
      <c r="AA1438" s="63" t="s">
        <v>3378</v>
      </c>
      <c r="AB1438" s="63" t="s">
        <v>1170</v>
      </c>
      <c r="AC1438" s="336"/>
    </row>
    <row r="1439" spans="1:29" ht="60" customHeight="1">
      <c r="A1439" s="336">
        <v>1377</v>
      </c>
      <c r="B1439" s="349">
        <v>45309</v>
      </c>
      <c r="C1439" s="63" t="s">
        <v>3265</v>
      </c>
      <c r="D1439" s="63" t="s">
        <v>5406</v>
      </c>
      <c r="E1439" s="64" t="s">
        <v>5832</v>
      </c>
      <c r="F1439" s="63">
        <v>2</v>
      </c>
      <c r="G1439" s="63" t="s">
        <v>5709</v>
      </c>
      <c r="H1439" s="383">
        <v>45331</v>
      </c>
      <c r="I1439" s="65" t="s">
        <v>75</v>
      </c>
      <c r="J1439" s="349" t="s">
        <v>35</v>
      </c>
      <c r="K1439" s="63">
        <v>3</v>
      </c>
      <c r="L1439" s="63" t="s">
        <v>4779</v>
      </c>
      <c r="M1439" s="63" t="s">
        <v>1084</v>
      </c>
      <c r="N1439" s="63" t="s">
        <v>6022</v>
      </c>
      <c r="O1439" s="63" t="str">
        <f ca="1">IF(H1439&lt;&gt;"",IF(H1439&lt;=TODAY(),"SI","NO"),"LIMBO")</f>
        <v>SI</v>
      </c>
      <c r="P1439" s="63" t="str">
        <f>IF($P$1=H1439,"DIASOL", "DIANOSOL")</f>
        <v>DIANOSOL</v>
      </c>
      <c r="Q1439" s="63" t="s">
        <v>903</v>
      </c>
      <c r="R1439" s="63" t="str">
        <f>VLOOKUP($Q1439,Resultados!$A$1:$B$49,2,FALSE)</f>
        <v>Juicio Abreviado</v>
      </c>
      <c r="S1439" s="63"/>
      <c r="T1439" s="72" t="str">
        <f>IF(G1439=$J$1,"SI","NO")</f>
        <v>NO</v>
      </c>
      <c r="U1439" s="72"/>
      <c r="V1439" s="7" t="str">
        <f ca="1">IF(color_Celda(E1439)=12106214,"ROSA",IF(color_Celda(E1439)=65535,"AMARILLO",IF(color_Celda(E1439)=5296274,"VERDE",IF(color_Celda(E1439)=16777215,"BLANCO","NO SE"))))</f>
        <v>ROSA</v>
      </c>
      <c r="W1439" s="336"/>
      <c r="X1439" s="336"/>
      <c r="Y1439" s="336"/>
      <c r="Z1439" s="336" t="s">
        <v>743</v>
      </c>
      <c r="AA1439" s="336" t="s">
        <v>3379</v>
      </c>
      <c r="AB1439" s="63" t="s">
        <v>1169</v>
      </c>
      <c r="AC1439" s="336"/>
    </row>
    <row r="1440" spans="1:29" ht="60" customHeight="1">
      <c r="A1440" s="336">
        <v>1420</v>
      </c>
      <c r="B1440" s="349">
        <v>45315</v>
      </c>
      <c r="C1440" s="63" t="s">
        <v>3684</v>
      </c>
      <c r="D1440" s="63" t="s">
        <v>5518</v>
      </c>
      <c r="E1440" s="64" t="s">
        <v>5519</v>
      </c>
      <c r="F1440" s="336">
        <v>2</v>
      </c>
      <c r="G1440" s="336" t="s">
        <v>2815</v>
      </c>
      <c r="H1440" s="383">
        <v>45336</v>
      </c>
      <c r="I1440" s="65" t="s">
        <v>73</v>
      </c>
      <c r="J1440" s="349" t="s">
        <v>4931</v>
      </c>
      <c r="K1440" s="63" t="s">
        <v>2324</v>
      </c>
      <c r="L1440" s="63" t="s">
        <v>805</v>
      </c>
      <c r="M1440" s="63" t="s">
        <v>712</v>
      </c>
      <c r="N1440" s="63" t="s">
        <v>2100</v>
      </c>
      <c r="O1440" s="63" t="str">
        <f ca="1">IF(H1440&lt;&gt;"",IF(H1440&lt;=TODAY(),"SI","NO"),"LIMBO")</f>
        <v>SI</v>
      </c>
      <c r="P1440" s="63" t="str">
        <f>IF($P$1=H1440,"DIASOL", "DIANOSOL")</f>
        <v>DIANOSOL</v>
      </c>
      <c r="Q1440" s="63" t="s">
        <v>151</v>
      </c>
      <c r="R1440" s="63" t="str">
        <f>VLOOKUP($Q1440,Resultados!$A$1:$B$49,2,FALSE)</f>
        <v>Prisión Preventiva</v>
      </c>
      <c r="S1440" s="63"/>
      <c r="T1440" s="72" t="str">
        <f>IF(G1440=$J$1,"SI","NO")</f>
        <v>NO</v>
      </c>
      <c r="U1440" s="72"/>
      <c r="V1440" s="7" t="str">
        <f ca="1">IF(color_Celda(E1440)=12106214,"ROSA",IF(color_Celda(E1440)=65535,"AMARILLO",IF(color_Celda(E1440)=5296274,"VERDE",IF(color_Celda(E1440)=16777215,"BLANCO","NO SE"))))</f>
        <v>ROSA</v>
      </c>
      <c r="W1440" s="336"/>
      <c r="X1440" s="336"/>
      <c r="Y1440" s="336"/>
      <c r="Z1440" s="63" t="s">
        <v>3368</v>
      </c>
      <c r="AA1440" s="336" t="s">
        <v>2869</v>
      </c>
      <c r="AB1440" s="63" t="s">
        <v>5776</v>
      </c>
      <c r="AC1440" s="336"/>
    </row>
    <row r="1441" spans="1:29" ht="60" customHeight="1">
      <c r="A1441" s="336">
        <v>1421</v>
      </c>
      <c r="B1441" s="349">
        <v>45315</v>
      </c>
      <c r="C1441" s="63" t="s">
        <v>3224</v>
      </c>
      <c r="D1441" s="63" t="s">
        <v>5520</v>
      </c>
      <c r="E1441" s="64" t="s">
        <v>5521</v>
      </c>
      <c r="F1441" s="336">
        <v>2</v>
      </c>
      <c r="G1441" s="336" t="s">
        <v>3639</v>
      </c>
      <c r="H1441" s="383">
        <v>45336</v>
      </c>
      <c r="I1441" s="65" t="s">
        <v>73</v>
      </c>
      <c r="J1441" s="349" t="s">
        <v>1217</v>
      </c>
      <c r="K1441" s="336">
        <f>IFERROR(VLOOKUP(J1441,Jueces!$A$1:$B$11,2,FALSE),"")</f>
        <v>7</v>
      </c>
      <c r="L1441" s="63" t="s">
        <v>4779</v>
      </c>
      <c r="M1441" s="63" t="s">
        <v>711</v>
      </c>
      <c r="N1441" s="63" t="s">
        <v>6023</v>
      </c>
      <c r="O1441" s="63" t="str">
        <f ca="1">IF(H1441&lt;&gt;"",IF(H1441&lt;=TODAY(),"SI","NO"),"LIMBO")</f>
        <v>SI</v>
      </c>
      <c r="P1441" s="63" t="str">
        <f>IF($P$1=H1441,"DIASOL", "DIANOSOL")</f>
        <v>DIANOSOL</v>
      </c>
      <c r="Q1441" s="63" t="s">
        <v>897</v>
      </c>
      <c r="R1441" s="63" t="str">
        <f>VLOOKUP($Q1441,Resultados!$A$1:$B$49,2,FALSE)</f>
        <v>Libertad</v>
      </c>
      <c r="S1441" s="63"/>
      <c r="T1441" s="72" t="str">
        <f>IF(G1441=$J$1,"SI","NO")</f>
        <v>NO</v>
      </c>
      <c r="U1441" s="72"/>
      <c r="V1441" s="7" t="str">
        <f ca="1">IF(color_Celda(E1441)=12106214,"ROSA",IF(color_Celda(E1441)=65535,"AMARILLO",IF(color_Celda(E1441)=5296274,"VERDE",IF(color_Celda(E1441)=16777215,"BLANCO","NO SE"))))</f>
        <v>ROSA</v>
      </c>
      <c r="W1441" s="336"/>
      <c r="X1441" s="336"/>
      <c r="Y1441" s="336"/>
      <c r="Z1441" s="63" t="s">
        <v>770</v>
      </c>
      <c r="AA1441" s="336" t="s">
        <v>3378</v>
      </c>
      <c r="AB1441" s="63" t="s">
        <v>1171</v>
      </c>
      <c r="AC1441" s="336"/>
    </row>
    <row r="1442" spans="1:29" ht="60" customHeight="1">
      <c r="A1442" s="336">
        <v>1453</v>
      </c>
      <c r="B1442" s="349">
        <v>45315</v>
      </c>
      <c r="C1442" s="63" t="s">
        <v>3203</v>
      </c>
      <c r="D1442" s="63" t="s">
        <v>5608</v>
      </c>
      <c r="E1442" s="64" t="s">
        <v>5609</v>
      </c>
      <c r="F1442" s="336">
        <v>7</v>
      </c>
      <c r="G1442" s="336" t="s">
        <v>3323</v>
      </c>
      <c r="H1442" s="208">
        <v>45336</v>
      </c>
      <c r="I1442" s="65" t="s">
        <v>73</v>
      </c>
      <c r="J1442" s="349" t="s">
        <v>35</v>
      </c>
      <c r="K1442" s="336">
        <f>IFERROR(VLOOKUP(J1442,Jueces!$A$1:$B$11,2,FALSE),"")</f>
        <v>3</v>
      </c>
      <c r="L1442" s="63" t="s">
        <v>4790</v>
      </c>
      <c r="M1442" s="63" t="s">
        <v>5610</v>
      </c>
      <c r="N1442" s="63" t="s">
        <v>6024</v>
      </c>
      <c r="O1442" s="63" t="str">
        <f ca="1">IF(H1442&lt;&gt;"",IF(H1442&lt;=TODAY(),"SI","NO"),"LIMBO")</f>
        <v>SI</v>
      </c>
      <c r="P1442" s="63" t="str">
        <f>IF($P$1=H1442,"DIASOL", "DIANOSOL")</f>
        <v>DIANOSOL</v>
      </c>
      <c r="Q1442" s="63" t="s">
        <v>897</v>
      </c>
      <c r="R1442" s="63" t="str">
        <f>VLOOKUP($Q1442,Resultados!$A$1:$B$49,2,FALSE)</f>
        <v>Libertad</v>
      </c>
      <c r="S1442" s="63"/>
      <c r="T1442" s="72" t="str">
        <f>IF(G1442=$J$1,"SI","NO")</f>
        <v>NO</v>
      </c>
      <c r="U1442" s="72"/>
      <c r="V1442" s="7" t="str">
        <f ca="1">IF(color_Celda(E1442)=12106214,"ROSA",IF(color_Celda(E1442)=65535,"AMARILLO",IF(color_Celda(E1442)=5296274,"VERDE",IF(color_Celda(E1442)=16777215,"BLANCO","NO SE"))))</f>
        <v>ROSA</v>
      </c>
      <c r="W1442" s="336"/>
      <c r="X1442" s="336"/>
      <c r="Y1442" s="336"/>
      <c r="Z1442" s="63" t="s">
        <v>1038</v>
      </c>
      <c r="AA1442" s="336" t="s">
        <v>3379</v>
      </c>
      <c r="AB1442" s="63" t="s">
        <v>1170</v>
      </c>
      <c r="AC1442" s="336"/>
    </row>
    <row r="1443" spans="1:29" ht="60" customHeight="1">
      <c r="A1443" s="336">
        <v>1430</v>
      </c>
      <c r="B1443" s="349">
        <v>45316</v>
      </c>
      <c r="C1443" s="336" t="s">
        <v>3466</v>
      </c>
      <c r="D1443" s="375" t="s">
        <v>5556</v>
      </c>
      <c r="E1443" s="64" t="s">
        <v>5625</v>
      </c>
      <c r="F1443" s="336">
        <v>3</v>
      </c>
      <c r="G1443" s="336" t="s">
        <v>1435</v>
      </c>
      <c r="H1443" s="383">
        <v>45336</v>
      </c>
      <c r="I1443" s="65" t="s">
        <v>73</v>
      </c>
      <c r="J1443" s="349" t="s">
        <v>4746</v>
      </c>
      <c r="K1443" s="63" t="s">
        <v>1512</v>
      </c>
      <c r="L1443" s="63" t="s">
        <v>791</v>
      </c>
      <c r="M1443" s="63" t="s">
        <v>5626</v>
      </c>
      <c r="N1443" s="63" t="s">
        <v>6025</v>
      </c>
      <c r="O1443" s="63" t="str">
        <f ca="1">IF(H1443&lt;&gt;"",IF(H1443&lt;=TODAY(),"SI","NO"),"LIMBO")</f>
        <v>SI</v>
      </c>
      <c r="P1443" s="63" t="str">
        <f>IF($P$1=H1443,"DIASOL", "DIANOSOL")</f>
        <v>DIANOSOL</v>
      </c>
      <c r="Q1443" s="63" t="s">
        <v>903</v>
      </c>
      <c r="R1443" s="63" t="str">
        <f>VLOOKUP($Q1443,Resultados!$A$1:$B$49,2,FALSE)</f>
        <v>Juicio Abreviado</v>
      </c>
      <c r="S1443" s="63"/>
      <c r="T1443" s="72" t="str">
        <f>IF(G1443=$J$1,"SI","NO")</f>
        <v>SI</v>
      </c>
      <c r="U1443" s="72"/>
      <c r="V1443" s="7" t="str">
        <f ca="1">IF(color_Celda(E1443)=12106214,"ROSA",IF(color_Celda(E1443)=65535,"AMARILLO",IF(color_Celda(E1443)=5296274,"VERDE",IF(color_Celda(E1443)=16777215,"BLANCO","NO SE"))))</f>
        <v>ROSA</v>
      </c>
      <c r="W1443" s="336"/>
      <c r="X1443" s="336"/>
      <c r="Y1443" s="336"/>
      <c r="Z1443" s="63" t="s">
        <v>748</v>
      </c>
      <c r="AA1443" s="336" t="s">
        <v>2828</v>
      </c>
      <c r="AB1443" s="63" t="s">
        <v>1169</v>
      </c>
      <c r="AC1443" s="336" t="s">
        <v>1792</v>
      </c>
    </row>
    <row r="1444" spans="1:29" ht="60" customHeight="1">
      <c r="A1444" s="336">
        <v>1434</v>
      </c>
      <c r="B1444" s="349">
        <v>45316</v>
      </c>
      <c r="C1444" s="336" t="s">
        <v>5564</v>
      </c>
      <c r="D1444" s="336" t="s">
        <v>5565</v>
      </c>
      <c r="E1444" s="355" t="s">
        <v>5566</v>
      </c>
      <c r="F1444" s="336">
        <v>2</v>
      </c>
      <c r="G1444" s="336" t="s">
        <v>3324</v>
      </c>
      <c r="H1444" s="383">
        <v>45336</v>
      </c>
      <c r="I1444" s="65" t="s">
        <v>1083</v>
      </c>
      <c r="J1444" s="349" t="s">
        <v>1217</v>
      </c>
      <c r="K1444" s="336">
        <f>IFERROR(VLOOKUP(J1444,Jueces!$A$1:$B$11,2,FALSE),"")</f>
        <v>7</v>
      </c>
      <c r="L1444" s="63" t="s">
        <v>4789</v>
      </c>
      <c r="M1444" s="63" t="s">
        <v>711</v>
      </c>
      <c r="N1444" s="63" t="s">
        <v>6026</v>
      </c>
      <c r="O1444" s="63" t="str">
        <f ca="1">IF(H1444&lt;&gt;"",IF(H1444&lt;=TODAY(),"SI","NO"),"LIMBO")</f>
        <v>SI</v>
      </c>
      <c r="P1444" s="63" t="str">
        <f>IF($P$1=H1444,"DIASOL", "DIANOSOL")</f>
        <v>DIANOSOL</v>
      </c>
      <c r="Q1444" s="63" t="s">
        <v>902</v>
      </c>
      <c r="R1444" s="63" t="str">
        <f>VLOOKUP($Q1444,Resultados!$A$1:$B$49,2,FALSE)</f>
        <v>Juicio Abreviado</v>
      </c>
      <c r="S1444" s="63"/>
      <c r="T1444" s="72" t="str">
        <f>IF(G1444=$J$1,"SI","NO")</f>
        <v>NO</v>
      </c>
      <c r="U1444" s="72"/>
      <c r="V1444" s="7" t="str">
        <f ca="1">IF(color_Celda(E1444)=12106214,"ROSA",IF(color_Celda(E1444)=65535,"AMARILLO",IF(color_Celda(E1444)=5296274,"VERDE",IF(color_Celda(E1444)=16777215,"BLANCO","NO SE"))))</f>
        <v>ROSA</v>
      </c>
      <c r="W1444" s="336"/>
      <c r="X1444" s="336"/>
      <c r="Y1444" s="336"/>
      <c r="Z1444" s="63" t="s">
        <v>770</v>
      </c>
      <c r="AA1444" s="336" t="s">
        <v>3379</v>
      </c>
      <c r="AB1444" s="63" t="s">
        <v>1171</v>
      </c>
      <c r="AC1444" s="336"/>
    </row>
    <row r="1445" spans="1:29" ht="60" customHeight="1">
      <c r="A1445" s="336">
        <v>1456</v>
      </c>
      <c r="B1445" s="349">
        <v>45316</v>
      </c>
      <c r="C1445" s="63" t="s">
        <v>3738</v>
      </c>
      <c r="D1445" s="63" t="s">
        <v>5613</v>
      </c>
      <c r="E1445" s="64" t="s">
        <v>5717</v>
      </c>
      <c r="F1445" s="336">
        <v>7</v>
      </c>
      <c r="G1445" s="63" t="s">
        <v>3791</v>
      </c>
      <c r="H1445" s="208">
        <v>45336</v>
      </c>
      <c r="I1445" s="65" t="s">
        <v>1083</v>
      </c>
      <c r="J1445" s="65" t="s">
        <v>1216</v>
      </c>
      <c r="K1445" s="336">
        <v>1</v>
      </c>
      <c r="L1445" s="63" t="s">
        <v>805</v>
      </c>
      <c r="M1445" s="63" t="s">
        <v>692</v>
      </c>
      <c r="N1445" s="63" t="s">
        <v>6027</v>
      </c>
      <c r="O1445" s="63" t="str">
        <f ca="1">IF(H1445&lt;&gt;"",IF(H1445&lt;=TODAY(),"SI","NO"),"LIMBO")</f>
        <v>SI</v>
      </c>
      <c r="P1445" s="63" t="str">
        <f>IF($P$1=H1445,"DIASOL", "DIANOSOL")</f>
        <v>DIANOSOL</v>
      </c>
      <c r="Q1445" s="63" t="s">
        <v>902</v>
      </c>
      <c r="R1445" s="63" t="str">
        <f>VLOOKUP($Q1445,Resultados!$A$1:$B$49,2,FALSE)</f>
        <v>Juicio Abreviado</v>
      </c>
      <c r="S1445" s="63"/>
      <c r="T1445" s="72" t="str">
        <f>IF(G1445=$J$1,"SI","NO")</f>
        <v>NO</v>
      </c>
      <c r="U1445" s="72"/>
      <c r="V1445" s="7" t="str">
        <f ca="1">IF(color_Celda(E1445)=12106214,"ROSA",IF(color_Celda(E1445)=65535,"AMARILLO",IF(color_Celda(E1445)=5296274,"VERDE",IF(color_Celda(E1445)=16777215,"BLANCO","NO SE"))))</f>
        <v>ROSA</v>
      </c>
      <c r="W1445" s="336"/>
      <c r="X1445" s="336"/>
      <c r="Y1445" s="336"/>
      <c r="Z1445" s="63" t="s">
        <v>1038</v>
      </c>
      <c r="AA1445" s="63" t="s">
        <v>2869</v>
      </c>
      <c r="AB1445" s="63" t="s">
        <v>1169</v>
      </c>
      <c r="AC1445" s="336"/>
    </row>
    <row r="1446" spans="1:29" ht="60" customHeight="1">
      <c r="A1446" s="336">
        <v>1443</v>
      </c>
      <c r="B1446" s="65">
        <v>45317</v>
      </c>
      <c r="C1446" s="63" t="s">
        <v>4930</v>
      </c>
      <c r="D1446" s="63" t="s">
        <v>5583</v>
      </c>
      <c r="E1446" s="64" t="s">
        <v>5759</v>
      </c>
      <c r="F1446" s="336">
        <v>8</v>
      </c>
      <c r="G1446" s="63" t="s">
        <v>5710</v>
      </c>
      <c r="H1446" s="383">
        <v>45336</v>
      </c>
      <c r="I1446" s="65" t="s">
        <v>1083</v>
      </c>
      <c r="J1446" s="65" t="s">
        <v>4932</v>
      </c>
      <c r="K1446" s="63" t="s">
        <v>1982</v>
      </c>
      <c r="L1446" s="63" t="s">
        <v>4791</v>
      </c>
      <c r="M1446" s="335" t="s">
        <v>4832</v>
      </c>
      <c r="N1446" s="63" t="s">
        <v>6028</v>
      </c>
      <c r="O1446" s="63" t="str">
        <f ca="1">IF(H1446&lt;&gt;"",IF(H1446&lt;=TODAY(),"SI","NO"),"LIMBO")</f>
        <v>SI</v>
      </c>
      <c r="P1446" s="63" t="str">
        <f>IF($P$1=H1446,"DIASOL", "DIANOSOL")</f>
        <v>DIANOSOL</v>
      </c>
      <c r="Q1446" s="63" t="s">
        <v>897</v>
      </c>
      <c r="R1446" s="63" t="str">
        <f>VLOOKUP($Q1446,Resultados!$A$1:$B$49,2,FALSE)</f>
        <v>Libertad</v>
      </c>
      <c r="S1446" s="63"/>
      <c r="T1446" s="72" t="str">
        <f>IF(G1446=$J$1,"SI","NO")</f>
        <v>NO</v>
      </c>
      <c r="U1446" s="72"/>
      <c r="V1446" s="7" t="str">
        <f ca="1">IF(color_Celda(E1446)=12106214,"ROSA",IF(color_Celda(E1446)=65535,"AMARILLO",IF(color_Celda(E1446)=5296274,"VERDE",IF(color_Celda(E1446)=16777215,"BLANCO","NO SE"))))</f>
        <v>ROSA</v>
      </c>
      <c r="W1446" s="336"/>
      <c r="X1446" s="336"/>
      <c r="Y1446" s="336"/>
      <c r="Z1446" s="63" t="s">
        <v>1039</v>
      </c>
      <c r="AA1446" s="63" t="s">
        <v>1167</v>
      </c>
      <c r="AB1446" s="63" t="s">
        <v>5776</v>
      </c>
      <c r="AC1446" s="336"/>
    </row>
    <row r="1447" spans="1:29" ht="60" customHeight="1">
      <c r="A1447" s="336">
        <v>1447</v>
      </c>
      <c r="B1447" s="349">
        <v>45317</v>
      </c>
      <c r="C1447" s="63" t="s">
        <v>5067</v>
      </c>
      <c r="D1447" s="325" t="s">
        <v>5592</v>
      </c>
      <c r="E1447" s="64" t="s">
        <v>5621</v>
      </c>
      <c r="F1447" s="336">
        <v>3</v>
      </c>
      <c r="G1447" s="336" t="s">
        <v>2752</v>
      </c>
      <c r="H1447" s="383">
        <v>45336</v>
      </c>
      <c r="I1447" s="65" t="s">
        <v>1083</v>
      </c>
      <c r="J1447" s="349" t="s">
        <v>31</v>
      </c>
      <c r="K1447" s="336">
        <f>IFERROR(VLOOKUP(J1447,Jueces!$A$1:$B$11,2,FALSE),"")</f>
        <v>2</v>
      </c>
      <c r="L1447" s="63" t="s">
        <v>4790</v>
      </c>
      <c r="M1447" s="63" t="s">
        <v>692</v>
      </c>
      <c r="N1447" s="63" t="s">
        <v>2100</v>
      </c>
      <c r="O1447" s="63" t="str">
        <f ca="1">IF(H1447&lt;&gt;"",IF(H1447&lt;=TODAY(),"SI","NO"),"LIMBO")</f>
        <v>SI</v>
      </c>
      <c r="P1447" s="63" t="str">
        <f>IF($P$1=H1447,"DIASOL", "DIANOSOL")</f>
        <v>DIANOSOL</v>
      </c>
      <c r="Q1447" s="63" t="s">
        <v>151</v>
      </c>
      <c r="R1447" s="63" t="str">
        <f>VLOOKUP($Q1447,Resultados!$A$1:$B$49,2,FALSE)</f>
        <v>Prisión Preventiva</v>
      </c>
      <c r="S1447" s="63"/>
      <c r="T1447" s="72" t="str">
        <f>IF(G1447=$J$1,"SI","NO")</f>
        <v>NO</v>
      </c>
      <c r="U1447" s="72"/>
      <c r="V1447" s="7" t="str">
        <f ca="1">IF(color_Celda(E1447)=12106214,"ROSA",IF(color_Celda(E1447)=65535,"AMARILLO",IF(color_Celda(E1447)=5296274,"VERDE",IF(color_Celda(E1447)=16777215,"BLANCO","NO SE"))))</f>
        <v>ROSA</v>
      </c>
      <c r="W1447" s="336"/>
      <c r="X1447" s="336"/>
      <c r="Y1447" s="336"/>
      <c r="Z1447" s="63" t="s">
        <v>748</v>
      </c>
      <c r="AA1447" s="336" t="s">
        <v>3378</v>
      </c>
      <c r="AB1447" s="63" t="s">
        <v>1170</v>
      </c>
      <c r="AC1447" s="336" t="s">
        <v>1792</v>
      </c>
    </row>
    <row r="1448" spans="1:29" ht="60" customHeight="1">
      <c r="A1448" s="336">
        <v>1440</v>
      </c>
      <c r="B1448" s="349">
        <v>45317</v>
      </c>
      <c r="C1448" s="63" t="s">
        <v>5577</v>
      </c>
      <c r="D1448" s="63" t="s">
        <v>5578</v>
      </c>
      <c r="E1448" s="64" t="s">
        <v>5579</v>
      </c>
      <c r="F1448" s="336">
        <v>8</v>
      </c>
      <c r="G1448" s="336" t="s">
        <v>1434</v>
      </c>
      <c r="H1448" s="383">
        <v>45336</v>
      </c>
      <c r="I1448" s="65" t="s">
        <v>1206</v>
      </c>
      <c r="J1448" s="349" t="s">
        <v>78</v>
      </c>
      <c r="K1448" s="336">
        <f>IFERROR(VLOOKUP(J1448,Jueces!$A$1:$B$11,2,FALSE),"")</f>
        <v>8</v>
      </c>
      <c r="L1448" s="63" t="s">
        <v>4786</v>
      </c>
      <c r="M1448" s="63" t="s">
        <v>712</v>
      </c>
      <c r="N1448" s="63" t="s">
        <v>6025</v>
      </c>
      <c r="O1448" s="63" t="str">
        <f ca="1">IF(H1448&lt;&gt;"",IF(H1448&lt;=TODAY(),"SI","NO"),"LIMBO")</f>
        <v>SI</v>
      </c>
      <c r="P1448" s="63" t="str">
        <f>IF($P$1=H1448,"DIASOL", "DIANOSOL")</f>
        <v>DIANOSOL</v>
      </c>
      <c r="Q1448" s="63" t="s">
        <v>903</v>
      </c>
      <c r="R1448" s="63" t="str">
        <f>VLOOKUP($Q1448,Resultados!$A$1:$B$49,2,FALSE)</f>
        <v>Juicio Abreviado</v>
      </c>
      <c r="S1448" s="63"/>
      <c r="T1448" s="72" t="str">
        <f>IF(G1448=$J$1,"SI","NO")</f>
        <v>NO</v>
      </c>
      <c r="U1448" s="72"/>
      <c r="V1448" s="7" t="str">
        <f ca="1">IF(color_Celda(E1448)=12106214,"ROSA",IF(color_Celda(E1448)=65535,"AMARILLO",IF(color_Celda(E1448)=5296274,"VERDE",IF(color_Celda(E1448)=16777215,"BLANCO","NO SE"))))</f>
        <v>ROSA</v>
      </c>
      <c r="W1448" s="336"/>
      <c r="X1448" s="336"/>
      <c r="Y1448" s="336"/>
      <c r="Z1448" s="63" t="s">
        <v>3368</v>
      </c>
      <c r="AA1448" s="336" t="s">
        <v>2828</v>
      </c>
      <c r="AB1448" s="63" t="s">
        <v>1170</v>
      </c>
      <c r="AC1448" s="336"/>
    </row>
    <row r="1449" spans="1:29" ht="60" customHeight="1">
      <c r="A1449" s="336">
        <v>1448</v>
      </c>
      <c r="B1449" s="349">
        <v>45317</v>
      </c>
      <c r="C1449" s="63" t="s">
        <v>1388</v>
      </c>
      <c r="D1449" s="63" t="s">
        <v>5593</v>
      </c>
      <c r="E1449" s="64" t="s">
        <v>5594</v>
      </c>
      <c r="F1449" s="336">
        <v>3</v>
      </c>
      <c r="G1449" s="336" t="s">
        <v>29</v>
      </c>
      <c r="H1449" s="383">
        <v>45336</v>
      </c>
      <c r="I1449" s="65" t="s">
        <v>1206</v>
      </c>
      <c r="J1449" s="349" t="s">
        <v>1216</v>
      </c>
      <c r="K1449" s="63" t="s">
        <v>1512</v>
      </c>
      <c r="L1449" s="63" t="s">
        <v>4789</v>
      </c>
      <c r="M1449" s="63" t="s">
        <v>5596</v>
      </c>
      <c r="N1449" s="63" t="s">
        <v>6029</v>
      </c>
      <c r="O1449" s="63" t="str">
        <f ca="1">IF(H1449&lt;&gt;"",IF(H1449&lt;=TODAY(),"SI","NO"),"LIMBO")</f>
        <v>SI</v>
      </c>
      <c r="P1449" s="63" t="str">
        <f>IF($P$1=H1449,"DIASOL", "DIANOSOL")</f>
        <v>DIANOSOL</v>
      </c>
      <c r="Q1449" s="63" t="s">
        <v>903</v>
      </c>
      <c r="R1449" s="63" t="str">
        <f>VLOOKUP($Q1449,Resultados!$A$1:$B$49,2,FALSE)</f>
        <v>Juicio Abreviado</v>
      </c>
      <c r="S1449" s="63"/>
      <c r="T1449" s="72" t="str">
        <f>IF(G1449=$J$1,"SI","NO")</f>
        <v>NO</v>
      </c>
      <c r="U1449" s="72"/>
      <c r="V1449" s="7" t="str">
        <f ca="1">IF(color_Celda(E1449)=12106214,"ROSA",IF(color_Celda(E1449)=65535,"AMARILLO",IF(color_Celda(E1449)=5296274,"VERDE",IF(color_Celda(E1449)=16777215,"BLANCO","NO SE"))))</f>
        <v>ROSA</v>
      </c>
      <c r="W1449" s="336"/>
      <c r="X1449" s="336"/>
      <c r="Y1449" s="336"/>
      <c r="Z1449" s="63" t="s">
        <v>748</v>
      </c>
      <c r="AA1449" s="336" t="s">
        <v>1167</v>
      </c>
      <c r="AB1449" s="63" t="s">
        <v>1171</v>
      </c>
      <c r="AC1449" s="336"/>
    </row>
    <row r="1450" spans="1:29" ht="60" customHeight="1">
      <c r="A1450" s="336">
        <v>1514</v>
      </c>
      <c r="B1450" s="349">
        <v>45331</v>
      </c>
      <c r="C1450" s="568">
        <v>0.33333333333333331</v>
      </c>
      <c r="D1450" s="336" t="s">
        <v>5302</v>
      </c>
      <c r="E1450" s="64" t="s">
        <v>5303</v>
      </c>
      <c r="F1450" s="336">
        <v>2</v>
      </c>
      <c r="G1450" s="63" t="s">
        <v>3791</v>
      </c>
      <c r="H1450" s="383">
        <v>45336</v>
      </c>
      <c r="I1450" s="65" t="s">
        <v>3171</v>
      </c>
      <c r="J1450" s="65" t="s">
        <v>78</v>
      </c>
      <c r="K1450" s="336">
        <f>IFERROR(VLOOKUP(J1450,Jueces!$A$1:$B$11,2,FALSE),"")</f>
        <v>8</v>
      </c>
      <c r="L1450" s="63" t="s">
        <v>4778</v>
      </c>
      <c r="M1450" s="63" t="s">
        <v>711</v>
      </c>
      <c r="N1450" s="63" t="s">
        <v>6023</v>
      </c>
      <c r="O1450" s="63" t="str">
        <f ca="1">IF(H1450&lt;&gt;"",IF(H1450&lt;=TODAY(),"SI","NO"),"LIMBO")</f>
        <v>SI</v>
      </c>
      <c r="P1450" s="63" t="str">
        <f>IF($P$1=H1450,"DIASOL", "DIANOSOL")</f>
        <v>DIANOSOL</v>
      </c>
      <c r="Q1450" s="63" t="s">
        <v>897</v>
      </c>
      <c r="R1450" s="63" t="str">
        <f>VLOOKUP($Q1450,Resultados!$A$1:$B$49,2,FALSE)</f>
        <v>Libertad</v>
      </c>
      <c r="S1450" s="63"/>
      <c r="T1450" s="72" t="str">
        <f>IF(G1450=$J$1,"SI","NO")</f>
        <v>NO</v>
      </c>
      <c r="U1450" s="72"/>
      <c r="V1450" s="7" t="str">
        <f ca="1">IF(color_Celda(E1450)=12106214,"ROSA",IF(color_Celda(E1450)=65535,"AMARILLO",IF(color_Celda(E1450)=5296274,"VERDE",IF(color_Celda(E1450)=16777215,"BLANCO","NO SE"))))</f>
        <v>ROSA</v>
      </c>
      <c r="W1450" s="336"/>
      <c r="X1450" s="336"/>
      <c r="Y1450" s="336"/>
      <c r="Z1450" s="63" t="s">
        <v>3368</v>
      </c>
      <c r="AA1450" s="63" t="s">
        <v>3378</v>
      </c>
      <c r="AB1450" s="63" t="s">
        <v>1169</v>
      </c>
      <c r="AC1450" s="336"/>
    </row>
    <row r="1451" spans="1:29" ht="60" customHeight="1">
      <c r="A1451" s="336">
        <v>1409</v>
      </c>
      <c r="B1451" s="349">
        <v>45310</v>
      </c>
      <c r="C1451" s="63" t="s">
        <v>1241</v>
      </c>
      <c r="D1451" s="63" t="s">
        <v>5484</v>
      </c>
      <c r="E1451" s="64" t="s">
        <v>5485</v>
      </c>
      <c r="F1451" s="336">
        <v>3</v>
      </c>
      <c r="G1451" s="336" t="s">
        <v>283</v>
      </c>
      <c r="H1451" s="383">
        <v>45336</v>
      </c>
      <c r="I1451" s="65" t="s">
        <v>547</v>
      </c>
      <c r="J1451" s="349" t="s">
        <v>31</v>
      </c>
      <c r="K1451" s="336">
        <v>2</v>
      </c>
      <c r="L1451" s="63" t="s">
        <v>791</v>
      </c>
      <c r="M1451" s="63" t="s">
        <v>712</v>
      </c>
      <c r="N1451" s="63" t="s">
        <v>6026</v>
      </c>
      <c r="O1451" s="63" t="str">
        <f ca="1">IF(H1451&lt;&gt;"",IF(H1451&lt;=TODAY(),"SI","NO"),"LIMBO")</f>
        <v>SI</v>
      </c>
      <c r="P1451" s="63" t="str">
        <f>IF($P$1=H1451,"DIASOL", "DIANOSOL")</f>
        <v>DIANOSOL</v>
      </c>
      <c r="Q1451" s="63" t="s">
        <v>902</v>
      </c>
      <c r="R1451" s="63" t="str">
        <f>VLOOKUP($Q1451,Resultados!$A$1:$B$49,2,FALSE)</f>
        <v>Juicio Abreviado</v>
      </c>
      <c r="S1451" s="63"/>
      <c r="T1451" s="72" t="str">
        <f>IF(G1451=$J$1,"SI","NO")</f>
        <v>NO</v>
      </c>
      <c r="U1451" s="72"/>
      <c r="V1451" s="7" t="str">
        <f ca="1">IF(color_Celda(E1451)=12106214,"ROSA",IF(color_Celda(E1451)=65535,"AMARILLO",IF(color_Celda(E1451)=5296274,"VERDE",IF(color_Celda(E1451)=16777215,"BLANCO","NO SE"))))</f>
        <v>ROSA</v>
      </c>
      <c r="W1451" s="336"/>
      <c r="X1451" s="336"/>
      <c r="Y1451" s="336"/>
      <c r="Z1451" s="63" t="s">
        <v>748</v>
      </c>
      <c r="AA1451" s="336" t="s">
        <v>1167</v>
      </c>
      <c r="AB1451" s="63" t="s">
        <v>1171</v>
      </c>
      <c r="AC1451" s="336"/>
    </row>
    <row r="1452" spans="1:29" ht="60" customHeight="1">
      <c r="A1452" s="336">
        <v>1438</v>
      </c>
      <c r="B1452" s="349">
        <v>45315</v>
      </c>
      <c r="C1452" s="568" t="s">
        <v>1763</v>
      </c>
      <c r="D1452" s="375" t="s">
        <v>3325</v>
      </c>
      <c r="E1452" s="355" t="s">
        <v>3326</v>
      </c>
      <c r="F1452" s="336">
        <v>5</v>
      </c>
      <c r="G1452" s="336" t="s">
        <v>2753</v>
      </c>
      <c r="H1452" s="383">
        <v>45336</v>
      </c>
      <c r="I1452" s="65" t="s">
        <v>77</v>
      </c>
      <c r="J1452" s="349" t="s">
        <v>1216</v>
      </c>
      <c r="K1452" s="63">
        <v>1</v>
      </c>
      <c r="L1452" s="63" t="s">
        <v>795</v>
      </c>
      <c r="M1452" s="63" t="s">
        <v>3327</v>
      </c>
      <c r="N1452" s="118" t="s">
        <v>6030</v>
      </c>
      <c r="O1452" s="63" t="str">
        <f ca="1">IF(H1452&lt;&gt;"",IF(H1452&lt;=TODAY(),"SI","NO"),"LIMBO")</f>
        <v>SI</v>
      </c>
      <c r="P1452" s="63" t="str">
        <f>IF($P$1=H1452,"DIASOL", "DIANOSOL")</f>
        <v>DIANOSOL</v>
      </c>
      <c r="Q1452" s="63" t="s">
        <v>902</v>
      </c>
      <c r="R1452" s="63" t="str">
        <f>VLOOKUP($Q1452,Resultados!$A$1:$B$49,2,FALSE)</f>
        <v>Juicio Abreviado</v>
      </c>
      <c r="S1452" s="63"/>
      <c r="T1452" s="72" t="str">
        <f>IF(G1452=$J$1,"SI","NO")</f>
        <v>NO</v>
      </c>
      <c r="U1452" s="72"/>
      <c r="V1452" s="7" t="str">
        <f ca="1">IF(color_Celda(E1452)=12106214,"ROSA",IF(color_Celda(E1452)=65535,"AMARILLO",IF(color_Celda(E1452)=5296274,"VERDE",IF(color_Celda(E1452)=16777215,"BLANCO","NO SE"))))</f>
        <v>ROSA</v>
      </c>
      <c r="W1452" s="336"/>
      <c r="X1452" s="336"/>
      <c r="Y1452" s="336"/>
      <c r="Z1452" s="63" t="s">
        <v>770</v>
      </c>
      <c r="AA1452" s="336" t="s">
        <v>2828</v>
      </c>
      <c r="AB1452" s="63" t="s">
        <v>1170</v>
      </c>
      <c r="AC1452" s="336" t="s">
        <v>1792</v>
      </c>
    </row>
    <row r="1453" spans="1:29" ht="60" customHeight="1">
      <c r="A1453" s="336">
        <v>1444</v>
      </c>
      <c r="B1453" s="349">
        <v>45317</v>
      </c>
      <c r="C1453" s="63" t="s">
        <v>4537</v>
      </c>
      <c r="D1453" s="63" t="s">
        <v>5588</v>
      </c>
      <c r="E1453" s="64" t="s">
        <v>5589</v>
      </c>
      <c r="F1453" s="336">
        <v>8</v>
      </c>
      <c r="G1453" s="336" t="s">
        <v>3324</v>
      </c>
      <c r="H1453" s="383">
        <v>45337</v>
      </c>
      <c r="I1453" s="65" t="s">
        <v>73</v>
      </c>
      <c r="J1453" s="349" t="s">
        <v>35</v>
      </c>
      <c r="K1453" s="336">
        <f>IFERROR(VLOOKUP(J1453,Jueces!$A$1:$B$11,2,FALSE),"")</f>
        <v>3</v>
      </c>
      <c r="L1453" s="63" t="s">
        <v>788</v>
      </c>
      <c r="M1453" s="63" t="s">
        <v>711</v>
      </c>
      <c r="N1453" s="63" t="s">
        <v>2100</v>
      </c>
      <c r="O1453" s="63" t="str">
        <f ca="1">IF(H1453&lt;&gt;"",IF(H1453&lt;=TODAY(),"SI","NO"),"LIMBO")</f>
        <v>SI</v>
      </c>
      <c r="P1453" s="63" t="str">
        <f>IF($P$1=H1453,"DIASOL", "DIANOSOL")</f>
        <v>DIANOSOL</v>
      </c>
      <c r="Q1453" s="63" t="s">
        <v>151</v>
      </c>
      <c r="R1453" s="63" t="str">
        <f>VLOOKUP($Q1453,Resultados!$A$1:$B$49,2,FALSE)</f>
        <v>Prisión Preventiva</v>
      </c>
      <c r="S1453" s="63"/>
      <c r="T1453" s="72" t="str">
        <f>IF(G1453=$J$1,"SI","NO")</f>
        <v>NO</v>
      </c>
      <c r="U1453" s="72"/>
      <c r="V1453" s="7" t="str">
        <f ca="1">IF(color_Celda(E1453)=12106214,"ROSA",IF(color_Celda(E1453)=65535,"AMARILLO",IF(color_Celda(E1453)=5296274,"VERDE",IF(color_Celda(E1453)=16777215,"BLANCO","NO SE"))))</f>
        <v>ROSA</v>
      </c>
      <c r="W1453" s="336"/>
      <c r="X1453" s="336"/>
      <c r="Y1453" s="336"/>
      <c r="Z1453" s="63" t="s">
        <v>1038</v>
      </c>
      <c r="AA1453" s="336" t="s">
        <v>3378</v>
      </c>
      <c r="AB1453" s="63" t="s">
        <v>1169</v>
      </c>
      <c r="AC1453" s="336"/>
    </row>
    <row r="1454" spans="1:29" ht="60" customHeight="1">
      <c r="A1454" s="336">
        <v>1446</v>
      </c>
      <c r="B1454" s="349">
        <v>45317</v>
      </c>
      <c r="C1454" s="63" t="s">
        <v>1530</v>
      </c>
      <c r="D1454" s="63" t="s">
        <v>5591</v>
      </c>
      <c r="E1454" s="64" t="s">
        <v>5958</v>
      </c>
      <c r="F1454" s="336">
        <v>3</v>
      </c>
      <c r="G1454" s="336" t="s">
        <v>3791</v>
      </c>
      <c r="H1454" s="383">
        <v>45337</v>
      </c>
      <c r="I1454" s="65" t="s">
        <v>73</v>
      </c>
      <c r="J1454" s="349" t="s">
        <v>4932</v>
      </c>
      <c r="K1454" s="63" t="s">
        <v>2324</v>
      </c>
      <c r="L1454" s="63" t="s">
        <v>805</v>
      </c>
      <c r="M1454" s="63" t="s">
        <v>692</v>
      </c>
      <c r="N1454" s="63" t="s">
        <v>6026</v>
      </c>
      <c r="O1454" s="63" t="str">
        <f ca="1">IF(H1454&lt;&gt;"",IF(H1454&lt;=TODAY(),"SI","NO"),"LIMBO")</f>
        <v>SI</v>
      </c>
      <c r="P1454" s="63" t="str">
        <f>IF($P$1=H1454,"DIASOL", "DIANOSOL")</f>
        <v>DIANOSOL</v>
      </c>
      <c r="Q1454" s="63" t="s">
        <v>902</v>
      </c>
      <c r="R1454" s="63" t="str">
        <f>VLOOKUP($Q1454,Resultados!$A$1:$B$49,2,FALSE)</f>
        <v>Juicio Abreviado</v>
      </c>
      <c r="S1454" s="63"/>
      <c r="T1454" s="72" t="str">
        <f>IF(G1454=$J$1,"SI","NO")</f>
        <v>NO</v>
      </c>
      <c r="U1454" s="72"/>
      <c r="V1454" s="7" t="str">
        <f ca="1">IF(color_Celda(E1454)=12106214,"ROSA",IF(color_Celda(E1454)=65535,"AMARILLO",IF(color_Celda(E1454)=5296274,"VERDE",IF(color_Celda(E1454)=16777215,"BLANCO","NO SE"))))</f>
        <v>ROSA</v>
      </c>
      <c r="W1454" s="336"/>
      <c r="X1454" s="336"/>
      <c r="Y1454" s="336"/>
      <c r="Z1454" s="63" t="s">
        <v>770</v>
      </c>
      <c r="AA1454" s="336" t="s">
        <v>2869</v>
      </c>
      <c r="AB1454" s="63" t="s">
        <v>1171</v>
      </c>
      <c r="AC1454" s="336"/>
    </row>
    <row r="1455" spans="1:29" ht="60" customHeight="1">
      <c r="A1455" s="336">
        <v>1463</v>
      </c>
      <c r="B1455" s="65">
        <v>45320</v>
      </c>
      <c r="C1455" s="63" t="s">
        <v>1047</v>
      </c>
      <c r="D1455" s="63" t="s">
        <v>5622</v>
      </c>
      <c r="E1455" s="64" t="s">
        <v>5932</v>
      </c>
      <c r="F1455" s="336">
        <v>3</v>
      </c>
      <c r="G1455" s="336" t="s">
        <v>29</v>
      </c>
      <c r="H1455" s="383">
        <v>45337</v>
      </c>
      <c r="I1455" s="65" t="s">
        <v>73</v>
      </c>
      <c r="J1455" s="349" t="s">
        <v>4746</v>
      </c>
      <c r="K1455" s="63" t="s">
        <v>1341</v>
      </c>
      <c r="L1455" s="63" t="s">
        <v>791</v>
      </c>
      <c r="M1455" s="63" t="s">
        <v>712</v>
      </c>
      <c r="N1455" s="63" t="s">
        <v>6031</v>
      </c>
      <c r="O1455" s="63" t="str">
        <f ca="1">IF(H1455&lt;&gt;"",IF(H1455&lt;=TODAY(),"SI","NO"),"LIMBO")</f>
        <v>SI</v>
      </c>
      <c r="P1455" s="63" t="str">
        <f>IF($P$1=H1455,"DIASOL", "DIANOSOL")</f>
        <v>DIANOSOL</v>
      </c>
      <c r="Q1455" s="63" t="s">
        <v>902</v>
      </c>
      <c r="R1455" s="63" t="str">
        <f>VLOOKUP($Q1455,Resultados!$A$1:$B$49,2,FALSE)</f>
        <v>Juicio Abreviado</v>
      </c>
      <c r="S1455" s="63"/>
      <c r="T1455" s="72" t="str">
        <f>IF(G1455=$J$1,"SI","NO")</f>
        <v>NO</v>
      </c>
      <c r="U1455" s="72"/>
      <c r="V1455" s="7" t="str">
        <f ca="1">IF(color_Celda(E1455)=12106214,"ROSA",IF(color_Celda(E1455)=65535,"AMARILLO",IF(color_Celda(E1455)=5296274,"VERDE",IF(color_Celda(E1455)=16777215,"BLANCO","NO SE"))))</f>
        <v>ROSA</v>
      </c>
      <c r="W1455" s="336"/>
      <c r="X1455" s="336"/>
      <c r="Y1455" s="336"/>
      <c r="Z1455" s="63" t="s">
        <v>748</v>
      </c>
      <c r="AA1455" s="336" t="s">
        <v>3379</v>
      </c>
      <c r="AB1455" s="63" t="s">
        <v>1170</v>
      </c>
      <c r="AC1455" s="336"/>
    </row>
    <row r="1456" spans="1:29" ht="60" customHeight="1">
      <c r="A1456" s="336">
        <v>1467</v>
      </c>
      <c r="B1456" s="349">
        <v>45321</v>
      </c>
      <c r="C1456" s="70" t="s">
        <v>5654</v>
      </c>
      <c r="D1456" s="63" t="s">
        <v>4960</v>
      </c>
      <c r="E1456" s="355" t="s">
        <v>5116</v>
      </c>
      <c r="F1456" s="336">
        <v>7</v>
      </c>
      <c r="G1456" s="336" t="s">
        <v>568</v>
      </c>
      <c r="H1456" s="383">
        <v>45337</v>
      </c>
      <c r="I1456" s="65" t="s">
        <v>73</v>
      </c>
      <c r="J1456" s="349" t="s">
        <v>31</v>
      </c>
      <c r="K1456" s="336">
        <f>IFERROR(VLOOKUP(J1456,Jueces!$A$1:$B$11,2,FALSE),"")</f>
        <v>2</v>
      </c>
      <c r="L1456" s="63" t="s">
        <v>802</v>
      </c>
      <c r="M1456" s="63" t="s">
        <v>5656</v>
      </c>
      <c r="N1456" s="63" t="s">
        <v>6025</v>
      </c>
      <c r="O1456" s="63" t="str">
        <f ca="1">IF(H1456&lt;&gt;"",IF(H1456&lt;=TODAY(),"SI","NO"),"LIMBO")</f>
        <v>SI</v>
      </c>
      <c r="P1456" s="63" t="str">
        <f>IF($P$1=H1456,"DIASOL", "DIANOSOL")</f>
        <v>DIANOSOL</v>
      </c>
      <c r="Q1456" s="63" t="s">
        <v>903</v>
      </c>
      <c r="R1456" s="63" t="str">
        <f>VLOOKUP($Q1456,Resultados!$A$1:$B$49,2,FALSE)</f>
        <v>Juicio Abreviado</v>
      </c>
      <c r="S1456" s="63"/>
      <c r="T1456" s="72" t="str">
        <f>IF(G1456=$J$1,"SI","NO")</f>
        <v>NO</v>
      </c>
      <c r="U1456" s="72"/>
      <c r="V1456" s="7" t="str">
        <f ca="1">IF(color_Celda(E1456)=12106214,"ROSA",IF(color_Celda(E1456)=65535,"AMARILLO",IF(color_Celda(E1456)=5296274,"VERDE",IF(color_Celda(E1456)=16777215,"BLANCO","NO SE"))))</f>
        <v>ROSA</v>
      </c>
      <c r="W1456" s="336"/>
      <c r="X1456" s="336"/>
      <c r="Y1456" s="336"/>
      <c r="Z1456" s="63" t="s">
        <v>1039</v>
      </c>
      <c r="AA1456" s="336" t="s">
        <v>2828</v>
      </c>
      <c r="AB1456" s="63" t="s">
        <v>1169</v>
      </c>
      <c r="AC1456" s="336"/>
    </row>
    <row r="1457" spans="1:29" ht="60" customHeight="1">
      <c r="A1457" s="336">
        <v>1515</v>
      </c>
      <c r="B1457" s="349">
        <v>45329</v>
      </c>
      <c r="C1457" s="568">
        <v>0.43263888888888885</v>
      </c>
      <c r="D1457" s="63" t="s">
        <v>5811</v>
      </c>
      <c r="E1457" s="355" t="s">
        <v>5810</v>
      </c>
      <c r="F1457" s="336">
        <v>3</v>
      </c>
      <c r="G1457" s="63" t="s">
        <v>5709</v>
      </c>
      <c r="H1457" s="383">
        <v>45337</v>
      </c>
      <c r="I1457" s="65" t="s">
        <v>73</v>
      </c>
      <c r="J1457" s="65" t="s">
        <v>4931</v>
      </c>
      <c r="K1457" s="63" t="s">
        <v>1982</v>
      </c>
      <c r="L1457" s="63" t="s">
        <v>4777</v>
      </c>
      <c r="M1457" s="63" t="s">
        <v>693</v>
      </c>
      <c r="N1457" s="205" t="s">
        <v>6032</v>
      </c>
      <c r="O1457" s="63" t="str">
        <f ca="1">IF(H1457&lt;&gt;"",IF(H1457&lt;=TODAY(),"SI","NO"),"LIMBO")</f>
        <v>SI</v>
      </c>
      <c r="P1457" s="63" t="str">
        <f>IF($P$1=H1457,"DIASOL", "DIANOSOL")</f>
        <v>DIANOSOL</v>
      </c>
      <c r="Q1457" s="63" t="s">
        <v>902</v>
      </c>
      <c r="R1457" s="63" t="str">
        <f>VLOOKUP($Q1457,Resultados!$A$1:$B$49,2,FALSE)</f>
        <v>Juicio Abreviado</v>
      </c>
      <c r="S1457" s="63"/>
      <c r="T1457" s="72" t="str">
        <f>IF(G1457=$J$1,"SI","NO")</f>
        <v>NO</v>
      </c>
      <c r="U1457" s="72"/>
      <c r="V1457" s="7" t="str">
        <f ca="1">IF(color_Celda(E1457)=12106214,"ROSA",IF(color_Celda(E1457)=65535,"AMARILLO",IF(color_Celda(E1457)=5296274,"VERDE",IF(color_Celda(E1457)=16777215,"BLANCO","NO SE"))))</f>
        <v>ROSA</v>
      </c>
      <c r="W1457" s="336"/>
      <c r="X1457" s="336"/>
      <c r="Y1457" s="336"/>
      <c r="Z1457" s="63" t="s">
        <v>743</v>
      </c>
      <c r="AA1457" s="63" t="s">
        <v>3379</v>
      </c>
      <c r="AB1457" s="63" t="s">
        <v>1171</v>
      </c>
      <c r="AC1457" s="336"/>
    </row>
    <row r="1458" spans="1:29" ht="60" customHeight="1">
      <c r="A1458" s="336">
        <v>1461</v>
      </c>
      <c r="B1458" s="349">
        <v>45321</v>
      </c>
      <c r="C1458" s="63" t="s">
        <v>3116</v>
      </c>
      <c r="D1458" s="63" t="s">
        <v>5629</v>
      </c>
      <c r="E1458" s="64" t="s">
        <v>5674</v>
      </c>
      <c r="F1458" s="336">
        <v>3</v>
      </c>
      <c r="G1458" s="63" t="s">
        <v>1434</v>
      </c>
      <c r="H1458" s="383">
        <v>45337</v>
      </c>
      <c r="I1458" s="65" t="s">
        <v>1083</v>
      </c>
      <c r="J1458" s="65" t="s">
        <v>78</v>
      </c>
      <c r="K1458" s="336">
        <f>IFERROR(VLOOKUP(J1458,Jueces!$A$1:$B$11,2,FALSE),"")</f>
        <v>8</v>
      </c>
      <c r="L1458" s="63" t="s">
        <v>4791</v>
      </c>
      <c r="M1458" s="63" t="s">
        <v>692</v>
      </c>
      <c r="N1458" s="63" t="s">
        <v>6033</v>
      </c>
      <c r="O1458" s="63" t="str">
        <f ca="1">IF(H1458&lt;&gt;"",IF(H1458&lt;=TODAY(),"SI","NO"),"LIMBO")</f>
        <v>SI</v>
      </c>
      <c r="P1458" s="63" t="str">
        <f>IF($P$1=H1458,"DIASOL", "DIANOSOL")</f>
        <v>DIANOSOL</v>
      </c>
      <c r="Q1458" s="63" t="s">
        <v>902</v>
      </c>
      <c r="R1458" s="63" t="str">
        <f>VLOOKUP($Q1458,Resultados!$A$1:$B$49,2,FALSE)</f>
        <v>Juicio Abreviado</v>
      </c>
      <c r="S1458" s="63"/>
      <c r="T1458" s="72" t="str">
        <f>IF(G1458=$J$1,"SI","NO")</f>
        <v>NO</v>
      </c>
      <c r="U1458" s="72"/>
      <c r="V1458" s="7" t="str">
        <f ca="1">IF(color_Celda(E1458)=12106214,"ROSA",IF(color_Celda(E1458)=65535,"AMARILLO",IF(color_Celda(E1458)=5296274,"VERDE",IF(color_Celda(E1458)=16777215,"BLANCO","NO SE"))))</f>
        <v>ROSA</v>
      </c>
      <c r="W1458" s="336"/>
      <c r="X1458" s="336"/>
      <c r="Y1458" s="336"/>
      <c r="Z1458" s="63" t="s">
        <v>770</v>
      </c>
      <c r="AA1458" s="63" t="s">
        <v>2828</v>
      </c>
      <c r="AB1458" s="63" t="s">
        <v>1170</v>
      </c>
      <c r="AC1458" s="336"/>
    </row>
    <row r="1459" spans="1:29" ht="60" customHeight="1">
      <c r="A1459" s="336">
        <v>1441</v>
      </c>
      <c r="B1459" s="349">
        <v>45317</v>
      </c>
      <c r="C1459" s="63" t="s">
        <v>4054</v>
      </c>
      <c r="D1459" s="63" t="s">
        <v>5580</v>
      </c>
      <c r="E1459" s="64" t="s">
        <v>5696</v>
      </c>
      <c r="F1459" s="336">
        <v>3</v>
      </c>
      <c r="G1459" s="336" t="s">
        <v>2815</v>
      </c>
      <c r="H1459" s="383">
        <v>45337</v>
      </c>
      <c r="I1459" s="65" t="s">
        <v>76</v>
      </c>
      <c r="J1459" s="349" t="s">
        <v>1216</v>
      </c>
      <c r="K1459" s="336">
        <f>IFERROR(VLOOKUP(J1459,Jueces!$A$1:$B$11,2,FALSE),"")</f>
        <v>1</v>
      </c>
      <c r="L1459" s="63" t="s">
        <v>789</v>
      </c>
      <c r="M1459" s="63" t="s">
        <v>712</v>
      </c>
      <c r="N1459" s="63" t="s">
        <v>6034</v>
      </c>
      <c r="O1459" s="63" t="str">
        <f ca="1">IF(H1459&lt;&gt;"",IF(H1459&lt;=TODAY(),"SI","NO"),"LIMBO")</f>
        <v>SI</v>
      </c>
      <c r="P1459" s="63" t="str">
        <f>IF($P$1=H1459,"DIASOL", "DIANOSOL")</f>
        <v>DIANOSOL</v>
      </c>
      <c r="Q1459" s="63" t="s">
        <v>907</v>
      </c>
      <c r="R1459" s="63" t="str">
        <f>VLOOKUP($Q1459,Resultados!$A$1:$B$49,2,FALSE)</f>
        <v>Suspensión de juicio a prueba</v>
      </c>
      <c r="S1459" s="63"/>
      <c r="T1459" s="72" t="str">
        <f>IF(G1459=$J$1,"SI","NO")</f>
        <v>NO</v>
      </c>
      <c r="U1459" s="72"/>
      <c r="V1459" s="7" t="str">
        <f ca="1">IF(color_Celda(E1459)=12106214,"ROSA",IF(color_Celda(E1459)=65535,"AMARILLO",IF(color_Celda(E1459)=5296274,"VERDE",IF(color_Celda(E1459)=16777215,"BLANCO","NO SE"))))</f>
        <v>ROSA</v>
      </c>
      <c r="W1459" s="336"/>
      <c r="X1459" s="336"/>
      <c r="Y1459" s="336"/>
      <c r="Z1459" s="63" t="s">
        <v>4241</v>
      </c>
      <c r="AA1459" s="336" t="s">
        <v>1167</v>
      </c>
      <c r="AB1459" s="63" t="s">
        <v>1169</v>
      </c>
      <c r="AC1459" s="336"/>
    </row>
    <row r="1460" spans="1:29" ht="60" customHeight="1">
      <c r="A1460" s="336">
        <v>1525</v>
      </c>
      <c r="B1460" s="349">
        <v>45328</v>
      </c>
      <c r="C1460" s="568">
        <v>0.55208333333333337</v>
      </c>
      <c r="D1460" s="63" t="s">
        <v>5827</v>
      </c>
      <c r="E1460" s="64" t="s">
        <v>5828</v>
      </c>
      <c r="F1460" s="336">
        <v>7</v>
      </c>
      <c r="G1460" s="63" t="s">
        <v>5710</v>
      </c>
      <c r="H1460" s="383">
        <v>45337</v>
      </c>
      <c r="I1460" s="65" t="s">
        <v>76</v>
      </c>
      <c r="J1460" s="65" t="s">
        <v>1217</v>
      </c>
      <c r="K1460" s="336">
        <f>IFERROR(VLOOKUP(J1460,Jueces!$A$1:$B$11,2,FALSE),"")</f>
        <v>7</v>
      </c>
      <c r="L1460" s="63" t="s">
        <v>805</v>
      </c>
      <c r="M1460" s="63" t="s">
        <v>885</v>
      </c>
      <c r="N1460" s="63" t="s">
        <v>2100</v>
      </c>
      <c r="O1460" s="63" t="str">
        <f ca="1">IF(H1460&lt;&gt;"",IF(H1460&lt;=TODAY(),"SI","NO"),"LIMBO")</f>
        <v>SI</v>
      </c>
      <c r="P1460" s="63" t="str">
        <f>IF($P$1=H1460,"DIASOL", "DIANOSOL")</f>
        <v>DIANOSOL</v>
      </c>
      <c r="Q1460" s="63" t="s">
        <v>151</v>
      </c>
      <c r="R1460" s="63" t="str">
        <f>VLOOKUP($Q1460,Resultados!$A$1:$B$49,2,FALSE)</f>
        <v>Prisión Preventiva</v>
      </c>
      <c r="S1460" s="63"/>
      <c r="T1460" s="72" t="str">
        <f>IF(G1460=$J$1,"SI","NO")</f>
        <v>NO</v>
      </c>
      <c r="U1460" s="72"/>
      <c r="V1460" s="7" t="str">
        <f ca="1">IF(color_Celda(E1460)=12106214,"ROSA",IF(color_Celda(E1460)=65535,"AMARILLO",IF(color_Celda(E1460)=5296274,"VERDE",IF(color_Celda(E1460)=16777215,"BLANCO","NO SE"))))</f>
        <v>ROSA</v>
      </c>
      <c r="W1460" s="336"/>
      <c r="X1460" s="336"/>
      <c r="Y1460" s="336"/>
      <c r="Z1460" s="63" t="s">
        <v>5974</v>
      </c>
      <c r="AA1460" s="63" t="s">
        <v>3378</v>
      </c>
      <c r="AB1460" s="63" t="s">
        <v>1173</v>
      </c>
      <c r="AC1460" s="336"/>
    </row>
    <row r="1461" spans="1:29" ht="60" customHeight="1">
      <c r="A1461" s="336">
        <v>1450</v>
      </c>
      <c r="B1461" s="349">
        <v>45320</v>
      </c>
      <c r="C1461" s="63" t="s">
        <v>1798</v>
      </c>
      <c r="D1461" s="63" t="s">
        <v>5599</v>
      </c>
      <c r="E1461" s="64" t="s">
        <v>5600</v>
      </c>
      <c r="F1461" s="336">
        <v>3</v>
      </c>
      <c r="G1461" s="336" t="s">
        <v>3323</v>
      </c>
      <c r="H1461" s="383">
        <v>45337</v>
      </c>
      <c r="I1461" s="65" t="s">
        <v>1442</v>
      </c>
      <c r="J1461" s="349" t="s">
        <v>78</v>
      </c>
      <c r="K1461" s="336">
        <f>IFERROR(VLOOKUP(J1461,Jueces!$A$1:$B$11,2,FALSE),"")</f>
        <v>8</v>
      </c>
      <c r="L1461" s="63" t="s">
        <v>4789</v>
      </c>
      <c r="M1461" s="7" t="s">
        <v>692</v>
      </c>
      <c r="N1461" s="63" t="s">
        <v>2100</v>
      </c>
      <c r="O1461" s="63" t="str">
        <f ca="1">IF(H1461&lt;&gt;"",IF(H1461&lt;=TODAY(),"SI","NO"),"LIMBO")</f>
        <v>SI</v>
      </c>
      <c r="P1461" s="63" t="str">
        <f>IF($P$1=H1461,"DIASOL", "DIANOSOL")</f>
        <v>DIANOSOL</v>
      </c>
      <c r="Q1461" s="63" t="s">
        <v>151</v>
      </c>
      <c r="R1461" s="63" t="str">
        <f>VLOOKUP($Q1461,Resultados!$A$1:$B$49,2,FALSE)</f>
        <v>Prisión Preventiva</v>
      </c>
      <c r="S1461" s="63"/>
      <c r="T1461" s="72" t="str">
        <f>IF(G1461=$J$1,"SI","NO")</f>
        <v>NO</v>
      </c>
      <c r="U1461" s="72"/>
      <c r="V1461" s="7" t="str">
        <f ca="1">IF(color_Celda(E1461)=12106214,"ROSA",IF(color_Celda(E1461)=65535,"AMARILLO",IF(color_Celda(E1461)=5296274,"VERDE",IF(color_Celda(E1461)=16777215,"BLANCO","NO SE"))))</f>
        <v>ROSA</v>
      </c>
      <c r="W1461" s="336"/>
      <c r="X1461" s="336"/>
      <c r="Y1461" s="336"/>
      <c r="Z1461" s="63" t="s">
        <v>770</v>
      </c>
      <c r="AA1461" s="336" t="s">
        <v>2869</v>
      </c>
      <c r="AB1461" s="63" t="s">
        <v>1170</v>
      </c>
      <c r="AC1461" s="336"/>
    </row>
    <row r="1462" spans="1:29" ht="60" customHeight="1">
      <c r="A1462" s="336">
        <v>1425</v>
      </c>
      <c r="B1462" s="349">
        <v>45316</v>
      </c>
      <c r="C1462" s="336" t="s">
        <v>2063</v>
      </c>
      <c r="D1462" s="336" t="s">
        <v>5551</v>
      </c>
      <c r="E1462" s="355" t="s">
        <v>5552</v>
      </c>
      <c r="F1462" s="336">
        <v>3</v>
      </c>
      <c r="G1462" s="336" t="s">
        <v>2752</v>
      </c>
      <c r="H1462" s="383">
        <v>45337</v>
      </c>
      <c r="I1462" s="65" t="s">
        <v>547</v>
      </c>
      <c r="J1462" s="349" t="s">
        <v>1216</v>
      </c>
      <c r="K1462" s="336">
        <f>IFERROR(VLOOKUP(J1462,Jueces!$A$1:$B$11,2,FALSE),"")</f>
        <v>1</v>
      </c>
      <c r="L1462" s="63" t="s">
        <v>4789</v>
      </c>
      <c r="M1462" s="63" t="s">
        <v>692</v>
      </c>
      <c r="N1462" s="63" t="s">
        <v>6035</v>
      </c>
      <c r="O1462" s="63" t="str">
        <f ca="1">IF(H1462&lt;&gt;"",IF(H1462&lt;=TODAY(),"SI","NO"),"LIMBO")</f>
        <v>SI</v>
      </c>
      <c r="P1462" s="63" t="str">
        <f>IF($P$1=H1462,"DIASOL", "DIANOSOL")</f>
        <v>DIANOSOL</v>
      </c>
      <c r="Q1462" s="63" t="s">
        <v>902</v>
      </c>
      <c r="R1462" s="63" t="str">
        <f>VLOOKUP($Q1462,Resultados!$A$1:$B$49,2,FALSE)</f>
        <v>Juicio Abreviado</v>
      </c>
      <c r="S1462" s="63"/>
      <c r="T1462" s="72" t="str">
        <f>IF(G1462=$J$1,"SI","NO")</f>
        <v>NO</v>
      </c>
      <c r="U1462" s="72"/>
      <c r="V1462" s="7" t="str">
        <f ca="1">IF(color_Celda(E1462)=12106214,"ROSA",IF(color_Celda(E1462)=65535,"AMARILLO",IF(color_Celda(E1462)=5296274,"VERDE",IF(color_Celda(E1462)=16777215,"BLANCO","NO SE"))))</f>
        <v>ROSA</v>
      </c>
      <c r="W1462" s="336"/>
      <c r="X1462" s="336"/>
      <c r="Y1462" s="336"/>
      <c r="Z1462" s="63" t="s">
        <v>748</v>
      </c>
      <c r="AA1462" s="336" t="s">
        <v>3379</v>
      </c>
      <c r="AB1462" s="63" t="s">
        <v>1173</v>
      </c>
      <c r="AC1462" s="336"/>
    </row>
    <row r="1463" spans="1:29" ht="60" customHeight="1">
      <c r="A1463" s="336">
        <v>1520</v>
      </c>
      <c r="B1463" s="349">
        <v>45329</v>
      </c>
      <c r="C1463" s="568">
        <v>0.375</v>
      </c>
      <c r="D1463" s="63" t="s">
        <v>5569</v>
      </c>
      <c r="E1463" s="355" t="s">
        <v>5495</v>
      </c>
      <c r="F1463" s="336">
        <v>3</v>
      </c>
      <c r="G1463" s="63" t="s">
        <v>283</v>
      </c>
      <c r="H1463" s="383">
        <v>45337</v>
      </c>
      <c r="I1463" s="65" t="s">
        <v>987</v>
      </c>
      <c r="J1463" s="65" t="s">
        <v>4932</v>
      </c>
      <c r="K1463" s="63" t="s">
        <v>1982</v>
      </c>
      <c r="L1463" s="63" t="s">
        <v>4790</v>
      </c>
      <c r="M1463" s="63" t="s">
        <v>712</v>
      </c>
      <c r="N1463" s="63" t="s">
        <v>6036</v>
      </c>
      <c r="O1463" s="63" t="str">
        <f ca="1">IF(H1463&lt;&gt;"",IF(H1463&lt;=TODAY(),"SI","NO"),"LIMBO")</f>
        <v>SI</v>
      </c>
      <c r="P1463" s="63" t="str">
        <f>IF($P$1=H1463,"DIASOL", "DIANOSOL")</f>
        <v>DIANOSOL</v>
      </c>
      <c r="Q1463" s="63" t="s">
        <v>902</v>
      </c>
      <c r="R1463" s="63" t="str">
        <f>VLOOKUP($Q1463,Resultados!$A$1:$B$49,2,FALSE)</f>
        <v>Juicio Abreviado</v>
      </c>
      <c r="S1463" s="63"/>
      <c r="T1463" s="72" t="str">
        <f>IF(G1463=$J$1,"SI","NO")</f>
        <v>NO</v>
      </c>
      <c r="U1463" s="72"/>
      <c r="V1463" s="7" t="str">
        <f ca="1">IF(color_Celda(E1463)=12106214,"ROSA",IF(color_Celda(E1463)=65535,"AMARILLO",IF(color_Celda(E1463)=5296274,"VERDE",IF(color_Celda(E1463)=16777215,"BLANCO","NO SE"))))</f>
        <v>ROSA</v>
      </c>
      <c r="W1463" s="336"/>
      <c r="X1463" s="336"/>
      <c r="Y1463" s="336"/>
      <c r="Z1463" s="63" t="s">
        <v>770</v>
      </c>
      <c r="AA1463" s="63" t="s">
        <v>1167</v>
      </c>
      <c r="AB1463" s="63" t="s">
        <v>1171</v>
      </c>
      <c r="AC1463" s="336"/>
    </row>
    <row r="1464" spans="1:29" ht="60" customHeight="1">
      <c r="A1464" s="336">
        <v>1408</v>
      </c>
      <c r="B1464" s="349">
        <v>45313</v>
      </c>
      <c r="C1464" s="63" t="s">
        <v>5481</v>
      </c>
      <c r="D1464" s="63" t="s">
        <v>5482</v>
      </c>
      <c r="E1464" s="64" t="s">
        <v>5732</v>
      </c>
      <c r="F1464" s="336">
        <v>2</v>
      </c>
      <c r="G1464" s="336" t="s">
        <v>3791</v>
      </c>
      <c r="H1464" s="383">
        <v>45338</v>
      </c>
      <c r="I1464" s="65" t="s">
        <v>73</v>
      </c>
      <c r="J1464" s="349" t="s">
        <v>78</v>
      </c>
      <c r="K1464" s="336">
        <v>8</v>
      </c>
      <c r="L1464" s="63" t="s">
        <v>4778</v>
      </c>
      <c r="M1464" s="63" t="s">
        <v>712</v>
      </c>
      <c r="N1464" s="63" t="s">
        <v>6035</v>
      </c>
      <c r="O1464" s="63" t="str">
        <f ca="1">IF(H1464&lt;&gt;"",IF(H1464&lt;=TODAY(),"SI","NO"),"LIMBO")</f>
        <v>SI</v>
      </c>
      <c r="P1464" s="63" t="str">
        <f>IF($P$1=H1464,"DIASOL", "DIANOSOL")</f>
        <v>DIANOSOL</v>
      </c>
      <c r="Q1464" s="63" t="s">
        <v>902</v>
      </c>
      <c r="R1464" s="63" t="str">
        <f>VLOOKUP($Q1464,Resultados!$A$1:$B$49,2,FALSE)</f>
        <v>Juicio Abreviado</v>
      </c>
      <c r="S1464" s="63"/>
      <c r="T1464" s="72" t="str">
        <f>IF(G1464=$J$1,"SI","NO")</f>
        <v>NO</v>
      </c>
      <c r="U1464" s="72"/>
      <c r="V1464" s="7" t="str">
        <f ca="1">IF(color_Celda(E1464)=12106214,"ROSA",IF(color_Celda(E1464)=65535,"AMARILLO",IF(color_Celda(E1464)=5296274,"VERDE",IF(color_Celda(E1464)=16777215,"BLANCO","NO SE"))))</f>
        <v>ROSA</v>
      </c>
      <c r="W1464" s="336"/>
      <c r="X1464" s="336"/>
      <c r="Y1464" s="336"/>
      <c r="Z1464" s="63" t="s">
        <v>748</v>
      </c>
      <c r="AA1464" s="336" t="s">
        <v>2869</v>
      </c>
      <c r="AB1464" s="63" t="s">
        <v>1169</v>
      </c>
      <c r="AC1464" s="336"/>
    </row>
    <row r="1465" spans="1:29" ht="60" customHeight="1">
      <c r="A1465" s="336">
        <v>1435</v>
      </c>
      <c r="B1465" s="349">
        <v>45316</v>
      </c>
      <c r="C1465" s="336" t="s">
        <v>1124</v>
      </c>
      <c r="D1465" s="336" t="s">
        <v>5567</v>
      </c>
      <c r="E1465" s="355" t="s">
        <v>5568</v>
      </c>
      <c r="F1465" s="336">
        <v>3</v>
      </c>
      <c r="G1465" s="336" t="s">
        <v>3323</v>
      </c>
      <c r="H1465" s="383">
        <v>45338</v>
      </c>
      <c r="I1465" s="65" t="s">
        <v>73</v>
      </c>
      <c r="J1465" s="349" t="s">
        <v>31</v>
      </c>
      <c r="K1465" s="336">
        <f>IFERROR(VLOOKUP(J1465,Jueces!$A$1:$B$11,2,FALSE),"")</f>
        <v>2</v>
      </c>
      <c r="L1465" s="63" t="s">
        <v>805</v>
      </c>
      <c r="M1465" s="63" t="s">
        <v>712</v>
      </c>
      <c r="N1465" s="63" t="s">
        <v>6037</v>
      </c>
      <c r="O1465" s="63" t="str">
        <f ca="1">IF(H1465&lt;&gt;"",IF(H1465&lt;=TODAY(),"SI","NO"),"LIMBO")</f>
        <v>SI</v>
      </c>
      <c r="P1465" s="63" t="str">
        <f>IF($P$1=H1465,"DIASOL", "DIANOSOL")</f>
        <v>DIANOSOL</v>
      </c>
      <c r="Q1465" s="63" t="s">
        <v>902</v>
      </c>
      <c r="R1465" s="63" t="str">
        <f>VLOOKUP($Q1465,Resultados!$A$1:$B$49,2,FALSE)</f>
        <v>Juicio Abreviado</v>
      </c>
      <c r="S1465" s="63"/>
      <c r="T1465" s="72" t="str">
        <f>IF(G1465=$J$1,"SI","NO")</f>
        <v>NO</v>
      </c>
      <c r="U1465" s="72"/>
      <c r="V1465" s="7" t="str">
        <f ca="1">IF(color_Celda(E1465)=12106214,"ROSA",IF(color_Celda(E1465)=65535,"AMARILLO",IF(color_Celda(E1465)=5296274,"VERDE",IF(color_Celda(E1465)=16777215,"BLANCO","NO SE"))))</f>
        <v>ROSA</v>
      </c>
      <c r="W1465" s="336"/>
      <c r="X1465" s="336"/>
      <c r="Y1465" s="336"/>
      <c r="Z1465" s="63" t="s">
        <v>743</v>
      </c>
      <c r="AA1465" s="336" t="s">
        <v>2828</v>
      </c>
      <c r="AB1465" s="63" t="s">
        <v>1171</v>
      </c>
      <c r="AC1465" s="336"/>
    </row>
    <row r="1466" spans="1:29" ht="60" customHeight="1">
      <c r="A1466" s="336">
        <v>1466</v>
      </c>
      <c r="B1466" s="349">
        <v>45322</v>
      </c>
      <c r="C1466" s="568">
        <v>0.43333333333333335</v>
      </c>
      <c r="D1466" s="63" t="s">
        <v>5680</v>
      </c>
      <c r="E1466" s="64" t="s">
        <v>5682</v>
      </c>
      <c r="F1466" s="336">
        <v>3</v>
      </c>
      <c r="G1466" s="63" t="s">
        <v>3324</v>
      </c>
      <c r="H1466" s="383">
        <v>45338</v>
      </c>
      <c r="I1466" s="65" t="s">
        <v>73</v>
      </c>
      <c r="J1466" s="65" t="s">
        <v>35</v>
      </c>
      <c r="K1466" s="336">
        <f>IFERROR(VLOOKUP(J1466,Jueces!$A$1:$B$11,2,FALSE),"")</f>
        <v>3</v>
      </c>
      <c r="L1466" s="63" t="s">
        <v>4781</v>
      </c>
      <c r="M1466" s="63" t="s">
        <v>692</v>
      </c>
      <c r="N1466" s="63" t="s">
        <v>6110</v>
      </c>
      <c r="O1466" s="63" t="str">
        <f ca="1">IF(H1466&lt;&gt;"",IF(H1466&lt;=TODAY(),"SI","NO"),"LIMBO")</f>
        <v>SI</v>
      </c>
      <c r="P1466" s="63" t="str">
        <f>IF($P$1=H1466,"DIASOL", "DIANOSOL")</f>
        <v>DIANOSOL</v>
      </c>
      <c r="Q1466" s="63" t="s">
        <v>151</v>
      </c>
      <c r="R1466" s="63" t="str">
        <f>VLOOKUP($Q1466,Resultados!$A$1:$B$49,2,FALSE)</f>
        <v>Prisión Preventiva</v>
      </c>
      <c r="S1466" s="63"/>
      <c r="T1466" s="72" t="str">
        <f>IF(G1466=$J$1,"SI","NO")</f>
        <v>NO</v>
      </c>
      <c r="U1466" s="72"/>
      <c r="V1466" s="7" t="str">
        <f ca="1">IF(color_Celda(E1466)=12106214,"ROSA",IF(color_Celda(E1466)=65535,"AMARILLO",IF(color_Celda(E1466)=5296274,"VERDE",IF(color_Celda(E1466)=16777215,"BLANCO","NO SE"))))</f>
        <v>ROSA</v>
      </c>
      <c r="W1466" s="336"/>
      <c r="X1466" s="336"/>
      <c r="Y1466" s="336"/>
      <c r="Z1466" s="63" t="s">
        <v>1039</v>
      </c>
      <c r="AA1466" s="63" t="s">
        <v>2828</v>
      </c>
      <c r="AB1466" s="63" t="s">
        <v>1173</v>
      </c>
      <c r="AC1466" s="336"/>
    </row>
    <row r="1467" spans="1:29" ht="60" customHeight="1">
      <c r="A1467" s="336">
        <v>1451</v>
      </c>
      <c r="B1467" s="349">
        <v>45331</v>
      </c>
      <c r="C1467" s="568">
        <v>0.33333333333333331</v>
      </c>
      <c r="D1467" s="63" t="s">
        <v>4405</v>
      </c>
      <c r="E1467" s="355" t="s">
        <v>4406</v>
      </c>
      <c r="F1467" s="336">
        <v>4</v>
      </c>
      <c r="G1467" s="63" t="s">
        <v>2815</v>
      </c>
      <c r="H1467" s="383">
        <v>45338</v>
      </c>
      <c r="I1467" s="65" t="s">
        <v>73</v>
      </c>
      <c r="J1467" s="349" t="s">
        <v>1217</v>
      </c>
      <c r="K1467" s="336">
        <f>IFERROR(VLOOKUP(J1467,Jueces!$A$1:$B$11,2,FALSE),"")</f>
        <v>7</v>
      </c>
      <c r="L1467" s="63" t="s">
        <v>2077</v>
      </c>
      <c r="M1467" s="63" t="s">
        <v>5561</v>
      </c>
      <c r="N1467" s="63" t="s">
        <v>5602</v>
      </c>
      <c r="O1467" s="63" t="str">
        <f ca="1">IF(H1467&lt;&gt;"",IF(H1467&lt;=TODAY(),"SI","NO"),"LIMBO")</f>
        <v>SI</v>
      </c>
      <c r="P1467" s="63" t="str">
        <f>IF($P$1=H1467,"DIASOL", "DIANOSOL")</f>
        <v>DIANOSOL</v>
      </c>
      <c r="Q1467" s="63" t="s">
        <v>151</v>
      </c>
      <c r="R1467" s="63" t="str">
        <f>VLOOKUP($Q1467,Resultados!$A$1:$B$49,2,FALSE)</f>
        <v>Prisión Preventiva</v>
      </c>
      <c r="S1467" s="63"/>
      <c r="T1467" s="72" t="str">
        <f>IF(G1467=$J$1,"SI","NO")</f>
        <v>NO</v>
      </c>
      <c r="U1467" s="72"/>
      <c r="V1467" s="7" t="str">
        <f ca="1">IF(color_Celda(E1467)=12106214,"ROSA",IF(color_Celda(E1467)=65535,"AMARILLO",IF(color_Celda(E1467)=5296274,"VERDE",IF(color_Celda(E1467)=16777215,"BLANCO","NO SE"))))</f>
        <v>ROSA</v>
      </c>
      <c r="W1467" s="336"/>
      <c r="X1467" s="336"/>
      <c r="Y1467" s="336"/>
      <c r="Z1467" s="63" t="s">
        <v>770</v>
      </c>
      <c r="AA1467" s="336" t="s">
        <v>3378</v>
      </c>
      <c r="AB1467" s="63" t="s">
        <v>1170</v>
      </c>
      <c r="AC1467" s="336"/>
    </row>
    <row r="1468" spans="1:29" ht="60" customHeight="1">
      <c r="A1468" s="336">
        <v>1462</v>
      </c>
      <c r="B1468" s="349">
        <v>45317</v>
      </c>
      <c r="C1468" s="63" t="s">
        <v>3513</v>
      </c>
      <c r="D1468" s="63" t="s">
        <v>5619</v>
      </c>
      <c r="E1468" s="64" t="s">
        <v>5620</v>
      </c>
      <c r="F1468" s="336">
        <v>8</v>
      </c>
      <c r="G1468" s="63" t="s">
        <v>1434</v>
      </c>
      <c r="H1468" s="383">
        <v>45338</v>
      </c>
      <c r="I1468" s="65" t="s">
        <v>1083</v>
      </c>
      <c r="J1468" s="65" t="s">
        <v>1217</v>
      </c>
      <c r="K1468" s="336">
        <v>7</v>
      </c>
      <c r="L1468" s="63" t="s">
        <v>789</v>
      </c>
      <c r="M1468" s="7" t="s">
        <v>885</v>
      </c>
      <c r="N1468" s="63" t="s">
        <v>6039</v>
      </c>
      <c r="O1468" s="63" t="str">
        <f ca="1">IF(H1468&lt;&gt;"",IF(H1468&lt;=TODAY(),"SI","NO"),"LIMBO")</f>
        <v>SI</v>
      </c>
      <c r="P1468" s="63" t="str">
        <f>IF($P$1=H1468,"DIASOL", "DIANOSOL")</f>
        <v>DIANOSOL</v>
      </c>
      <c r="Q1468" s="63" t="s">
        <v>1010</v>
      </c>
      <c r="R1468" s="63" t="str">
        <f>VLOOKUP($Q1468,Resultados!$A$1:$B$49,2,FALSE)</f>
        <v>Suspendida</v>
      </c>
      <c r="S1468" s="63"/>
      <c r="T1468" s="72" t="str">
        <f>IF(G1468=$J$1,"SI","NO")</f>
        <v>NO</v>
      </c>
      <c r="U1468" s="72"/>
      <c r="V1468" s="7" t="str">
        <f ca="1">IF(color_Celda(E1468)=12106214,"ROSA",IF(color_Celda(E1468)=65535,"AMARILLO",IF(color_Celda(E1468)=5296274,"VERDE",IF(color_Celda(E1468)=16777215,"BLANCO","NO SE"))))</f>
        <v>ROSA</v>
      </c>
      <c r="W1468" s="336"/>
      <c r="X1468" s="336"/>
      <c r="Y1468" s="336"/>
      <c r="Z1468" s="63" t="s">
        <v>770</v>
      </c>
      <c r="AA1468" s="63" t="s">
        <v>2869</v>
      </c>
      <c r="AB1468" s="63" t="s">
        <v>1171</v>
      </c>
      <c r="AC1468" s="336"/>
    </row>
    <row r="1469" spans="1:29" ht="60" customHeight="1">
      <c r="A1469" s="336">
        <v>1469</v>
      </c>
      <c r="B1469" s="349">
        <v>45322</v>
      </c>
      <c r="C1469" s="568">
        <v>0.52777777777777779</v>
      </c>
      <c r="D1469" s="63" t="s">
        <v>5685</v>
      </c>
      <c r="E1469" s="64" t="s">
        <v>5686</v>
      </c>
      <c r="F1469" s="336">
        <v>3</v>
      </c>
      <c r="G1469" s="63" t="s">
        <v>1435</v>
      </c>
      <c r="H1469" s="383">
        <v>45338</v>
      </c>
      <c r="I1469" s="65" t="s">
        <v>1083</v>
      </c>
      <c r="J1469" s="65" t="s">
        <v>1221</v>
      </c>
      <c r="K1469" s="336">
        <f>IFERROR(VLOOKUP(J1469,Jueces!$A$1:$B$11,2,FALSE),"")</f>
        <v>6</v>
      </c>
      <c r="L1469" s="63" t="s">
        <v>806</v>
      </c>
      <c r="M1469" s="63" t="s">
        <v>692</v>
      </c>
      <c r="N1469" s="63" t="s">
        <v>6111</v>
      </c>
      <c r="O1469" s="63" t="str">
        <f ca="1">IF(H1469&lt;&gt;"",IF(H1469&lt;=TODAY(),"SI","NO"),"LIMBO")</f>
        <v>SI</v>
      </c>
      <c r="P1469" s="63" t="str">
        <f>IF($P$1=H1469,"DIASOL", "DIANOSOL")</f>
        <v>DIANOSOL</v>
      </c>
      <c r="Q1469" s="63" t="s">
        <v>902</v>
      </c>
      <c r="R1469" s="63" t="str">
        <f>VLOOKUP($Q1469,Resultados!$A$1:$B$49,2,FALSE)</f>
        <v>Juicio Abreviado</v>
      </c>
      <c r="S1469" s="63"/>
      <c r="T1469" s="72" t="str">
        <f>IF(G1469=$J$1,"SI","NO")</f>
        <v>SI</v>
      </c>
      <c r="U1469" s="72"/>
      <c r="V1469" s="7" t="str">
        <f ca="1">IF(color_Celda(E1469)=12106214,"ROSA",IF(color_Celda(E1469)=65535,"AMARILLO",IF(color_Celda(E1469)=5296274,"VERDE",IF(color_Celda(E1469)=16777215,"BLANCO","NO SE"))))</f>
        <v>ROSA</v>
      </c>
      <c r="W1469" s="336"/>
      <c r="X1469" s="336"/>
      <c r="Y1469" s="336"/>
      <c r="Z1469" s="63" t="s">
        <v>1038</v>
      </c>
      <c r="AA1469" s="63" t="s">
        <v>3379</v>
      </c>
      <c r="AB1469" s="63" t="s">
        <v>1173</v>
      </c>
      <c r="AC1469" s="336"/>
    </row>
    <row r="1470" spans="1:29" ht="60" customHeight="1">
      <c r="A1470" s="336">
        <v>1522</v>
      </c>
      <c r="B1470" s="349">
        <v>45329</v>
      </c>
      <c r="C1470" s="568">
        <v>0.4291666666666667</v>
      </c>
      <c r="D1470" s="336" t="s">
        <v>4963</v>
      </c>
      <c r="E1470" s="355" t="s">
        <v>5820</v>
      </c>
      <c r="F1470" s="336">
        <v>7</v>
      </c>
      <c r="G1470" s="63" t="s">
        <v>5709</v>
      </c>
      <c r="H1470" s="383">
        <v>45338</v>
      </c>
      <c r="I1470" s="65" t="s">
        <v>1083</v>
      </c>
      <c r="J1470" s="65" t="s">
        <v>31</v>
      </c>
      <c r="K1470" s="336">
        <f>IFERROR(VLOOKUP(J1470,Jueces!$A$1:$B$11,2,FALSE),"")</f>
        <v>2</v>
      </c>
      <c r="L1470" s="63" t="s">
        <v>4781</v>
      </c>
      <c r="M1470" s="63" t="s">
        <v>767</v>
      </c>
      <c r="N1470" s="63" t="s">
        <v>6112</v>
      </c>
      <c r="O1470" s="63" t="str">
        <f ca="1">IF(H1470&lt;&gt;"",IF(H1470&lt;=TODAY(),"SI","NO"),"LIMBO")</f>
        <v>SI</v>
      </c>
      <c r="P1470" s="63" t="str">
        <f>IF($P$1=H1470,"DIASOL", "DIANOSOL")</f>
        <v>DIANOSOL</v>
      </c>
      <c r="Q1470" s="63" t="s">
        <v>972</v>
      </c>
      <c r="R1470" s="63" t="str">
        <f>VLOOKUP($Q1470,Resultados!$A$1:$B$49,2,FALSE)</f>
        <v>Prision domiciliaria</v>
      </c>
      <c r="S1470" s="63"/>
      <c r="T1470" s="72" t="str">
        <f>IF(G1470=$J$1,"SI","NO")</f>
        <v>NO</v>
      </c>
      <c r="U1470" s="72"/>
      <c r="V1470" s="7" t="str">
        <f ca="1">IF(color_Celda(E1470)=12106214,"ROSA",IF(color_Celda(E1470)=65535,"AMARILLO",IF(color_Celda(E1470)=5296274,"VERDE",IF(color_Celda(E1470)=16777215,"BLANCO","NO SE"))))</f>
        <v>ROSA</v>
      </c>
      <c r="W1470" s="336"/>
      <c r="X1470" s="336"/>
      <c r="Y1470" s="336"/>
      <c r="Z1470" s="63" t="s">
        <v>743</v>
      </c>
      <c r="AA1470" s="63" t="s">
        <v>3379</v>
      </c>
      <c r="AB1470" s="63" t="s">
        <v>1170</v>
      </c>
      <c r="AC1470" s="336"/>
    </row>
    <row r="1471" spans="1:29" ht="60" customHeight="1">
      <c r="A1471" s="336">
        <v>1465</v>
      </c>
      <c r="B1471" s="349">
        <v>45321</v>
      </c>
      <c r="C1471" s="63" t="s">
        <v>1225</v>
      </c>
      <c r="D1471" s="63" t="s">
        <v>5631</v>
      </c>
      <c r="E1471" s="64" t="s">
        <v>5681</v>
      </c>
      <c r="F1471" s="336">
        <v>3</v>
      </c>
      <c r="G1471" s="336" t="s">
        <v>283</v>
      </c>
      <c r="H1471" s="383">
        <v>45338</v>
      </c>
      <c r="I1471" s="65" t="s">
        <v>1206</v>
      </c>
      <c r="J1471" s="349" t="s">
        <v>78</v>
      </c>
      <c r="K1471" s="336">
        <f>IFERROR(VLOOKUP(J1471,Jueces!$A$1:$B$11,2,FALSE),"")</f>
        <v>8</v>
      </c>
      <c r="L1471" s="63" t="s">
        <v>569</v>
      </c>
      <c r="M1471" s="63" t="s">
        <v>712</v>
      </c>
      <c r="N1471" s="63" t="s">
        <v>2100</v>
      </c>
      <c r="O1471" s="63" t="str">
        <f ca="1">IF(H1471&lt;&gt;"",IF(H1471&lt;=TODAY(),"SI","NO"),"LIMBO")</f>
        <v>SI</v>
      </c>
      <c r="P1471" s="63" t="str">
        <f>IF($P$1=H1471,"DIASOL", "DIANOSOL")</f>
        <v>DIANOSOL</v>
      </c>
      <c r="Q1471" s="63" t="s">
        <v>151</v>
      </c>
      <c r="R1471" s="63" t="str">
        <f>VLOOKUP($Q1471,Resultados!$A$1:$B$49,2,FALSE)</f>
        <v>Prisión Preventiva</v>
      </c>
      <c r="S1471" s="63"/>
      <c r="T1471" s="72" t="str">
        <f>IF(G1471=$J$1,"SI","NO")</f>
        <v>NO</v>
      </c>
      <c r="U1471" s="72"/>
      <c r="V1471" s="7" t="str">
        <f ca="1">IF(color_Celda(E1471)=12106214,"ROSA",IF(color_Celda(E1471)=65535,"AMARILLO",IF(color_Celda(E1471)=5296274,"VERDE",IF(color_Celda(E1471)=16777215,"BLANCO","NO SE"))))</f>
        <v>ROSA</v>
      </c>
      <c r="W1471" s="336"/>
      <c r="X1471" s="336"/>
      <c r="Y1471" s="336"/>
      <c r="Z1471" s="63" t="s">
        <v>748</v>
      </c>
      <c r="AA1471" s="63" t="s">
        <v>3379</v>
      </c>
      <c r="AB1471" s="63" t="s">
        <v>1170</v>
      </c>
      <c r="AC1471" s="336"/>
    </row>
    <row r="1472" spans="1:29" ht="60" customHeight="1">
      <c r="A1472" s="63">
        <v>1475</v>
      </c>
      <c r="B1472" s="349">
        <v>45317</v>
      </c>
      <c r="C1472" s="63" t="s">
        <v>5585</v>
      </c>
      <c r="D1472" s="63" t="s">
        <v>5586</v>
      </c>
      <c r="E1472" s="64" t="s">
        <v>5718</v>
      </c>
      <c r="F1472" s="336">
        <v>3</v>
      </c>
      <c r="G1472" s="63" t="s">
        <v>5710</v>
      </c>
      <c r="H1472" s="383">
        <v>45338</v>
      </c>
      <c r="I1472" s="65" t="s">
        <v>3171</v>
      </c>
      <c r="J1472" s="65" t="s">
        <v>1216</v>
      </c>
      <c r="K1472" s="63" t="s">
        <v>5762</v>
      </c>
      <c r="L1472" s="63" t="s">
        <v>791</v>
      </c>
      <c r="M1472" s="63" t="s">
        <v>712</v>
      </c>
      <c r="N1472" s="63" t="s">
        <v>5711</v>
      </c>
      <c r="O1472" s="63" t="str">
        <f ca="1">IF(H1472&lt;&gt;"",IF(H1472&lt;=TODAY(),"SI","NO"),"LIMBO")</f>
        <v>SI</v>
      </c>
      <c r="P1472" s="63" t="str">
        <f>IF($P$1=H1472,"DIASOL", "DIANOSOL")</f>
        <v>DIANOSOL</v>
      </c>
      <c r="Q1472" s="63" t="s">
        <v>151</v>
      </c>
      <c r="R1472" s="63" t="str">
        <f>VLOOKUP($Q1472,Resultados!$A$1:$B$49,2,FALSE)</f>
        <v>Prisión Preventiva</v>
      </c>
      <c r="S1472" s="63"/>
      <c r="T1472" s="72" t="str">
        <f>IF(G1472=$J$1,"SI","NO")</f>
        <v>NO</v>
      </c>
      <c r="U1472" s="72"/>
      <c r="V1472" s="7" t="str">
        <f ca="1">IF(color_Celda(E1472)=12106214,"ROSA",IF(color_Celda(E1472)=65535,"AMARILLO",IF(color_Celda(E1472)=5296274,"VERDE",IF(color_Celda(E1472)=16777215,"BLANCO","NO SE"))))</f>
        <v>ROSA</v>
      </c>
      <c r="W1472" s="336"/>
      <c r="X1472" s="336"/>
      <c r="Y1472" s="336"/>
      <c r="Z1472" s="63" t="s">
        <v>770</v>
      </c>
      <c r="AA1472" s="63" t="s">
        <v>3378</v>
      </c>
      <c r="AB1472" s="63" t="s">
        <v>1169</v>
      </c>
      <c r="AC1472" s="336"/>
    </row>
    <row r="1473" spans="1:29" ht="60" customHeight="1">
      <c r="A1473" s="336">
        <v>1468</v>
      </c>
      <c r="B1473" s="349">
        <v>45322</v>
      </c>
      <c r="C1473" s="568">
        <v>0.52777777777777779</v>
      </c>
      <c r="D1473" s="63" t="s">
        <v>5683</v>
      </c>
      <c r="E1473" s="64" t="s">
        <v>5684</v>
      </c>
      <c r="F1473" s="336">
        <v>3</v>
      </c>
      <c r="G1473" s="63" t="s">
        <v>29</v>
      </c>
      <c r="H1473" s="383">
        <v>45338</v>
      </c>
      <c r="I1473" s="65" t="s">
        <v>3171</v>
      </c>
      <c r="J1473" s="65" t="s">
        <v>78</v>
      </c>
      <c r="K1473" s="336">
        <f>IFERROR(VLOOKUP(J1473,Jueces!$A$1:$B$11,2,FALSE),"")</f>
        <v>8</v>
      </c>
      <c r="L1473" s="63" t="s">
        <v>4789</v>
      </c>
      <c r="M1473" s="63" t="s">
        <v>692</v>
      </c>
      <c r="N1473" s="63" t="s">
        <v>6113</v>
      </c>
      <c r="O1473" s="63" t="str">
        <f ca="1">IF(H1473&lt;&gt;"",IF(H1473&lt;=TODAY(),"SI","NO"),"LIMBO")</f>
        <v>SI</v>
      </c>
      <c r="P1473" s="63" t="str">
        <f>IF($P$1=H1473,"DIASOL", "DIANOSOL")</f>
        <v>DIANOSOL</v>
      </c>
      <c r="Q1473" s="63" t="s">
        <v>903</v>
      </c>
      <c r="R1473" s="63" t="str">
        <f>VLOOKUP($Q1473,Resultados!$A$1:$B$49,2,FALSE)</f>
        <v>Juicio Abreviado</v>
      </c>
      <c r="S1473" s="63"/>
      <c r="T1473" s="72" t="str">
        <f>IF(G1473=$J$1,"SI","NO")</f>
        <v>NO</v>
      </c>
      <c r="U1473" s="72"/>
      <c r="V1473" s="7" t="str">
        <f ca="1">IF(color_Celda(E1473)=12106214,"ROSA",IF(color_Celda(E1473)=65535,"AMARILLO",IF(color_Celda(E1473)=5296274,"VERDE",IF(color_Celda(E1473)=16777215,"BLANCO","NO SE"))))</f>
        <v>ROSA</v>
      </c>
      <c r="W1473" s="336"/>
      <c r="X1473" s="336"/>
      <c r="Y1473" s="336"/>
      <c r="Z1473" s="63" t="s">
        <v>748</v>
      </c>
      <c r="AA1473" s="63" t="s">
        <v>1167</v>
      </c>
      <c r="AB1473" s="63" t="s">
        <v>1171</v>
      </c>
      <c r="AC1473" s="336"/>
    </row>
    <row r="1474" spans="1:29" ht="60" customHeight="1">
      <c r="A1474" s="336">
        <v>1449</v>
      </c>
      <c r="B1474" s="349">
        <v>45320</v>
      </c>
      <c r="C1474" s="63" t="s">
        <v>1388</v>
      </c>
      <c r="D1474" s="63" t="s">
        <v>5597</v>
      </c>
      <c r="E1474" s="64" t="s">
        <v>5716</v>
      </c>
      <c r="F1474" s="336">
        <v>8</v>
      </c>
      <c r="G1474" s="63" t="s">
        <v>2815</v>
      </c>
      <c r="H1474" s="383">
        <v>45341</v>
      </c>
      <c r="I1474" s="65" t="s">
        <v>73</v>
      </c>
      <c r="J1474" s="65" t="s">
        <v>31</v>
      </c>
      <c r="K1474" s="336">
        <v>2</v>
      </c>
      <c r="L1474" s="63" t="s">
        <v>4781</v>
      </c>
      <c r="M1474" s="63" t="s">
        <v>711</v>
      </c>
      <c r="N1474" s="63" t="s">
        <v>6114</v>
      </c>
      <c r="O1474" s="63" t="str">
        <f ca="1">IF(H1474&lt;&gt;"",IF(H1474&lt;=TODAY(),"SI","NO"),"LIMBO")</f>
        <v>SI</v>
      </c>
      <c r="P1474" s="63" t="str">
        <f>IF($P$1=H1474,"DIASOL", "DIANOSOL")</f>
        <v>DIANOSOL</v>
      </c>
      <c r="Q1474" s="63" t="s">
        <v>903</v>
      </c>
      <c r="R1474" s="63" t="str">
        <f>VLOOKUP($Q1474,Resultados!$A$1:$B$49,2,FALSE)</f>
        <v>Juicio Abreviado</v>
      </c>
      <c r="S1474" s="63"/>
      <c r="T1474" s="72" t="str">
        <f>IF(G1474=$J$1,"SI","NO")</f>
        <v>NO</v>
      </c>
      <c r="U1474" s="72"/>
      <c r="V1474" s="7" t="str">
        <f ca="1">IF(color_Celda(E1474)=12106214,"ROSA",IF(color_Celda(E1474)=65535,"AMARILLO",IF(color_Celda(E1474)=5296274,"VERDE",IF(color_Celda(E1474)=16777215,"BLANCO","NO SE"))))</f>
        <v>ROSA</v>
      </c>
      <c r="W1474" s="336"/>
      <c r="X1474" s="336"/>
      <c r="Y1474" s="336"/>
      <c r="Z1474" s="63" t="s">
        <v>1039</v>
      </c>
      <c r="AA1474" s="63" t="s">
        <v>2828</v>
      </c>
      <c r="AB1474" s="63" t="s">
        <v>1173</v>
      </c>
      <c r="AC1474" s="336"/>
    </row>
    <row r="1475" spans="1:29" ht="60" customHeight="1">
      <c r="A1475" s="336">
        <v>1459</v>
      </c>
      <c r="B1475" s="349">
        <v>45320</v>
      </c>
      <c r="C1475" s="70" t="s">
        <v>4446</v>
      </c>
      <c r="D1475" s="336" t="s">
        <v>4587</v>
      </c>
      <c r="E1475" s="64" t="s">
        <v>5798</v>
      </c>
      <c r="F1475" s="336">
        <v>3</v>
      </c>
      <c r="G1475" s="63" t="s">
        <v>1434</v>
      </c>
      <c r="H1475" s="208">
        <v>45341</v>
      </c>
      <c r="I1475" s="65" t="s">
        <v>73</v>
      </c>
      <c r="J1475" s="65" t="s">
        <v>35</v>
      </c>
      <c r="K1475" s="336">
        <f>IFERROR(VLOOKUP(J1475,Jueces!$A$1:$B$11,2,FALSE),"")</f>
        <v>3</v>
      </c>
      <c r="L1475" s="63" t="s">
        <v>192</v>
      </c>
      <c r="M1475" s="63" t="s">
        <v>725</v>
      </c>
      <c r="N1475" s="118" t="s">
        <v>6115</v>
      </c>
      <c r="O1475" s="63" t="str">
        <f ca="1">IF(H1475&lt;&gt;"",IF(H1475&lt;=TODAY(),"SI","NO"),"LIMBO")</f>
        <v>SI</v>
      </c>
      <c r="P1475" s="63" t="str">
        <f>IF($P$1=H1475,"DIASOL", "DIANOSOL")</f>
        <v>DIANOSOL</v>
      </c>
      <c r="Q1475" s="63" t="s">
        <v>151</v>
      </c>
      <c r="R1475" s="63" t="str">
        <f>VLOOKUP($Q1475,Resultados!$A$1:$B$49,2,FALSE)</f>
        <v>Prisión Preventiva</v>
      </c>
      <c r="S1475" s="63"/>
      <c r="T1475" s="72" t="str">
        <f>IF(G1475=$J$1,"SI","NO")</f>
        <v>NO</v>
      </c>
      <c r="U1475" s="72"/>
      <c r="V1475" s="7" t="str">
        <f ca="1">IF(color_Celda(E1475)=12106214,"ROSA",IF(color_Celda(E1475)=65535,"AMARILLO",IF(color_Celda(E1475)=5296274,"VERDE",IF(color_Celda(E1475)=16777215,"BLANCO","NO SE"))))</f>
        <v>ROSA</v>
      </c>
      <c r="W1475" s="336"/>
      <c r="X1475" s="336"/>
      <c r="Y1475" s="336"/>
      <c r="Z1475" s="63" t="s">
        <v>770</v>
      </c>
      <c r="AA1475" s="63" t="s">
        <v>2828</v>
      </c>
      <c r="AB1475" s="63" t="s">
        <v>1170</v>
      </c>
      <c r="AC1475" s="336"/>
    </row>
    <row r="1476" spans="1:29" ht="60" customHeight="1">
      <c r="A1476" s="336">
        <v>1464</v>
      </c>
      <c r="B1476" s="349">
        <v>45321</v>
      </c>
      <c r="C1476" s="63" t="s">
        <v>1033</v>
      </c>
      <c r="D1476" s="63" t="s">
        <v>5630</v>
      </c>
      <c r="E1476" s="64" t="s">
        <v>5677</v>
      </c>
      <c r="F1476" s="336">
        <v>3</v>
      </c>
      <c r="G1476" s="63" t="s">
        <v>29</v>
      </c>
      <c r="H1476" s="383">
        <v>45341</v>
      </c>
      <c r="I1476" s="65" t="s">
        <v>73</v>
      </c>
      <c r="J1476" s="65" t="s">
        <v>4932</v>
      </c>
      <c r="K1476" s="63" t="s">
        <v>2324</v>
      </c>
      <c r="L1476" s="63" t="s">
        <v>805</v>
      </c>
      <c r="M1476" s="63" t="s">
        <v>5992</v>
      </c>
      <c r="N1476" s="63" t="s">
        <v>6116</v>
      </c>
      <c r="O1476" s="63" t="str">
        <f ca="1">IF(H1476&lt;&gt;"",IF(H1476&lt;=TODAY(),"SI","NO"),"LIMBO")</f>
        <v>SI</v>
      </c>
      <c r="P1476" s="63" t="str">
        <f>IF($P$1=H1476,"DIASOL", "DIANOSOL")</f>
        <v>DIANOSOL</v>
      </c>
      <c r="Q1476" s="63" t="s">
        <v>902</v>
      </c>
      <c r="R1476" s="63" t="str">
        <f>VLOOKUP($Q1476,Resultados!$A$1:$B$49,2,FALSE)</f>
        <v>Juicio Abreviado</v>
      </c>
      <c r="S1476" s="63"/>
      <c r="T1476" s="72" t="str">
        <f>IF(G1476=$J$1,"SI","NO")</f>
        <v>NO</v>
      </c>
      <c r="U1476" s="72"/>
      <c r="V1476" s="7" t="str">
        <f ca="1">IF(color_Celda(E1476)=12106214,"ROSA",IF(color_Celda(E1476)=65535,"AMARILLO",IF(color_Celda(E1476)=5296274,"VERDE",IF(color_Celda(E1476)=16777215,"BLANCO","NO SE"))))</f>
        <v>ROSA</v>
      </c>
      <c r="W1476" s="336"/>
      <c r="X1476" s="336"/>
      <c r="Y1476" s="336"/>
      <c r="Z1476" s="63" t="s">
        <v>1038</v>
      </c>
      <c r="AA1476" s="63" t="s">
        <v>2869</v>
      </c>
      <c r="AB1476" s="63" t="s">
        <v>1169</v>
      </c>
      <c r="AC1476" s="336"/>
    </row>
    <row r="1477" spans="1:29" ht="60" customHeight="1">
      <c r="A1477" s="336">
        <v>1521</v>
      </c>
      <c r="B1477" s="349">
        <v>45329</v>
      </c>
      <c r="C1477" s="568">
        <v>0.41666666666666669</v>
      </c>
      <c r="D1477" s="336" t="s">
        <v>3896</v>
      </c>
      <c r="E1477" s="64" t="s">
        <v>5818</v>
      </c>
      <c r="F1477" s="336">
        <v>7</v>
      </c>
      <c r="G1477" s="63" t="s">
        <v>2766</v>
      </c>
      <c r="H1477" s="383">
        <v>45341</v>
      </c>
      <c r="I1477" s="65" t="s">
        <v>73</v>
      </c>
      <c r="J1477" s="65" t="s">
        <v>1217</v>
      </c>
      <c r="K1477" s="336">
        <f>IFERROR(VLOOKUP(J1477,Jueces!$A$1:$B$11,2,FALSE),"")</f>
        <v>7</v>
      </c>
      <c r="L1477" s="63" t="s">
        <v>811</v>
      </c>
      <c r="M1477" s="7" t="s">
        <v>3457</v>
      </c>
      <c r="N1477" s="63" t="s">
        <v>2100</v>
      </c>
      <c r="O1477" s="63" t="str">
        <f ca="1">IF(H1477&lt;&gt;"",IF(H1477&lt;=TODAY(),"SI","NO"),"LIMBO")</f>
        <v>SI</v>
      </c>
      <c r="P1477" s="63" t="str">
        <f>IF($P$1=H1477,"DIASOL", "DIANOSOL")</f>
        <v>DIANOSOL</v>
      </c>
      <c r="Q1477" s="63" t="s">
        <v>151</v>
      </c>
      <c r="R1477" s="63" t="str">
        <f>VLOOKUP($Q1477,Resultados!$A$1:$B$49,2,FALSE)</f>
        <v>Prisión Preventiva</v>
      </c>
      <c r="S1477" s="63"/>
      <c r="T1477" s="72" t="str">
        <f>IF(G1477=$J$1,"SI","NO")</f>
        <v>NO</v>
      </c>
      <c r="U1477" s="72"/>
      <c r="V1477" s="7" t="str">
        <f ca="1">IF(color_Celda(E1477)=12106214,"ROSA",IF(color_Celda(E1477)=65535,"AMARILLO",IF(color_Celda(E1477)=5296274,"VERDE",IF(color_Celda(E1477)=16777215,"BLANCO","NO SE"))))</f>
        <v>ROSA</v>
      </c>
      <c r="W1477" s="336"/>
      <c r="X1477" s="336"/>
      <c r="Y1477" s="336"/>
      <c r="Z1477" s="63" t="s">
        <v>3368</v>
      </c>
      <c r="AA1477" s="63" t="s">
        <v>3378</v>
      </c>
      <c r="AB1477" s="63" t="s">
        <v>3258</v>
      </c>
      <c r="AC1477" s="336"/>
    </row>
    <row r="1478" spans="1:29" ht="60" customHeight="1">
      <c r="A1478" s="336">
        <v>1454</v>
      </c>
      <c r="B1478" s="349">
        <v>45330</v>
      </c>
      <c r="C1478" s="568">
        <v>0.47916666666666669</v>
      </c>
      <c r="D1478" s="63" t="s">
        <v>5156</v>
      </c>
      <c r="E1478" s="355" t="s">
        <v>5157</v>
      </c>
      <c r="F1478" s="336">
        <v>2</v>
      </c>
      <c r="G1478" s="63" t="s">
        <v>283</v>
      </c>
      <c r="H1478" s="383">
        <v>45341</v>
      </c>
      <c r="I1478" s="349" t="s">
        <v>73</v>
      </c>
      <c r="J1478" s="349" t="s">
        <v>1216</v>
      </c>
      <c r="K1478" s="336">
        <f>IFERROR(VLOOKUP(J1478,Jueces!$A$1:$B$11,2,FALSE),"")</f>
        <v>1</v>
      </c>
      <c r="L1478" s="63" t="s">
        <v>791</v>
      </c>
      <c r="M1478" s="63" t="s">
        <v>1084</v>
      </c>
      <c r="N1478" s="63" t="s">
        <v>6117</v>
      </c>
      <c r="O1478" s="63" t="str">
        <f ca="1">IF(H1478&lt;&gt;"",IF(H1478&lt;=TODAY(),"SI","NO"),"LIMBO")</f>
        <v>SI</v>
      </c>
      <c r="P1478" s="63" t="str">
        <f>IF($P$1=H1478,"DIASOL", "DIANOSOL")</f>
        <v>DIANOSOL</v>
      </c>
      <c r="Q1478" s="63" t="s">
        <v>902</v>
      </c>
      <c r="R1478" s="63" t="str">
        <f>VLOOKUP($Q1478,Resultados!$A$1:$B$49,2,FALSE)</f>
        <v>Juicio Abreviado</v>
      </c>
      <c r="S1478" s="63"/>
      <c r="T1478" s="72" t="str">
        <f>IF(G1478=$J$1,"SI","NO")</f>
        <v>NO</v>
      </c>
      <c r="U1478" s="72"/>
      <c r="V1478" s="7" t="str">
        <f ca="1">IF(color_Celda(E1478)=12106214,"ROSA",IF(color_Celda(E1478)=65535,"AMARILLO",IF(color_Celda(E1478)=5296274,"VERDE",IF(color_Celda(E1478)=16777215,"BLANCO","NO SE"))))</f>
        <v>ROSA</v>
      </c>
      <c r="W1478" s="336"/>
      <c r="X1478" s="336"/>
      <c r="Y1478" s="336"/>
      <c r="Z1478" s="63" t="s">
        <v>748</v>
      </c>
      <c r="AA1478" s="63" t="s">
        <v>1167</v>
      </c>
      <c r="AB1478" s="63" t="s">
        <v>1171</v>
      </c>
      <c r="AC1478" s="336"/>
    </row>
    <row r="1479" spans="1:29" ht="60" customHeight="1">
      <c r="A1479" s="336">
        <v>1455</v>
      </c>
      <c r="B1479" s="349">
        <v>45317</v>
      </c>
      <c r="C1479" s="63" t="s">
        <v>1630</v>
      </c>
      <c r="D1479" s="63" t="s">
        <v>5611</v>
      </c>
      <c r="E1479" s="64" t="s">
        <v>5612</v>
      </c>
      <c r="F1479" s="336">
        <v>1</v>
      </c>
      <c r="G1479" s="63" t="s">
        <v>5709</v>
      </c>
      <c r="H1479" s="383">
        <v>45341</v>
      </c>
      <c r="I1479" s="65" t="s">
        <v>1083</v>
      </c>
      <c r="J1479" s="65" t="s">
        <v>1216</v>
      </c>
      <c r="K1479" s="336">
        <v>3</v>
      </c>
      <c r="L1479" s="63" t="s">
        <v>569</v>
      </c>
      <c r="M1479" s="63" t="s">
        <v>885</v>
      </c>
      <c r="N1479" s="63" t="s">
        <v>6118</v>
      </c>
      <c r="O1479" s="63" t="str">
        <f ca="1">IF(H1479&lt;&gt;"",IF(H1479&lt;=TODAY(),"SI","NO"),"LIMBO")</f>
        <v>SI</v>
      </c>
      <c r="P1479" s="63" t="str">
        <f>IF($P$1=H1479,"DIASOL", "DIANOSOL")</f>
        <v>DIANOSOL</v>
      </c>
      <c r="Q1479" s="63" t="s">
        <v>909</v>
      </c>
      <c r="R1479" s="63" t="str">
        <f>VLOOKUP($Q1479,Resultados!$A$1:$B$49,2,FALSE)</f>
        <v>Suspendida</v>
      </c>
      <c r="S1479" s="63"/>
      <c r="T1479" s="72" t="str">
        <f>IF(G1479=$J$1,"SI","NO")</f>
        <v>NO</v>
      </c>
      <c r="U1479" s="72"/>
      <c r="V1479" s="7" t="str">
        <f ca="1">IF(color_Celda(E1479)=12106214,"ROSA",IF(color_Celda(E1479)=65535,"AMARILLO",IF(color_Celda(E1479)=5296274,"VERDE",IF(color_Celda(E1479)=16777215,"BLANCO","NO SE"))))</f>
        <v>ROSA</v>
      </c>
      <c r="W1479" s="336"/>
      <c r="X1479" s="336"/>
      <c r="Y1479" s="336"/>
      <c r="Z1479" s="63" t="s">
        <v>748</v>
      </c>
      <c r="AA1479" s="63"/>
      <c r="AB1479" s="63" t="s">
        <v>1173</v>
      </c>
      <c r="AC1479" s="336"/>
    </row>
    <row r="1480" spans="1:29" ht="60" customHeight="1">
      <c r="A1480" s="336">
        <v>1460</v>
      </c>
      <c r="B1480" s="349">
        <v>45321</v>
      </c>
      <c r="C1480" s="63" t="s">
        <v>76</v>
      </c>
      <c r="D1480" s="63" t="s">
        <v>5618</v>
      </c>
      <c r="E1480" s="64" t="s">
        <v>5678</v>
      </c>
      <c r="F1480" s="336">
        <v>3</v>
      </c>
      <c r="G1480" s="63" t="s">
        <v>568</v>
      </c>
      <c r="H1480" s="383">
        <v>45341</v>
      </c>
      <c r="I1480" s="65" t="s">
        <v>1083</v>
      </c>
      <c r="J1480" s="65" t="s">
        <v>1217</v>
      </c>
      <c r="K1480" s="336">
        <f>IFERROR(VLOOKUP(J1480,Jueces!$A$1:$B$11,2,FALSE),"")</f>
        <v>7</v>
      </c>
      <c r="L1480" s="63" t="s">
        <v>4791</v>
      </c>
      <c r="M1480" s="63" t="s">
        <v>5992</v>
      </c>
      <c r="N1480" s="63" t="s">
        <v>6119</v>
      </c>
      <c r="O1480" s="63" t="str">
        <f ca="1">IF(H1480&lt;&gt;"",IF(H1480&lt;=TODAY(),"SI","NO"),"LIMBO")</f>
        <v>SI</v>
      </c>
      <c r="P1480" s="63" t="str">
        <f>IF($P$1=H1480,"DIASOL", "DIANOSOL")</f>
        <v>DIANOSOL</v>
      </c>
      <c r="Q1480" s="63" t="s">
        <v>907</v>
      </c>
      <c r="R1480" s="63" t="str">
        <f>VLOOKUP($Q1480,Resultados!$A$1:$B$49,2,FALSE)</f>
        <v>Suspensión de juicio a prueba</v>
      </c>
      <c r="S1480" s="63"/>
      <c r="T1480" s="72" t="str">
        <f>IF(G1480=$J$1,"SI","NO")</f>
        <v>NO</v>
      </c>
      <c r="U1480" s="72"/>
      <c r="V1480" s="7" t="str">
        <f ca="1">IF(color_Celda(E1480)=12106214,"ROSA",IF(color_Celda(E1480)=65535,"AMARILLO",IF(color_Celda(E1480)=5296274,"VERDE",IF(color_Celda(E1480)=16777215,"BLANCO","NO SE"))))</f>
        <v>ROSA</v>
      </c>
      <c r="W1480" s="336"/>
      <c r="X1480" s="336"/>
      <c r="Y1480" s="336"/>
      <c r="Z1480" s="63" t="s">
        <v>3368</v>
      </c>
      <c r="AA1480" s="63" t="s">
        <v>3379</v>
      </c>
      <c r="AB1480" s="63" t="s">
        <v>1169</v>
      </c>
      <c r="AC1480" s="336"/>
    </row>
    <row r="1481" spans="1:29" ht="60" customHeight="1">
      <c r="A1481" s="336">
        <v>1519</v>
      </c>
      <c r="B1481" s="349">
        <v>45329</v>
      </c>
      <c r="C1481" s="568">
        <v>0.41666666666666669</v>
      </c>
      <c r="D1481" s="63" t="s">
        <v>5816</v>
      </c>
      <c r="E1481" s="64" t="s">
        <v>5983</v>
      </c>
      <c r="F1481" s="336">
        <v>4</v>
      </c>
      <c r="G1481" s="63" t="s">
        <v>1435</v>
      </c>
      <c r="H1481" s="383">
        <v>45341</v>
      </c>
      <c r="I1481" s="65" t="s">
        <v>1083</v>
      </c>
      <c r="J1481" s="65" t="s">
        <v>1221</v>
      </c>
      <c r="K1481" s="336">
        <f>IFERROR(VLOOKUP(J1481,Jueces!$A$1:$B$11,2,FALSE),"")</f>
        <v>6</v>
      </c>
      <c r="L1481" s="63" t="s">
        <v>4788</v>
      </c>
      <c r="M1481" s="63" t="s">
        <v>693</v>
      </c>
      <c r="N1481" s="63" t="s">
        <v>6120</v>
      </c>
      <c r="O1481" s="63" t="str">
        <f ca="1">IF(H1481&lt;&gt;"",IF(H1481&lt;=TODAY(),"SI","NO"),"LIMBO")</f>
        <v>SI</v>
      </c>
      <c r="P1481" s="63" t="str">
        <f>IF($P$1=H1481,"DIASOL", "DIANOSOL")</f>
        <v>DIANOSOL</v>
      </c>
      <c r="Q1481" s="63" t="s">
        <v>900</v>
      </c>
      <c r="R1481" s="63" t="str">
        <f>VLOOKUP($Q1481,Resultados!$A$1:$B$49,2,FALSE)</f>
        <v>Libertad</v>
      </c>
      <c r="S1481" s="63"/>
      <c r="T1481" s="72" t="str">
        <f>IF(G1481=$J$1,"SI","NO")</f>
        <v>SI</v>
      </c>
      <c r="U1481" s="72"/>
      <c r="V1481" s="7" t="str">
        <f ca="1">IF(color_Celda(E1481)=12106214,"ROSA",IF(color_Celda(E1481)=65535,"AMARILLO",IF(color_Celda(E1481)=5296274,"VERDE",IF(color_Celda(E1481)=16777215,"BLANCO","NO SE"))))</f>
        <v>ROSA</v>
      </c>
      <c r="W1481" s="336"/>
      <c r="X1481" s="336"/>
      <c r="Y1481" s="336"/>
      <c r="Z1481" s="63" t="s">
        <v>743</v>
      </c>
      <c r="AA1481" s="63" t="s">
        <v>3379</v>
      </c>
      <c r="AB1481" s="63" t="s">
        <v>1170</v>
      </c>
      <c r="AC1481" s="336"/>
    </row>
    <row r="1482" spans="1:29" ht="60" customHeight="1">
      <c r="A1482" s="336">
        <v>1433</v>
      </c>
      <c r="B1482" s="349">
        <v>45316</v>
      </c>
      <c r="C1482" s="336" t="s">
        <v>1745</v>
      </c>
      <c r="D1482" s="63" t="s">
        <v>5562</v>
      </c>
      <c r="E1482" s="355" t="s">
        <v>5563</v>
      </c>
      <c r="F1482" s="336">
        <v>8</v>
      </c>
      <c r="G1482" s="63" t="s">
        <v>1433</v>
      </c>
      <c r="H1482" s="208">
        <v>45343</v>
      </c>
      <c r="I1482" s="65" t="s">
        <v>73</v>
      </c>
      <c r="J1482" s="65" t="s">
        <v>31</v>
      </c>
      <c r="K1482" s="336">
        <f>IFERROR(VLOOKUP(J1482,Jueces!$A$1:$B$11,2,FALSE),"")</f>
        <v>2</v>
      </c>
      <c r="L1482" s="63" t="s">
        <v>4778</v>
      </c>
      <c r="M1482" s="63" t="s">
        <v>711</v>
      </c>
      <c r="N1482" s="205" t="s">
        <v>151</v>
      </c>
      <c r="O1482" s="63" t="str">
        <f ca="1">IF(H1482&lt;&gt;"",IF(H1482&lt;=TODAY(),"SI","NO"),"LIMBO")</f>
        <v>SI</v>
      </c>
      <c r="P1482" s="63" t="str">
        <f>IF($P$1=H1482,"DIASOL", "DIANOSOL")</f>
        <v>DIANOSOL</v>
      </c>
      <c r="Q1482" s="63" t="s">
        <v>151</v>
      </c>
      <c r="R1482" s="63" t="str">
        <f>VLOOKUP($Q1482,Resultados!$A$1:$B$49,2,FALSE)</f>
        <v>Prisión Preventiva</v>
      </c>
      <c r="S1482" s="63"/>
      <c r="T1482" s="72" t="str">
        <f>IF(G1482=$J$1,"SI","NO")</f>
        <v>NO</v>
      </c>
      <c r="U1482" s="72"/>
      <c r="V1482" s="7" t="str">
        <f ca="1">IF(color_Celda(E1482)=12106214,"ROSA",IF(color_Celda(E1482)=65535,"AMARILLO",IF(color_Celda(E1482)=5296274,"VERDE",IF(color_Celda(E1482)=16777215,"BLANCO","NO SE"))))</f>
        <v>ROSA</v>
      </c>
      <c r="W1482" s="336"/>
      <c r="X1482" s="336"/>
      <c r="Y1482" s="336"/>
      <c r="Z1482" s="336" t="s">
        <v>748</v>
      </c>
      <c r="AA1482" s="63" t="s">
        <v>3379</v>
      </c>
      <c r="AB1482" s="63" t="s">
        <v>1169</v>
      </c>
      <c r="AC1482" s="336"/>
    </row>
    <row r="1483" spans="1:29" ht="60" customHeight="1">
      <c r="A1483" s="336">
        <v>1477</v>
      </c>
      <c r="B1483" s="349">
        <v>45323</v>
      </c>
      <c r="C1483" s="568">
        <v>0.4201388888888889</v>
      </c>
      <c r="D1483" s="325" t="s">
        <v>3982</v>
      </c>
      <c r="E1483" s="355" t="s">
        <v>4033</v>
      </c>
      <c r="F1483" s="336">
        <v>3</v>
      </c>
      <c r="G1483" s="336" t="s">
        <v>3324</v>
      </c>
      <c r="H1483" s="383">
        <v>45343</v>
      </c>
      <c r="I1483" s="65" t="s">
        <v>73</v>
      </c>
      <c r="J1483" s="349" t="s">
        <v>4746</v>
      </c>
      <c r="K1483" s="63" t="s">
        <v>4179</v>
      </c>
      <c r="L1483" s="63" t="s">
        <v>2715</v>
      </c>
      <c r="M1483" s="63" t="s">
        <v>4034</v>
      </c>
      <c r="N1483" s="63" t="s">
        <v>6028</v>
      </c>
      <c r="O1483" s="63" t="str">
        <f ca="1">IF(H1483&lt;&gt;"",IF(H1483&lt;=TODAY(),"SI","NO"),"LIMBO")</f>
        <v>SI</v>
      </c>
      <c r="P1483" s="63" t="str">
        <f>IF($P$1=H1483,"DIASOL", "DIANOSOL")</f>
        <v>DIANOSOL</v>
      </c>
      <c r="Q1483" s="63" t="s">
        <v>897</v>
      </c>
      <c r="R1483" s="63" t="str">
        <f>VLOOKUP($Q1483,Resultados!$A$1:$B$49,2,FALSE)</f>
        <v>Libertad</v>
      </c>
      <c r="S1483" s="63"/>
      <c r="T1483" s="72" t="str">
        <f>IF(G1483=$J$1,"SI","NO")</f>
        <v>NO</v>
      </c>
      <c r="U1483" s="72"/>
      <c r="V1483" s="7" t="str">
        <f ca="1">IF(color_Celda(E1483)=12106214,"ROSA",IF(color_Celda(E1483)=65535,"AMARILLO",IF(color_Celda(E1483)=5296274,"VERDE",IF(color_Celda(E1483)=16777215,"BLANCO","NO SE"))))</f>
        <v>ROSA</v>
      </c>
      <c r="W1483" s="336"/>
      <c r="X1483" s="336"/>
      <c r="Y1483" s="336"/>
      <c r="Z1483" s="336" t="s">
        <v>743</v>
      </c>
      <c r="AA1483" s="63" t="s">
        <v>2828</v>
      </c>
      <c r="AB1483" s="63" t="s">
        <v>5776</v>
      </c>
      <c r="AC1483" s="336" t="s">
        <v>1792</v>
      </c>
    </row>
    <row r="1484" spans="1:29" ht="60" customHeight="1">
      <c r="A1484" s="336">
        <v>1481</v>
      </c>
      <c r="B1484" s="349">
        <v>45324</v>
      </c>
      <c r="C1484" s="568">
        <v>0.5</v>
      </c>
      <c r="D1484" s="63" t="s">
        <v>5743</v>
      </c>
      <c r="E1484" s="355" t="s">
        <v>5744</v>
      </c>
      <c r="F1484" s="336">
        <v>3</v>
      </c>
      <c r="G1484" s="63" t="s">
        <v>1434</v>
      </c>
      <c r="H1484" s="383">
        <v>45343</v>
      </c>
      <c r="I1484" s="65" t="s">
        <v>73</v>
      </c>
      <c r="J1484" s="65" t="s">
        <v>4931</v>
      </c>
      <c r="K1484" s="63" t="s">
        <v>1982</v>
      </c>
      <c r="L1484" s="63" t="s">
        <v>569</v>
      </c>
      <c r="M1484" s="63" t="s">
        <v>692</v>
      </c>
      <c r="N1484" s="63" t="s">
        <v>6121</v>
      </c>
      <c r="O1484" s="63" t="str">
        <f ca="1">IF(H1484&lt;&gt;"",IF(H1484&lt;=TODAY(),"SI","NO"),"LIMBO")</f>
        <v>SI</v>
      </c>
      <c r="P1484" s="63" t="str">
        <f>IF($P$1=H1484,"DIASOL", "DIANOSOL")</f>
        <v>DIANOSOL</v>
      </c>
      <c r="Q1484" s="63" t="s">
        <v>902</v>
      </c>
      <c r="R1484" s="63" t="s">
        <v>100</v>
      </c>
      <c r="S1484" s="63"/>
      <c r="T1484" s="72" t="str">
        <f>IF(G1484=$J$1,"SI","NO")</f>
        <v>NO</v>
      </c>
      <c r="U1484" s="72"/>
      <c r="V1484" s="7" t="str">
        <f ca="1">IF(color_Celda(E1484)=12106214,"ROSA",IF(color_Celda(E1484)=65535,"AMARILLO",IF(color_Celda(E1484)=5296274,"VERDE",IF(color_Celda(E1484)=16777215,"BLANCO","NO SE"))))</f>
        <v>ROSA</v>
      </c>
      <c r="W1484" s="336"/>
      <c r="X1484" s="336"/>
      <c r="Y1484" s="336"/>
      <c r="Z1484" s="336" t="s">
        <v>1039</v>
      </c>
      <c r="AA1484" s="336"/>
      <c r="AB1484" s="63" t="s">
        <v>3258</v>
      </c>
      <c r="AC1484" s="336"/>
    </row>
    <row r="1485" spans="1:29" ht="60" customHeight="1">
      <c r="A1485" s="336">
        <v>1492</v>
      </c>
      <c r="B1485" s="349">
        <v>45324</v>
      </c>
      <c r="C1485" s="568">
        <v>0.53125</v>
      </c>
      <c r="D1485" s="63" t="s">
        <v>5760</v>
      </c>
      <c r="E1485" s="64" t="s">
        <v>5761</v>
      </c>
      <c r="F1485" s="336">
        <v>7</v>
      </c>
      <c r="G1485" s="63" t="s">
        <v>29</v>
      </c>
      <c r="H1485" s="383">
        <v>45343</v>
      </c>
      <c r="I1485" s="65" t="s">
        <v>73</v>
      </c>
      <c r="J1485" s="65" t="s">
        <v>1217</v>
      </c>
      <c r="K1485" s="336">
        <f>IFERROR(VLOOKUP(J1485,Jueces!$A$1:$B$11,2,FALSE),"")</f>
        <v>7</v>
      </c>
      <c r="L1485" s="63" t="s">
        <v>789</v>
      </c>
      <c r="M1485" s="63" t="s">
        <v>885</v>
      </c>
      <c r="N1485" s="63" t="s">
        <v>6122</v>
      </c>
      <c r="O1485" s="63" t="str">
        <f ca="1">IF(H1485&lt;&gt;"",IF(H1485&lt;=TODAY(),"SI","NO"),"LIMBO")</f>
        <v>SI</v>
      </c>
      <c r="P1485" s="63" t="str">
        <f>IF($P$1=H1485,"DIASOL", "DIANOSOL")</f>
        <v>DIANOSOL</v>
      </c>
      <c r="Q1485" s="63" t="s">
        <v>902</v>
      </c>
      <c r="R1485" s="63" t="s">
        <v>100</v>
      </c>
      <c r="S1485" s="63"/>
      <c r="T1485" s="72" t="str">
        <f>IF(G1485=$J$1,"SI","NO")</f>
        <v>NO</v>
      </c>
      <c r="U1485" s="72"/>
      <c r="V1485" s="7" t="str">
        <f ca="1">IF(color_Celda(E1485)=12106214,"ROSA",IF(color_Celda(E1485)=65535,"AMARILLO",IF(color_Celda(E1485)=5296274,"VERDE",IF(color_Celda(E1485)=16777215,"BLANCO","NO SE"))))</f>
        <v>ROSA</v>
      </c>
      <c r="W1485" s="336"/>
      <c r="X1485" s="336"/>
      <c r="Y1485" s="336"/>
      <c r="Z1485" s="63" t="s">
        <v>6050</v>
      </c>
      <c r="AA1485" s="63" t="s">
        <v>3378</v>
      </c>
      <c r="AB1485" s="63" t="s">
        <v>1171</v>
      </c>
      <c r="AC1485" s="336"/>
    </row>
    <row r="1486" spans="1:29" ht="60" customHeight="1">
      <c r="A1486" s="336">
        <v>1518</v>
      </c>
      <c r="B1486" s="349">
        <v>45329</v>
      </c>
      <c r="C1486" s="568">
        <v>0.42569444444444443</v>
      </c>
      <c r="D1486" s="336" t="s">
        <v>3615</v>
      </c>
      <c r="E1486" s="355" t="s">
        <v>3616</v>
      </c>
      <c r="F1486" s="336">
        <v>3</v>
      </c>
      <c r="G1486" s="63" t="s">
        <v>2752</v>
      </c>
      <c r="H1486" s="383">
        <v>45343</v>
      </c>
      <c r="I1486" s="65" t="s">
        <v>73</v>
      </c>
      <c r="J1486" s="349" t="s">
        <v>33</v>
      </c>
      <c r="K1486" s="336">
        <f>IFERROR(VLOOKUP(J1486,Jueces!$A$1:$B$11,2,FALSE),"")</f>
        <v>4</v>
      </c>
      <c r="L1486" s="63" t="s">
        <v>807</v>
      </c>
      <c r="M1486" s="339" t="s">
        <v>4871</v>
      </c>
      <c r="N1486" s="63" t="s">
        <v>6123</v>
      </c>
      <c r="O1486" s="63" t="str">
        <f ca="1">IF(H1486&lt;&gt;"",IF(H1486&lt;=TODAY(),"SI","NO"),"LIMBO")</f>
        <v>SI</v>
      </c>
      <c r="P1486" s="63" t="str">
        <f>IF($P$1=H1486,"DIASOL", "DIANOSOL")</f>
        <v>DIANOSOL</v>
      </c>
      <c r="Q1486" s="63" t="s">
        <v>902</v>
      </c>
      <c r="R1486" s="63" t="s">
        <v>100</v>
      </c>
      <c r="S1486" s="63"/>
      <c r="T1486" s="72" t="str">
        <f>IF(G1486=$J$1,"SI","NO")</f>
        <v>NO</v>
      </c>
      <c r="U1486" s="72"/>
      <c r="V1486" s="7" t="str">
        <f ca="1">IF(color_Celda(E1486)=12106214,"ROSA",IF(color_Celda(E1486)=65535,"AMARILLO",IF(color_Celda(E1486)=5296274,"VERDE",IF(color_Celda(E1486)=16777215,"BLANCO","NO SE"))))</f>
        <v>ROSA</v>
      </c>
      <c r="W1486" s="336"/>
      <c r="X1486" s="336"/>
      <c r="Y1486" s="336"/>
      <c r="Z1486" s="336" t="s">
        <v>1038</v>
      </c>
      <c r="AA1486" s="63" t="s">
        <v>1167</v>
      </c>
      <c r="AB1486" s="63" t="s">
        <v>1173</v>
      </c>
      <c r="AC1486" s="336"/>
    </row>
    <row r="1487" spans="1:29" ht="60" customHeight="1">
      <c r="A1487" s="336">
        <v>1523</v>
      </c>
      <c r="B1487" s="65">
        <v>45329</v>
      </c>
      <c r="C1487" s="568">
        <v>0.4597222222222222</v>
      </c>
      <c r="D1487" s="63" t="s">
        <v>5822</v>
      </c>
      <c r="E1487" s="355" t="s">
        <v>5819</v>
      </c>
      <c r="F1487" s="336">
        <v>4</v>
      </c>
      <c r="G1487" s="63" t="s">
        <v>2766</v>
      </c>
      <c r="H1487" s="383">
        <v>45343</v>
      </c>
      <c r="I1487" s="65" t="s">
        <v>73</v>
      </c>
      <c r="J1487" s="65" t="s">
        <v>4932</v>
      </c>
      <c r="K1487" s="63" t="s">
        <v>3776</v>
      </c>
      <c r="L1487" s="63" t="s">
        <v>4791</v>
      </c>
      <c r="M1487" s="63" t="s">
        <v>693</v>
      </c>
      <c r="N1487" s="63" t="s">
        <v>151</v>
      </c>
      <c r="O1487" s="63" t="str">
        <f ca="1">IF(H1487&lt;&gt;"",IF(H1487&lt;=TODAY(),"SI","NO"),"LIMBO")</f>
        <v>SI</v>
      </c>
      <c r="P1487" s="63" t="str">
        <f>IF($P$1=H1487,"DIASOL", "DIANOSOL")</f>
        <v>DIANOSOL</v>
      </c>
      <c r="Q1487" s="63" t="s">
        <v>151</v>
      </c>
      <c r="R1487" s="63" t="s">
        <v>151</v>
      </c>
      <c r="S1487" s="63"/>
      <c r="T1487" s="72" t="str">
        <f>IF(G1487=$J$1,"SI","NO")</f>
        <v>NO</v>
      </c>
      <c r="U1487" s="72"/>
      <c r="V1487" s="7" t="str">
        <f ca="1">IF(color_Celda(E1487)=12106214,"ROSA",IF(color_Celda(E1487)=65535,"AMARILLO",IF(color_Celda(E1487)=5296274,"VERDE",IF(color_Celda(E1487)=16777215,"BLANCO","NO SE"))))</f>
        <v>ROSA</v>
      </c>
      <c r="W1487" s="336"/>
      <c r="X1487" s="336"/>
      <c r="Y1487" s="336"/>
      <c r="Z1487" s="336" t="s">
        <v>770</v>
      </c>
      <c r="AA1487" s="63" t="s">
        <v>2869</v>
      </c>
      <c r="AB1487" s="63" t="s">
        <v>1170</v>
      </c>
      <c r="AC1487" s="336"/>
    </row>
    <row r="1488" spans="1:29" ht="60" customHeight="1">
      <c r="A1488" s="336">
        <v>1526</v>
      </c>
      <c r="B1488" s="349">
        <v>45330</v>
      </c>
      <c r="C1488" s="568">
        <v>0.41666666666666669</v>
      </c>
      <c r="D1488" s="63" t="s">
        <v>5830</v>
      </c>
      <c r="E1488" s="413" t="s">
        <v>5829</v>
      </c>
      <c r="F1488" s="336">
        <v>3</v>
      </c>
      <c r="G1488" s="63" t="s">
        <v>568</v>
      </c>
      <c r="H1488" s="383">
        <v>45343</v>
      </c>
      <c r="I1488" s="65" t="s">
        <v>73</v>
      </c>
      <c r="J1488" s="65" t="s">
        <v>35</v>
      </c>
      <c r="K1488" s="336">
        <f>IFERROR(VLOOKUP(J1488,Jueces!$A$1:$B$11,2,FALSE),"")</f>
        <v>3</v>
      </c>
      <c r="L1488" s="63" t="s">
        <v>4776</v>
      </c>
      <c r="M1488" s="335" t="s">
        <v>3381</v>
      </c>
      <c r="N1488" s="63" t="s">
        <v>6124</v>
      </c>
      <c r="O1488" s="63" t="str">
        <f ca="1">IF(H1488&lt;&gt;"",IF(H1488&lt;=TODAY(),"SI","NO"),"LIMBO")</f>
        <v>SI</v>
      </c>
      <c r="P1488" s="63" t="str">
        <f>IF($P$1=H1488,"DIASOL", "DIANOSOL")</f>
        <v>DIANOSOL</v>
      </c>
      <c r="Q1488" s="63" t="s">
        <v>151</v>
      </c>
      <c r="R1488" s="63" t="s">
        <v>151</v>
      </c>
      <c r="S1488" s="63"/>
      <c r="T1488" s="72" t="str">
        <f>IF(G1488=$J$1,"SI","NO")</f>
        <v>NO</v>
      </c>
      <c r="U1488" s="72"/>
      <c r="V1488" s="7" t="str">
        <f ca="1">IF(color_Celda(E1488)=12106214,"ROSA",IF(color_Celda(E1488)=65535,"AMARILLO",IF(color_Celda(E1488)=5296274,"VERDE",IF(color_Celda(E1488)=16777215,"BLANCO","NO SE"))))</f>
        <v>ROSA</v>
      </c>
      <c r="W1488" s="336"/>
      <c r="X1488" s="336"/>
      <c r="Y1488" s="336"/>
      <c r="Z1488" s="336" t="s">
        <v>3368</v>
      </c>
      <c r="AA1488" s="63" t="s">
        <v>3379</v>
      </c>
      <c r="AB1488" s="63" t="s">
        <v>1169</v>
      </c>
      <c r="AC1488" s="336"/>
    </row>
    <row r="1489" spans="1:29" ht="60" customHeight="1">
      <c r="A1489" s="336">
        <v>1478</v>
      </c>
      <c r="B1489" s="349">
        <v>45324</v>
      </c>
      <c r="C1489" s="568">
        <v>0.35416666666666669</v>
      </c>
      <c r="D1489" s="63" t="s">
        <v>5714</v>
      </c>
      <c r="E1489" s="413" t="s">
        <v>5715</v>
      </c>
      <c r="F1489" s="336">
        <v>3</v>
      </c>
      <c r="G1489" s="63" t="s">
        <v>3323</v>
      </c>
      <c r="H1489" s="383">
        <v>45343</v>
      </c>
      <c r="I1489" s="65" t="s">
        <v>1083</v>
      </c>
      <c r="J1489" s="65" t="s">
        <v>1216</v>
      </c>
      <c r="K1489" s="336">
        <f>IFERROR(VLOOKUP(J1489,Jueces!$A$1:$B$11,2,FALSE),"")</f>
        <v>1</v>
      </c>
      <c r="L1489" s="63" t="s">
        <v>4778</v>
      </c>
      <c r="M1489" s="63" t="s">
        <v>5992</v>
      </c>
      <c r="N1489" s="63" t="s">
        <v>5648</v>
      </c>
      <c r="O1489" s="63" t="str">
        <f ca="1">IF(H1489&lt;&gt;"",IF(H1489&lt;=TODAY(),"SI","NO"),"LIMBO")</f>
        <v>SI</v>
      </c>
      <c r="P1489" s="63" t="str">
        <f>IF($P$1=H1489,"DIASOL", "DIANOSOL")</f>
        <v>DIANOSOL</v>
      </c>
      <c r="Q1489" s="63" t="s">
        <v>151</v>
      </c>
      <c r="R1489" s="63" t="s">
        <v>151</v>
      </c>
      <c r="S1489" s="63"/>
      <c r="T1489" s="72" t="str">
        <f>IF(G1489=$J$1,"SI","NO")</f>
        <v>NO</v>
      </c>
      <c r="U1489" s="72"/>
      <c r="V1489" s="7" t="str">
        <f ca="1">IF(color_Celda(E1489)=12106214,"ROSA",IF(color_Celda(E1489)=65535,"AMARILLO",IF(color_Celda(E1489)=5296274,"VERDE",IF(color_Celda(E1489)=16777215,"BLANCO","NO SE"))))</f>
        <v>ROSA</v>
      </c>
      <c r="W1489" s="336"/>
      <c r="X1489" s="336"/>
      <c r="Y1489" s="336"/>
      <c r="Z1489" s="336" t="s">
        <v>770</v>
      </c>
      <c r="AA1489" s="63" t="s">
        <v>4561</v>
      </c>
      <c r="AB1489" s="63" t="s">
        <v>5776</v>
      </c>
      <c r="AC1489" s="336"/>
    </row>
    <row r="1490" spans="1:29" ht="60" customHeight="1">
      <c r="A1490" s="336">
        <v>1548</v>
      </c>
      <c r="B1490" s="349">
        <v>45331</v>
      </c>
      <c r="C1490" s="568">
        <v>0.48402777777777778</v>
      </c>
      <c r="D1490" s="63" t="s">
        <v>5991</v>
      </c>
      <c r="E1490" s="355" t="s">
        <v>5939</v>
      </c>
      <c r="F1490" s="336">
        <v>3</v>
      </c>
      <c r="G1490" s="336" t="s">
        <v>1433</v>
      </c>
      <c r="H1490" s="383">
        <v>45343</v>
      </c>
      <c r="I1490" s="65" t="s">
        <v>1083</v>
      </c>
      <c r="J1490" s="349" t="s">
        <v>31</v>
      </c>
      <c r="K1490" s="336">
        <v>2</v>
      </c>
      <c r="L1490" s="63" t="s">
        <v>4780</v>
      </c>
      <c r="M1490" s="63" t="s">
        <v>693</v>
      </c>
      <c r="N1490" s="63" t="s">
        <v>6114</v>
      </c>
      <c r="O1490" s="63" t="str">
        <f ca="1">IF(H1490&lt;&gt;"",IF(H1490&lt;=TODAY(),"SI","NO"),"LIMBO")</f>
        <v>SI</v>
      </c>
      <c r="P1490" s="63" t="str">
        <f>IF($P$1=H1490,"DIASOL", "DIANOSOL")</f>
        <v>DIANOSOL</v>
      </c>
      <c r="Q1490" s="63" t="s">
        <v>903</v>
      </c>
      <c r="R1490" s="63" t="s">
        <v>100</v>
      </c>
      <c r="S1490" s="63"/>
      <c r="T1490" s="72" t="str">
        <f>IF(G1490=$J$1,"SI","NO")</f>
        <v>NO</v>
      </c>
      <c r="U1490" s="72"/>
      <c r="V1490" s="7" t="str">
        <f ca="1">IF(color_Celda(E1490)=12106214,"ROSA",IF(color_Celda(E1490)=65535,"AMARILLO",IF(color_Celda(E1490)=5296274,"VERDE",IF(color_Celda(E1490)=16777215,"BLANCO","NO SE"))))</f>
        <v>ROSA</v>
      </c>
      <c r="W1490" s="336"/>
      <c r="X1490" s="336"/>
      <c r="Y1490" s="336"/>
      <c r="Z1490" s="336" t="s">
        <v>748</v>
      </c>
      <c r="AA1490" s="63" t="s">
        <v>1167</v>
      </c>
      <c r="AB1490" s="63" t="s">
        <v>3258</v>
      </c>
      <c r="AC1490" s="336"/>
    </row>
    <row r="1491" spans="1:29" ht="60" customHeight="1">
      <c r="A1491" s="336">
        <v>1480</v>
      </c>
      <c r="B1491" s="349">
        <v>45324</v>
      </c>
      <c r="C1491" s="568">
        <v>0.43472222222222223</v>
      </c>
      <c r="D1491" s="63" t="s">
        <v>5722</v>
      </c>
      <c r="E1491" s="64" t="s">
        <v>5723</v>
      </c>
      <c r="F1491" s="336">
        <v>3</v>
      </c>
      <c r="G1491" s="63" t="s">
        <v>5709</v>
      </c>
      <c r="H1491" s="383">
        <v>45343</v>
      </c>
      <c r="I1491" s="65" t="s">
        <v>547</v>
      </c>
      <c r="J1491" s="65" t="s">
        <v>78</v>
      </c>
      <c r="K1491" s="336">
        <f>IFERROR(VLOOKUP(J1491,Jueces!$A$1:$B$11,2,FALSE),"")</f>
        <v>8</v>
      </c>
      <c r="L1491" s="63" t="s">
        <v>4781</v>
      </c>
      <c r="M1491" s="63" t="s">
        <v>693</v>
      </c>
      <c r="N1491" s="63" t="s">
        <v>6255</v>
      </c>
      <c r="O1491" s="63" t="str">
        <f ca="1">IF(H1491&lt;&gt;"",IF(H1491&lt;=TODAY(),"SI","NO"),"LIMBO")</f>
        <v>SI</v>
      </c>
      <c r="P1491" s="63" t="str">
        <f>IF($P$1=H1491,"DIASOL", "DIANOSOL")</f>
        <v>DIANOSOL</v>
      </c>
      <c r="Q1491" s="63" t="s">
        <v>151</v>
      </c>
      <c r="R1491" s="63" t="str">
        <f>VLOOKUP($Q1491,Resultados!$A$1:$B$49,2,FALSE)</f>
        <v>Prisión Preventiva</v>
      </c>
      <c r="S1491" s="63"/>
      <c r="T1491" s="72" t="str">
        <f>IF(G1491=$J$1,"SI","NO")</f>
        <v>NO</v>
      </c>
      <c r="U1491" s="72"/>
      <c r="V1491" s="7" t="str">
        <f ca="1">IF(color_Celda(E1491)=12106214,"ROSA",IF(color_Celda(E1491)=65535,"AMARILLO",IF(color_Celda(E1491)=5296274,"VERDE",IF(color_Celda(E1491)=16777215,"BLANCO","NO SE"))))</f>
        <v>ROSA</v>
      </c>
      <c r="W1491" s="336"/>
      <c r="X1491" s="336"/>
      <c r="Y1491" s="336"/>
      <c r="Z1491" s="336" t="s">
        <v>3368</v>
      </c>
      <c r="AA1491" s="63" t="s">
        <v>2869</v>
      </c>
      <c r="AB1491" s="63" t="s">
        <v>1171</v>
      </c>
      <c r="AC1491" s="336"/>
    </row>
    <row r="1492" spans="1:29" ht="60" customHeight="1">
      <c r="A1492" s="336">
        <v>1484</v>
      </c>
      <c r="B1492" s="349">
        <v>45327</v>
      </c>
      <c r="C1492" s="568">
        <v>0.33333333333333331</v>
      </c>
      <c r="D1492" s="63" t="s">
        <v>5747</v>
      </c>
      <c r="E1492" s="64" t="s">
        <v>5748</v>
      </c>
      <c r="F1492" s="336">
        <v>3</v>
      </c>
      <c r="G1492" s="63" t="s">
        <v>1435</v>
      </c>
      <c r="H1492" s="383">
        <v>45343</v>
      </c>
      <c r="I1492" s="65" t="s">
        <v>1554</v>
      </c>
      <c r="J1492" s="65" t="s">
        <v>33</v>
      </c>
      <c r="K1492" s="336">
        <v>4</v>
      </c>
      <c r="L1492" s="63" t="s">
        <v>4789</v>
      </c>
      <c r="M1492" s="63" t="s">
        <v>693</v>
      </c>
      <c r="N1492" s="63" t="s">
        <v>6125</v>
      </c>
      <c r="O1492" s="63" t="str">
        <f ca="1">IF(H1492&lt;&gt;"",IF(H1492&lt;=TODAY(),"SI","NO"),"LIMBO")</f>
        <v>SI</v>
      </c>
      <c r="P1492" s="63" t="str">
        <f>IF($P$1=H1492,"DIASOL", "DIANOSOL")</f>
        <v>DIANOSOL</v>
      </c>
      <c r="Q1492" s="63" t="s">
        <v>903</v>
      </c>
      <c r="R1492" s="63" t="str">
        <f>VLOOKUP($Q1492,Resultados!$A$1:$B$49,2,FALSE)</f>
        <v>Juicio Abreviado</v>
      </c>
      <c r="S1492" s="63"/>
      <c r="T1492" s="72" t="str">
        <f>IF(G1492=$J$1,"SI","NO")</f>
        <v>SI</v>
      </c>
      <c r="U1492" s="72"/>
      <c r="V1492" s="7" t="str">
        <f ca="1">IF(color_Celda(E1492)=12106214,"ROSA",IF(color_Celda(E1492)=65535,"AMARILLO",IF(color_Celda(E1492)=5296274,"VERDE",IF(color_Celda(E1492)=16777215,"BLANCO","NO SE"))))</f>
        <v>ROSA</v>
      </c>
      <c r="W1492" s="336"/>
      <c r="X1492" s="336"/>
      <c r="Y1492" s="336"/>
      <c r="Z1492" s="336" t="s">
        <v>770</v>
      </c>
      <c r="AA1492" s="63" t="s">
        <v>3378</v>
      </c>
      <c r="AB1492" s="63" t="s">
        <v>1173</v>
      </c>
      <c r="AC1492" s="336"/>
    </row>
    <row r="1493" spans="1:29" ht="60" customHeight="1">
      <c r="A1493" s="336">
        <v>1470</v>
      </c>
      <c r="B1493" s="349">
        <v>45322</v>
      </c>
      <c r="C1493" s="568">
        <v>0.41666666666666669</v>
      </c>
      <c r="D1493" s="63" t="s">
        <v>5687</v>
      </c>
      <c r="E1493" s="64" t="s">
        <v>5688</v>
      </c>
      <c r="F1493" s="336">
        <v>2</v>
      </c>
      <c r="G1493" s="63" t="s">
        <v>5710</v>
      </c>
      <c r="H1493" s="383">
        <v>45344</v>
      </c>
      <c r="I1493" s="65" t="s">
        <v>73</v>
      </c>
      <c r="J1493" s="65" t="s">
        <v>31</v>
      </c>
      <c r="K1493" s="336">
        <f>IFERROR(VLOOKUP(J1493,Jueces!$A$1:$B$11,2,FALSE),"")</f>
        <v>2</v>
      </c>
      <c r="L1493" s="63" t="s">
        <v>789</v>
      </c>
      <c r="M1493" s="63" t="s">
        <v>711</v>
      </c>
      <c r="N1493" s="63" t="s">
        <v>6156</v>
      </c>
      <c r="O1493" s="78" t="str">
        <f ca="1">IF(H1493&lt;&gt;"",IF(H1493&lt;=TODAY(),"SI","NO"),"LIMBO")</f>
        <v>SI</v>
      </c>
      <c r="P1493" s="78" t="str">
        <f>IF($P$1=H1493,"DIASOL", "DIANOSOL")</f>
        <v>DIANOSOL</v>
      </c>
      <c r="Q1493" s="63" t="s">
        <v>902</v>
      </c>
      <c r="R1493" s="63" t="str">
        <f>VLOOKUP($Q1493,Resultados!$A$1:$B$49,2,FALSE)</f>
        <v>Juicio Abreviado</v>
      </c>
      <c r="S1493" s="63"/>
      <c r="T1493" s="81" t="str">
        <f>IF(G1493=$J$1,"SI","NO")</f>
        <v>NO</v>
      </c>
      <c r="U1493" s="81"/>
      <c r="V1493" s="7" t="str">
        <f ca="1">IF(color_Celda(E1493)=12106214,"ROSA",IF(color_Celda(E1493)=65535,"AMARILLO",IF(color_Celda(E1493)=5296274,"VERDE",IF(color_Celda(E1493)=16777215,"BLANCO","NO SE"))))</f>
        <v>ROSA</v>
      </c>
      <c r="W1493" s="336"/>
      <c r="X1493" s="336"/>
      <c r="Y1493" s="336"/>
      <c r="Z1493" s="336"/>
      <c r="AA1493" s="63" t="s">
        <v>3378</v>
      </c>
      <c r="AB1493" s="336"/>
      <c r="AC1493" s="336"/>
    </row>
    <row r="1494" spans="1:29" ht="60" customHeight="1">
      <c r="A1494" s="336">
        <v>1471</v>
      </c>
      <c r="B1494" s="349">
        <v>45323</v>
      </c>
      <c r="C1494" s="568">
        <v>0.3611111111111111</v>
      </c>
      <c r="D1494" s="63" t="s">
        <v>5689</v>
      </c>
      <c r="E1494" s="64" t="s">
        <v>5690</v>
      </c>
      <c r="F1494" s="336">
        <v>3</v>
      </c>
      <c r="G1494" s="63" t="s">
        <v>568</v>
      </c>
      <c r="H1494" s="383">
        <v>45344</v>
      </c>
      <c r="I1494" s="65" t="s">
        <v>73</v>
      </c>
      <c r="J1494" s="65" t="s">
        <v>4746</v>
      </c>
      <c r="K1494" s="63" t="s">
        <v>1341</v>
      </c>
      <c r="L1494" s="63" t="s">
        <v>4789</v>
      </c>
      <c r="M1494" s="63" t="s">
        <v>5992</v>
      </c>
      <c r="N1494" s="63" t="s">
        <v>6158</v>
      </c>
      <c r="O1494" s="78" t="str">
        <f ca="1">IF(H1494&lt;&gt;"",IF(H1494&lt;=TODAY(),"SI","NO"),"LIMBO")</f>
        <v>SI</v>
      </c>
      <c r="P1494" s="78" t="str">
        <f>IF($P$1=H1494,"DIASOL", "DIANOSOL")</f>
        <v>DIANOSOL</v>
      </c>
      <c r="Q1494" s="63" t="s">
        <v>897</v>
      </c>
      <c r="R1494" s="63" t="str">
        <f>VLOOKUP($Q1494,Resultados!$A$1:$B$49,2,FALSE)</f>
        <v>Libertad</v>
      </c>
      <c r="S1494" s="63"/>
      <c r="T1494" s="81" t="str">
        <f>IF(G1494=$J$1,"SI","NO")</f>
        <v>NO</v>
      </c>
      <c r="U1494" s="81"/>
      <c r="V1494" s="7" t="str">
        <f ca="1">IF(color_Celda(E1494)=12106214,"ROSA",IF(color_Celda(E1494)=65535,"AMARILLO",IF(color_Celda(E1494)=5296274,"VERDE",IF(color_Celda(E1494)=16777215,"BLANCO","NO SE"))))</f>
        <v>ROSA</v>
      </c>
      <c r="W1494" s="336"/>
      <c r="X1494" s="336"/>
      <c r="Y1494" s="336"/>
      <c r="Z1494" s="336"/>
      <c r="AA1494" s="63" t="s">
        <v>1165</v>
      </c>
      <c r="AB1494" s="336"/>
      <c r="AC1494" s="336"/>
    </row>
    <row r="1495" spans="1:29" ht="60" customHeight="1">
      <c r="A1495" s="336">
        <v>1479</v>
      </c>
      <c r="B1495" s="349">
        <v>45324</v>
      </c>
      <c r="C1495" s="63" t="s">
        <v>5719</v>
      </c>
      <c r="D1495" s="63" t="s">
        <v>5720</v>
      </c>
      <c r="E1495" s="64" t="s">
        <v>5721</v>
      </c>
      <c r="F1495" s="336">
        <v>3</v>
      </c>
      <c r="G1495" s="336" t="s">
        <v>29</v>
      </c>
      <c r="H1495" s="383">
        <v>45344</v>
      </c>
      <c r="I1495" s="65" t="s">
        <v>73</v>
      </c>
      <c r="J1495" s="349" t="s">
        <v>4932</v>
      </c>
      <c r="K1495" s="63" t="s">
        <v>2324</v>
      </c>
      <c r="L1495" s="63" t="s">
        <v>4778</v>
      </c>
      <c r="M1495" s="63" t="s">
        <v>692</v>
      </c>
      <c r="N1495" s="63" t="s">
        <v>6161</v>
      </c>
      <c r="O1495" s="78" t="str">
        <f ca="1">IF(H1495&lt;&gt;"",IF(H1495&lt;=TODAY(),"SI","NO"),"LIMBO")</f>
        <v>SI</v>
      </c>
      <c r="P1495" s="78" t="str">
        <f>IF($P$1=H1495,"DIASOL", "DIANOSOL")</f>
        <v>DIANOSOL</v>
      </c>
      <c r="Q1495" s="63" t="s">
        <v>903</v>
      </c>
      <c r="R1495" s="63" t="str">
        <f>VLOOKUP($Q1495,Resultados!$A$1:$B$49,2,FALSE)</f>
        <v>Juicio Abreviado</v>
      </c>
      <c r="S1495" s="63"/>
      <c r="T1495" s="81" t="str">
        <f>IF(G1495=$J$1,"SI","NO")</f>
        <v>NO</v>
      </c>
      <c r="U1495" s="81"/>
      <c r="V1495" s="7" t="str">
        <f ca="1">IF(color_Celda(E1495)=12106214,"ROSA",IF(color_Celda(E1495)=65535,"AMARILLO",IF(color_Celda(E1495)=5296274,"VERDE",IF(color_Celda(E1495)=16777215,"BLANCO","NO SE"))))</f>
        <v>ROSA</v>
      </c>
      <c r="W1495" s="336"/>
      <c r="X1495" s="336"/>
      <c r="Y1495" s="336"/>
      <c r="Z1495" s="336"/>
      <c r="AA1495" s="63" t="s">
        <v>1167</v>
      </c>
      <c r="AB1495" s="336"/>
      <c r="AC1495" s="336"/>
    </row>
    <row r="1496" spans="1:29" ht="60" customHeight="1">
      <c r="A1496" s="336">
        <v>1490</v>
      </c>
      <c r="B1496" s="349">
        <v>45327</v>
      </c>
      <c r="C1496" s="568">
        <v>0.4284722222222222</v>
      </c>
      <c r="D1496" s="63" t="s">
        <v>5757</v>
      </c>
      <c r="E1496" s="355" t="s">
        <v>5758</v>
      </c>
      <c r="F1496" s="336">
        <v>3</v>
      </c>
      <c r="G1496" s="63" t="s">
        <v>1435</v>
      </c>
      <c r="H1496" s="383">
        <v>45344</v>
      </c>
      <c r="I1496" s="65" t="s">
        <v>73</v>
      </c>
      <c r="J1496" s="65" t="s">
        <v>33</v>
      </c>
      <c r="K1496" s="336">
        <f>IFERROR(VLOOKUP(J1496,Jueces!$A$1:$B$11,2,FALSE),"")</f>
        <v>4</v>
      </c>
      <c r="L1496" s="63" t="s">
        <v>4777</v>
      </c>
      <c r="M1496" s="63" t="s">
        <v>693</v>
      </c>
      <c r="N1496" s="63" t="s">
        <v>911</v>
      </c>
      <c r="O1496" s="78" t="str">
        <f ca="1">IF(H1496&lt;&gt;"",IF(H1496&lt;=TODAY(),"SI","NO"),"LIMBO")</f>
        <v>SI</v>
      </c>
      <c r="P1496" s="78" t="str">
        <f>IF($P$1=H1496,"DIASOL", "DIANOSOL")</f>
        <v>DIANOSOL</v>
      </c>
      <c r="Q1496" s="63" t="s">
        <v>972</v>
      </c>
      <c r="R1496" s="63" t="s">
        <v>911</v>
      </c>
      <c r="S1496" s="63"/>
      <c r="T1496" s="81" t="str">
        <f>IF(G1496=$J$1,"SI","NO")</f>
        <v>SI</v>
      </c>
      <c r="U1496" s="81"/>
      <c r="V1496" s="7" t="str">
        <f ca="1">IF(color_Celda(E1496)=12106214,"ROSA",IF(color_Celda(E1496)=65535,"AMARILLO",IF(color_Celda(E1496)=5296274,"VERDE",IF(color_Celda(E1496)=16777215,"BLANCO","NO SE"))))</f>
        <v>ROSA</v>
      </c>
      <c r="W1496" s="336"/>
      <c r="X1496" s="336"/>
      <c r="Y1496" s="336"/>
      <c r="Z1496" s="336"/>
      <c r="AA1496" s="63" t="s">
        <v>2869</v>
      </c>
      <c r="AB1496" s="336"/>
      <c r="AC1496" s="336"/>
    </row>
    <row r="1497" spans="1:29" ht="60" customHeight="1">
      <c r="A1497" s="336">
        <v>1493</v>
      </c>
      <c r="B1497" s="349">
        <v>45330</v>
      </c>
      <c r="C1497" s="568">
        <v>0.52013888888888882</v>
      </c>
      <c r="D1497" s="336" t="s">
        <v>4081</v>
      </c>
      <c r="E1497" s="355" t="s">
        <v>4082</v>
      </c>
      <c r="F1497" s="336">
        <v>4</v>
      </c>
      <c r="G1497" s="336" t="s">
        <v>3324</v>
      </c>
      <c r="H1497" s="383">
        <v>45344</v>
      </c>
      <c r="I1497" s="65" t="s">
        <v>73</v>
      </c>
      <c r="J1497" s="349" t="s">
        <v>35</v>
      </c>
      <c r="K1497" s="336">
        <f>IFERROR(VLOOKUP(J1497,Jueces!$A$1:$B$11,2,FALSE),"")</f>
        <v>3</v>
      </c>
      <c r="L1497" s="63" t="s">
        <v>800</v>
      </c>
      <c r="M1497" s="63" t="s">
        <v>1956</v>
      </c>
      <c r="N1497" s="63" t="s">
        <v>6157</v>
      </c>
      <c r="O1497" s="78" t="str">
        <f ca="1">IF(H1497&lt;&gt;"",IF(H1497&lt;=TODAY(),"SI","NO"),"LIMBO")</f>
        <v>SI</v>
      </c>
      <c r="P1497" s="78" t="str">
        <f>IF($P$1=H1497,"DIASOL", "DIANOSOL")</f>
        <v>DIANOSOL</v>
      </c>
      <c r="Q1497" s="63" t="s">
        <v>911</v>
      </c>
      <c r="R1497" s="63" t="str">
        <f>VLOOKUP($Q1497,Resultados!$A$1:$B$49,2,FALSE)</f>
        <v>Prision domiciliaria</v>
      </c>
      <c r="S1497" s="63"/>
      <c r="T1497" s="81" t="str">
        <f>IF(G1497=$J$1,"SI","NO")</f>
        <v>NO</v>
      </c>
      <c r="U1497" s="81"/>
      <c r="V1497" s="7" t="str">
        <f ca="1">IF(color_Celda(E1497)=12106214,"ROSA",IF(color_Celda(E1497)=65535,"AMARILLO",IF(color_Celda(E1497)=5296274,"VERDE",IF(color_Celda(E1497)=16777215,"BLANCO","NO SE"))))</f>
        <v>ROSA</v>
      </c>
      <c r="W1497" s="336"/>
      <c r="X1497" s="336"/>
      <c r="Y1497" s="336"/>
      <c r="Z1497" s="336"/>
      <c r="AA1497" s="63" t="s">
        <v>3379</v>
      </c>
      <c r="AB1497" s="336"/>
      <c r="AC1497" s="336"/>
    </row>
    <row r="1498" spans="1:29" ht="60" customHeight="1">
      <c r="A1498" s="336">
        <v>1553</v>
      </c>
      <c r="B1498" s="349">
        <v>45336</v>
      </c>
      <c r="C1498" s="568">
        <v>0.33333333333333331</v>
      </c>
      <c r="D1498" s="63" t="s">
        <v>5948</v>
      </c>
      <c r="E1498" s="355" t="s">
        <v>5949</v>
      </c>
      <c r="F1498" s="336">
        <v>2</v>
      </c>
      <c r="G1498" s="63" t="s">
        <v>2815</v>
      </c>
      <c r="H1498" s="383">
        <v>45344</v>
      </c>
      <c r="I1498" s="65" t="s">
        <v>73</v>
      </c>
      <c r="J1498" s="349" t="s">
        <v>1217</v>
      </c>
      <c r="K1498" s="336">
        <f>IFERROR(VLOOKUP(J1498,Jueces!$A$1:$B$11,2,FALSE),"")</f>
        <v>7</v>
      </c>
      <c r="L1498" s="63" t="s">
        <v>790</v>
      </c>
      <c r="M1498" s="389" t="s">
        <v>2103</v>
      </c>
      <c r="N1498" s="205" t="s">
        <v>6159</v>
      </c>
      <c r="O1498" s="78" t="str">
        <f ca="1">IF(H1498&lt;&gt;"",IF(H1498&lt;=TODAY(),"SI","NO"),"LIMBO")</f>
        <v>SI</v>
      </c>
      <c r="P1498" s="78" t="str">
        <f>IF($P$1=H1498,"DIASOL", "DIANOSOL")</f>
        <v>DIANOSOL</v>
      </c>
      <c r="Q1498" s="63" t="s">
        <v>903</v>
      </c>
      <c r="R1498" s="63" t="str">
        <f>VLOOKUP($Q1498,Resultados!$A$1:$B$49,2,FALSE)</f>
        <v>Juicio Abreviado</v>
      </c>
      <c r="S1498" s="63"/>
      <c r="T1498" s="81" t="str">
        <f>IF(G1498=$J$1,"SI","NO")</f>
        <v>NO</v>
      </c>
      <c r="U1498" s="81"/>
      <c r="V1498" s="7" t="str">
        <f ca="1">IF(color_Celda(E1498)=12106214,"ROSA",IF(color_Celda(E1498)=65535,"AMARILLO",IF(color_Celda(E1498)=5296274,"VERDE",IF(color_Celda(E1498)=16777215,"BLANCO","NO SE"))))</f>
        <v>ROSA</v>
      </c>
      <c r="W1498" s="336"/>
      <c r="X1498" s="336"/>
      <c r="Y1498" s="336"/>
      <c r="Z1498" s="336"/>
      <c r="AA1498" s="63" t="s">
        <v>3378</v>
      </c>
      <c r="AB1498" s="336"/>
      <c r="AC1498" s="336"/>
    </row>
    <row r="1499" spans="1:29" ht="60" customHeight="1">
      <c r="A1499" s="336">
        <v>1501</v>
      </c>
      <c r="B1499" s="349">
        <v>45328</v>
      </c>
      <c r="C1499" s="568">
        <v>0.33333333333333331</v>
      </c>
      <c r="D1499" s="63" t="s">
        <v>5787</v>
      </c>
      <c r="E1499" s="355" t="s">
        <v>5788</v>
      </c>
      <c r="F1499" s="336">
        <v>3</v>
      </c>
      <c r="G1499" s="63" t="s">
        <v>3791</v>
      </c>
      <c r="H1499" s="383">
        <v>45344</v>
      </c>
      <c r="I1499" s="65" t="s">
        <v>1083</v>
      </c>
      <c r="J1499" s="65" t="s">
        <v>1217</v>
      </c>
      <c r="K1499" s="336">
        <f>IFERROR(VLOOKUP(J1499,Jueces!$A$1:$B$11,2,FALSE),"")</f>
        <v>7</v>
      </c>
      <c r="L1499" s="63" t="s">
        <v>4781</v>
      </c>
      <c r="M1499" s="339" t="s">
        <v>5807</v>
      </c>
      <c r="N1499" s="63" t="s">
        <v>2952</v>
      </c>
      <c r="O1499" s="78" t="str">
        <f ca="1">IF(H1499&lt;&gt;"",IF(H1499&lt;=TODAY(),"SI","NO"),"LIMBO")</f>
        <v>SI</v>
      </c>
      <c r="P1499" s="78" t="str">
        <f>IF($P$1=H1499,"DIASOL", "DIANOSOL")</f>
        <v>DIANOSOL</v>
      </c>
      <c r="Q1499" s="63" t="s">
        <v>903</v>
      </c>
      <c r="R1499" s="63" t="str">
        <f>VLOOKUP($Q1499,Resultados!$A$1:$B$49,2,FALSE)</f>
        <v>Juicio Abreviado</v>
      </c>
      <c r="S1499" s="63"/>
      <c r="T1499" s="81" t="str">
        <f>IF(G1499=$J$1,"SI","NO")</f>
        <v>NO</v>
      </c>
      <c r="U1499" s="81"/>
      <c r="V1499" s="7" t="str">
        <f ca="1">IF(color_Celda(E1499)=12106214,"ROSA",IF(color_Celda(E1499)=65535,"AMARILLO",IF(color_Celda(E1499)=5296274,"VERDE",IF(color_Celda(E1499)=16777215,"BLANCO","NO SE"))))</f>
        <v>ROSA</v>
      </c>
      <c r="W1499" s="336"/>
      <c r="X1499" s="336"/>
      <c r="Y1499" s="336"/>
      <c r="Z1499" s="336"/>
      <c r="AA1499" s="63" t="s">
        <v>2869</v>
      </c>
      <c r="AB1499" s="336"/>
      <c r="AC1499" s="336"/>
    </row>
    <row r="1500" spans="1:29" ht="60" customHeight="1">
      <c r="A1500" s="336">
        <v>1503</v>
      </c>
      <c r="B1500" s="349">
        <v>45328</v>
      </c>
      <c r="C1500" s="568">
        <v>0.33333333333333331</v>
      </c>
      <c r="D1500" s="63" t="s">
        <v>5791</v>
      </c>
      <c r="E1500" s="64" t="s">
        <v>5792</v>
      </c>
      <c r="F1500" s="336">
        <v>4</v>
      </c>
      <c r="G1500" s="63" t="s">
        <v>1434</v>
      </c>
      <c r="H1500" s="383">
        <v>45344</v>
      </c>
      <c r="I1500" s="65" t="s">
        <v>1083</v>
      </c>
      <c r="J1500" s="65" t="s">
        <v>1221</v>
      </c>
      <c r="K1500" s="336">
        <f>IFERROR(VLOOKUP(J1500,Jueces!$A$1:$B$11,2,FALSE),"")</f>
        <v>6</v>
      </c>
      <c r="L1500" s="63" t="s">
        <v>4789</v>
      </c>
      <c r="M1500" s="63" t="s">
        <v>694</v>
      </c>
      <c r="N1500" s="63" t="s">
        <v>5652</v>
      </c>
      <c r="O1500" s="78" t="str">
        <f ca="1">IF(H1500&lt;&gt;"",IF(H1500&lt;=TODAY(),"SI","NO"),"LIMBO")</f>
        <v>SI</v>
      </c>
      <c r="P1500" s="78" t="str">
        <f>IF($P$1=H1500,"DIASOL", "DIANOSOL")</f>
        <v>DIANOSOL</v>
      </c>
      <c r="Q1500" s="63" t="s">
        <v>902</v>
      </c>
      <c r="R1500" s="63" t="str">
        <f>VLOOKUP($Q1500,Resultados!$A$1:$B$49,2,FALSE)</f>
        <v>Juicio Abreviado</v>
      </c>
      <c r="S1500" s="63"/>
      <c r="T1500" s="81" t="str">
        <f>IF(G1500=$J$1,"SI","NO")</f>
        <v>NO</v>
      </c>
      <c r="U1500" s="81"/>
      <c r="V1500" s="7" t="str">
        <f ca="1">IF(color_Celda(E1500)=12106214,"ROSA",IF(color_Celda(E1500)=65535,"AMARILLO",IF(color_Celda(E1500)=5296274,"VERDE",IF(color_Celda(E1500)=16777215,"BLANCO","NO SE"))))</f>
        <v>ROSA</v>
      </c>
      <c r="W1500" s="336"/>
      <c r="X1500" s="336"/>
      <c r="Y1500" s="336"/>
      <c r="Z1500" s="336"/>
      <c r="AA1500" s="63" t="s">
        <v>1167</v>
      </c>
      <c r="AB1500" s="336"/>
      <c r="AC1500" s="336"/>
    </row>
    <row r="1501" spans="1:29" ht="60" customHeight="1">
      <c r="A1501" s="336">
        <v>1517</v>
      </c>
      <c r="B1501" s="349">
        <v>45328</v>
      </c>
      <c r="C1501" s="568">
        <v>0.47569444444444442</v>
      </c>
      <c r="D1501" s="336" t="s">
        <v>4109</v>
      </c>
      <c r="E1501" s="355" t="s">
        <v>4110</v>
      </c>
      <c r="F1501" s="336">
        <v>4</v>
      </c>
      <c r="G1501" s="63" t="s">
        <v>2766</v>
      </c>
      <c r="H1501" s="383">
        <v>45344</v>
      </c>
      <c r="I1501" s="65" t="s">
        <v>1083</v>
      </c>
      <c r="J1501" s="65" t="s">
        <v>1216</v>
      </c>
      <c r="K1501" s="336">
        <f>IFERROR(VLOOKUP(J1501,Jueces!$A$1:$B$11,2,FALSE),"")</f>
        <v>1</v>
      </c>
      <c r="L1501" s="63" t="s">
        <v>2077</v>
      </c>
      <c r="M1501" s="339" t="s">
        <v>5815</v>
      </c>
      <c r="N1501" s="63" t="s">
        <v>6160</v>
      </c>
      <c r="O1501" s="78" t="str">
        <f ca="1">IF(H1501&lt;&gt;"",IF(H1501&lt;=TODAY(),"SI","NO"),"LIMBO")</f>
        <v>SI</v>
      </c>
      <c r="P1501" s="78" t="str">
        <f>IF($P$1=H1501,"DIASOL", "DIANOSOL")</f>
        <v>DIANOSOL</v>
      </c>
      <c r="Q1501" s="63" t="s">
        <v>911</v>
      </c>
      <c r="R1501" s="63" t="str">
        <f>VLOOKUP($Q1501,Resultados!$A$1:$B$49,2,FALSE)</f>
        <v>Prision domiciliaria</v>
      </c>
      <c r="S1501" s="63"/>
      <c r="T1501" s="81" t="str">
        <f>IF(G1501=$J$1,"SI","NO")</f>
        <v>NO</v>
      </c>
      <c r="U1501" s="81"/>
      <c r="V1501" s="7" t="str">
        <f ca="1">IF(color_Celda(E1501)=12106214,"ROSA",IF(color_Celda(E1501)=65535,"AMARILLO",IF(color_Celda(E1501)=5296274,"VERDE",IF(color_Celda(E1501)=16777215,"BLANCO","NO SE"))))</f>
        <v>ROSA</v>
      </c>
      <c r="W1501" s="336"/>
      <c r="X1501" s="336"/>
      <c r="Y1501" s="336"/>
      <c r="Z1501" s="336"/>
      <c r="AA1501" s="63" t="s">
        <v>2828</v>
      </c>
      <c r="AB1501" s="336"/>
      <c r="AC1501" s="336"/>
    </row>
    <row r="1502" spans="1:29" ht="60" customHeight="1">
      <c r="A1502" s="336">
        <v>1532</v>
      </c>
      <c r="B1502" s="349">
        <v>45330</v>
      </c>
      <c r="C1502" s="568">
        <v>0.47291666666666665</v>
      </c>
      <c r="D1502" s="63" t="s">
        <v>5841</v>
      </c>
      <c r="E1502" s="355" t="s">
        <v>5842</v>
      </c>
      <c r="F1502" s="336">
        <v>3</v>
      </c>
      <c r="G1502" s="63" t="s">
        <v>2752</v>
      </c>
      <c r="H1502" s="383">
        <v>45344</v>
      </c>
      <c r="I1502" s="65" t="s">
        <v>1206</v>
      </c>
      <c r="J1502" s="65" t="s">
        <v>78</v>
      </c>
      <c r="K1502" s="336">
        <f>IFERROR(VLOOKUP(J1502,Jueces!$A$1:$B$11,2,FALSE),"")</f>
        <v>8</v>
      </c>
      <c r="L1502" s="63" t="s">
        <v>569</v>
      </c>
      <c r="M1502" s="373" t="s">
        <v>2627</v>
      </c>
      <c r="N1502" s="63" t="s">
        <v>6162</v>
      </c>
      <c r="O1502" s="78" t="str">
        <f ca="1">IF(H1502&lt;&gt;"",IF(H1502&lt;=TODAY(),"SI","NO"),"LIMBO")</f>
        <v>SI</v>
      </c>
      <c r="P1502" s="78" t="str">
        <f>IF($P$1=H1502,"DIASOL", "DIANOSOL")</f>
        <v>DIANOSOL</v>
      </c>
      <c r="Q1502" s="63" t="s">
        <v>909</v>
      </c>
      <c r="R1502" s="63" t="str">
        <f>VLOOKUP($Q1502,Resultados!$A$1:$B$49,2,FALSE)</f>
        <v>Suspendida</v>
      </c>
      <c r="S1502" s="63"/>
      <c r="T1502" s="81" t="str">
        <f>IF(G1502=$J$1,"SI","NO")</f>
        <v>NO</v>
      </c>
      <c r="U1502" s="81"/>
      <c r="V1502" s="7" t="str">
        <f ca="1">IF(color_Celda(E1502)=12106214,"ROSA",IF(color_Celda(E1502)=65535,"AMARILLO",IF(color_Celda(E1502)=5296274,"VERDE",IF(color_Celda(E1502)=16777215,"BLANCO","NO SE"))))</f>
        <v>ROSA</v>
      </c>
      <c r="W1502" s="336"/>
      <c r="X1502" s="336"/>
      <c r="Y1502" s="336"/>
      <c r="Z1502" s="336"/>
      <c r="AA1502" s="336"/>
      <c r="AB1502" s="336"/>
      <c r="AC1502" s="336"/>
    </row>
    <row r="1503" spans="1:29" ht="60" customHeight="1">
      <c r="A1503" s="336">
        <v>1482</v>
      </c>
      <c r="B1503" s="349">
        <v>45324</v>
      </c>
      <c r="C1503" s="568">
        <v>0.45833333333333331</v>
      </c>
      <c r="D1503" s="63" t="s">
        <v>5724</v>
      </c>
      <c r="E1503" s="355" t="s">
        <v>5725</v>
      </c>
      <c r="F1503" s="336">
        <v>3</v>
      </c>
      <c r="G1503" s="63" t="s">
        <v>3323</v>
      </c>
      <c r="H1503" s="208">
        <v>45345</v>
      </c>
      <c r="I1503" s="65" t="s">
        <v>73</v>
      </c>
      <c r="J1503" s="65" t="s">
        <v>31</v>
      </c>
      <c r="K1503" s="336">
        <f>IFERROR(VLOOKUP(J1503,Jueces!$A$1:$B$11,2,FALSE),"")</f>
        <v>2</v>
      </c>
      <c r="L1503" s="63" t="s">
        <v>805</v>
      </c>
      <c r="M1503" s="63" t="s">
        <v>692</v>
      </c>
      <c r="N1503" s="63" t="s">
        <v>6186</v>
      </c>
      <c r="O1503" s="78" t="str">
        <f ca="1">IF(H1503&lt;&gt;"",IF(H1503&lt;=TODAY(),"SI","NO"),"LIMBO")</f>
        <v>SI</v>
      </c>
      <c r="P1503" s="78" t="str">
        <f>IF($P$1=H1503,"DIASOL", "DIANOSOL")</f>
        <v>DIANOSOL</v>
      </c>
      <c r="Q1503" s="63" t="s">
        <v>902</v>
      </c>
      <c r="R1503" s="63" t="str">
        <f>VLOOKUP($Q1503,Resultados!$A$1:$B$49,2,FALSE)</f>
        <v>Juicio Abreviado</v>
      </c>
      <c r="S1503" s="63"/>
      <c r="T1503" s="81" t="str">
        <f>IF(G1503=$J$1,"SI","NO")</f>
        <v>NO</v>
      </c>
      <c r="U1503" s="81"/>
      <c r="V1503" s="7" t="str">
        <f ca="1">IF(color_Celda(E1503)=12106214,"ROSA",IF(color_Celda(E1503)=65535,"AMARILLO",IF(color_Celda(E1503)=5296274,"VERDE",IF(color_Celda(E1503)=16777215,"BLANCO","NO SE"))))</f>
        <v>ROSA</v>
      </c>
      <c r="W1503" s="336"/>
      <c r="X1503" s="336"/>
      <c r="Y1503" s="336"/>
      <c r="Z1503" s="336" t="s">
        <v>1038</v>
      </c>
      <c r="AA1503" s="63" t="s">
        <v>2828</v>
      </c>
      <c r="AB1503" s="63" t="s">
        <v>1170</v>
      </c>
      <c r="AC1503" s="336"/>
    </row>
    <row r="1504" spans="1:29" ht="60" customHeight="1">
      <c r="A1504" s="336">
        <v>1502</v>
      </c>
      <c r="B1504" s="349">
        <v>45328</v>
      </c>
      <c r="C1504" s="568">
        <v>0.33333333333333331</v>
      </c>
      <c r="D1504" s="63" t="s">
        <v>5789</v>
      </c>
      <c r="E1504" s="64" t="s">
        <v>5790</v>
      </c>
      <c r="F1504" s="336">
        <v>4</v>
      </c>
      <c r="G1504" s="63" t="s">
        <v>2766</v>
      </c>
      <c r="H1504" s="383">
        <v>45345</v>
      </c>
      <c r="I1504" s="65" t="s">
        <v>73</v>
      </c>
      <c r="J1504" s="65" t="s">
        <v>4932</v>
      </c>
      <c r="K1504" s="63" t="s">
        <v>2324</v>
      </c>
      <c r="L1504" s="63" t="s">
        <v>4791</v>
      </c>
      <c r="M1504" s="63" t="s">
        <v>694</v>
      </c>
      <c r="N1504" s="63" t="s">
        <v>6185</v>
      </c>
      <c r="O1504" s="78" t="str">
        <f ca="1">IF(H1504&lt;&gt;"",IF(H1504&lt;=TODAY(),"SI","NO"),"LIMBO")</f>
        <v>SI</v>
      </c>
      <c r="P1504" s="78" t="str">
        <f>IF($P$1=H1504,"DIASOL", "DIANOSOL")</f>
        <v>DIANOSOL</v>
      </c>
      <c r="Q1504" s="63" t="s">
        <v>902</v>
      </c>
      <c r="R1504" s="63" t="str">
        <f>VLOOKUP($Q1504,Resultados!$A$1:$B$49,2,FALSE)</f>
        <v>Juicio Abreviado</v>
      </c>
      <c r="S1504" s="63"/>
      <c r="T1504" s="81" t="str">
        <f>IF(G1504=$J$1,"SI","NO")</f>
        <v>NO</v>
      </c>
      <c r="U1504" s="81"/>
      <c r="V1504" s="7" t="str">
        <f ca="1">IF(color_Celda(E1504)=12106214,"ROSA",IF(color_Celda(E1504)=65535,"AMARILLO",IF(color_Celda(E1504)=5296274,"VERDE",IF(color_Celda(E1504)=16777215,"BLANCO","NO SE"))))</f>
        <v>ROSA</v>
      </c>
      <c r="W1504" s="336"/>
      <c r="X1504" s="336"/>
      <c r="Y1504" s="336"/>
      <c r="Z1504" s="336" t="s">
        <v>770</v>
      </c>
      <c r="AA1504" s="63" t="s">
        <v>4561</v>
      </c>
      <c r="AB1504" s="63" t="s">
        <v>1169</v>
      </c>
      <c r="AC1504" s="336"/>
    </row>
    <row r="1505" spans="1:29" ht="60" customHeight="1">
      <c r="A1505" s="336">
        <v>1511</v>
      </c>
      <c r="B1505" s="349">
        <v>45329</v>
      </c>
      <c r="C1505" s="568">
        <v>0.33333333333333331</v>
      </c>
      <c r="D1505" s="63" t="s">
        <v>5803</v>
      </c>
      <c r="E1505" s="64" t="s">
        <v>5804</v>
      </c>
      <c r="F1505" s="336">
        <v>4</v>
      </c>
      <c r="G1505" s="336" t="s">
        <v>5709</v>
      </c>
      <c r="H1505" s="383">
        <v>45345</v>
      </c>
      <c r="I1505" s="349" t="s">
        <v>73</v>
      </c>
      <c r="J1505" s="349" t="s">
        <v>4746</v>
      </c>
      <c r="K1505" s="336" t="s">
        <v>1341</v>
      </c>
      <c r="L1505" s="63" t="s">
        <v>4788</v>
      </c>
      <c r="M1505" s="335" t="s">
        <v>3381</v>
      </c>
      <c r="N1505" s="63" t="s">
        <v>3152</v>
      </c>
      <c r="O1505" s="78" t="str">
        <f ca="1">IF(H1505&lt;&gt;"",IF(H1505&lt;=TODAY(),"SI","NO"),"LIMBO")</f>
        <v>SI</v>
      </c>
      <c r="P1505" s="78" t="str">
        <f>IF($P$1=H1505,"DIASOL", "DIANOSOL")</f>
        <v>DIANOSOL</v>
      </c>
      <c r="Q1505" s="63" t="s">
        <v>902</v>
      </c>
      <c r="R1505" s="63" t="str">
        <f>VLOOKUP($Q1505,Resultados!$A$1:$B$49,2,FALSE)</f>
        <v>Juicio Abreviado</v>
      </c>
      <c r="S1505" s="63"/>
      <c r="T1505" s="81" t="str">
        <f>IF(G1505=$J$1,"SI","NO")</f>
        <v>NO</v>
      </c>
      <c r="U1505" s="81"/>
      <c r="V1505" s="7" t="str">
        <f ca="1">IF(color_Celda(E1505)=12106214,"ROSA",IF(color_Celda(E1505)=65535,"AMARILLO",IF(color_Celda(E1505)=5296274,"VERDE",IF(color_Celda(E1505)=16777215,"BLANCO","NO SE"))))</f>
        <v>ROSA</v>
      </c>
      <c r="W1505" s="336"/>
      <c r="X1505" s="336"/>
      <c r="Y1505" s="336"/>
      <c r="Z1505" s="336" t="s">
        <v>1039</v>
      </c>
      <c r="AA1505" s="63" t="s">
        <v>1167</v>
      </c>
      <c r="AB1505" s="63" t="s">
        <v>5776</v>
      </c>
      <c r="AC1505" s="336"/>
    </row>
    <row r="1506" spans="1:29" ht="60" customHeight="1">
      <c r="A1506" s="336">
        <v>1472</v>
      </c>
      <c r="B1506" s="349">
        <v>45323</v>
      </c>
      <c r="C1506" s="568">
        <v>0.3611111111111111</v>
      </c>
      <c r="D1506" s="63" t="s">
        <v>5691</v>
      </c>
      <c r="E1506" s="64" t="s">
        <v>5997</v>
      </c>
      <c r="F1506" s="336">
        <v>3</v>
      </c>
      <c r="G1506" s="63" t="s">
        <v>3791</v>
      </c>
      <c r="H1506" s="383">
        <v>45345</v>
      </c>
      <c r="I1506" s="65" t="s">
        <v>1083</v>
      </c>
      <c r="J1506" s="65" t="s">
        <v>35</v>
      </c>
      <c r="K1506" s="336">
        <f>IFERROR(VLOOKUP(J1506,Jueces!$A$1:$B$11,2,FALSE),"")</f>
        <v>3</v>
      </c>
      <c r="L1506" s="63" t="s">
        <v>791</v>
      </c>
      <c r="M1506" s="339" t="s">
        <v>1430</v>
      </c>
      <c r="N1506" s="63" t="s">
        <v>6187</v>
      </c>
      <c r="O1506" s="78" t="str">
        <f ca="1">IF(H1506&lt;&gt;"",IF(H1506&lt;=TODAY(),"SI","NO"),"LIMBO")</f>
        <v>SI</v>
      </c>
      <c r="P1506" s="78" t="str">
        <f>IF($P$1=H1506,"DIASOL", "DIANOSOL")</f>
        <v>DIANOSOL</v>
      </c>
      <c r="Q1506" s="63" t="s">
        <v>903</v>
      </c>
      <c r="R1506" s="63" t="str">
        <f>VLOOKUP($Q1506,Resultados!$A$1:$B$49,2,FALSE)</f>
        <v>Juicio Abreviado</v>
      </c>
      <c r="S1506" s="63"/>
      <c r="T1506" s="81" t="str">
        <f>IF(G1506=$J$1,"SI","NO")</f>
        <v>NO</v>
      </c>
      <c r="U1506" s="81"/>
      <c r="V1506" s="7" t="str">
        <f ca="1">IF(color_Celda(E1506)=12106214,"ROSA",IF(color_Celda(E1506)=65535,"AMARILLO",IF(color_Celda(E1506)=5296274,"VERDE",IF(color_Celda(E1506)=16777215,"BLANCO","NO SE"))))</f>
        <v>ROSA</v>
      </c>
      <c r="W1506" s="336"/>
      <c r="X1506" s="336"/>
      <c r="Y1506" s="336"/>
      <c r="Z1506" s="336" t="s">
        <v>748</v>
      </c>
      <c r="AA1506" s="63" t="s">
        <v>1165</v>
      </c>
      <c r="AB1506" s="63" t="s">
        <v>3258</v>
      </c>
      <c r="AC1506" s="336"/>
    </row>
    <row r="1507" spans="1:29" ht="60" customHeight="1">
      <c r="A1507" s="336">
        <v>1485</v>
      </c>
      <c r="B1507" s="349">
        <v>45327</v>
      </c>
      <c r="C1507" s="568">
        <v>0.33333333333333331</v>
      </c>
      <c r="D1507" s="63" t="s">
        <v>5749</v>
      </c>
      <c r="E1507" s="64" t="s">
        <v>5786</v>
      </c>
      <c r="F1507" s="336">
        <v>4</v>
      </c>
      <c r="G1507" s="63" t="s">
        <v>2752</v>
      </c>
      <c r="H1507" s="383">
        <v>45345</v>
      </c>
      <c r="I1507" s="65" t="s">
        <v>1083</v>
      </c>
      <c r="J1507" s="65" t="s">
        <v>1221</v>
      </c>
      <c r="K1507" s="336">
        <f>IFERROR(VLOOKUP(J1507,Jueces!$A$1:$B$11,2,FALSE),"")</f>
        <v>6</v>
      </c>
      <c r="L1507" s="63" t="s">
        <v>4790</v>
      </c>
      <c r="M1507" s="63" t="s">
        <v>693</v>
      </c>
      <c r="N1507" s="63" t="s">
        <v>621</v>
      </c>
      <c r="O1507" s="78" t="str">
        <f ca="1">IF(H1507&lt;&gt;"",IF(H1507&lt;=TODAY(),"SI","NO"),"LIMBO")</f>
        <v>SI</v>
      </c>
      <c r="P1507" s="78" t="str">
        <f>IF($P$1=H1507,"DIASOL", "DIANOSOL")</f>
        <v>DIANOSOL</v>
      </c>
      <c r="Q1507" s="63" t="s">
        <v>151</v>
      </c>
      <c r="R1507" s="63" t="str">
        <f>VLOOKUP($Q1507,Resultados!$A$1:$B$49,2,FALSE)</f>
        <v>Prisión Preventiva</v>
      </c>
      <c r="S1507" s="63"/>
      <c r="T1507" s="81" t="str">
        <f>IF(G1507=$J$1,"SI","NO")</f>
        <v>NO</v>
      </c>
      <c r="U1507" s="81"/>
      <c r="V1507" s="7" t="str">
        <f ca="1">IF(color_Celda(E1507)=12106214,"ROSA",IF(color_Celda(E1507)=65535,"AMARILLO",IF(color_Celda(E1507)=5296274,"VERDE",IF(color_Celda(E1507)=16777215,"BLANCO","NO SE"))))</f>
        <v>ROSA</v>
      </c>
      <c r="W1507" s="336"/>
      <c r="X1507" s="336"/>
      <c r="Y1507" s="336"/>
      <c r="Z1507" s="336" t="s">
        <v>743</v>
      </c>
      <c r="AA1507" s="63" t="s">
        <v>3378</v>
      </c>
      <c r="AB1507" s="63" t="s">
        <v>1171</v>
      </c>
      <c r="AC1507" s="336"/>
    </row>
    <row r="1508" spans="1:29" ht="60" customHeight="1">
      <c r="A1508" s="336">
        <v>1486</v>
      </c>
      <c r="B1508" s="349">
        <v>45327</v>
      </c>
      <c r="C1508" s="568">
        <v>0.40416666666666662</v>
      </c>
      <c r="D1508" s="63" t="s">
        <v>5750</v>
      </c>
      <c r="E1508" s="355" t="s">
        <v>5751</v>
      </c>
      <c r="F1508" s="336">
        <v>3</v>
      </c>
      <c r="G1508" s="336" t="s">
        <v>2815</v>
      </c>
      <c r="H1508" s="383">
        <v>45345</v>
      </c>
      <c r="I1508" s="349" t="s">
        <v>1083</v>
      </c>
      <c r="J1508" s="349" t="s">
        <v>78</v>
      </c>
      <c r="K1508" s="336">
        <f>IFERROR(VLOOKUP(J1508,Jueces!$A$1:$B$11,2,FALSE),"")</f>
        <v>8</v>
      </c>
      <c r="L1508" s="63" t="s">
        <v>2077</v>
      </c>
      <c r="M1508" s="7" t="s">
        <v>694</v>
      </c>
      <c r="N1508" s="63" t="s">
        <v>6188</v>
      </c>
      <c r="O1508" s="78" t="str">
        <f ca="1">IF(H1508&lt;&gt;"",IF(H1508&lt;=TODAY(),"SI","NO"),"LIMBO")</f>
        <v>SI</v>
      </c>
      <c r="P1508" s="78" t="str">
        <f>IF($P$1=H1508,"DIASOL", "DIANOSOL")</f>
        <v>DIANOSOL</v>
      </c>
      <c r="Q1508" s="63" t="s">
        <v>151</v>
      </c>
      <c r="R1508" s="63" t="str">
        <f>VLOOKUP($Q1508,Resultados!$A$1:$B$49,2,FALSE)</f>
        <v>Prisión Preventiva</v>
      </c>
      <c r="S1508" s="63"/>
      <c r="T1508" s="81" t="str">
        <f>IF(G1508=$J$1,"SI","NO")</f>
        <v>NO</v>
      </c>
      <c r="U1508" s="81"/>
      <c r="V1508" s="7" t="str">
        <f ca="1">IF(color_Celda(E1508)=12106214,"ROSA",IF(color_Celda(E1508)=65535,"AMARILLO",IF(color_Celda(E1508)=5296274,"VERDE",IF(color_Celda(E1508)=16777215,"BLANCO","NO SE"))))</f>
        <v>ROSA</v>
      </c>
      <c r="W1508" s="336"/>
      <c r="X1508" s="336"/>
      <c r="Y1508" s="336"/>
      <c r="Z1508" s="336" t="s">
        <v>770</v>
      </c>
      <c r="AA1508" s="63" t="s">
        <v>2869</v>
      </c>
      <c r="AB1508" s="63" t="s">
        <v>1173</v>
      </c>
      <c r="AC1508" s="336"/>
    </row>
    <row r="1509" spans="1:29" ht="60" customHeight="1">
      <c r="A1509" s="336">
        <v>1565</v>
      </c>
      <c r="B1509" s="349">
        <v>45327</v>
      </c>
      <c r="C1509" s="568">
        <v>0.45833333333333331</v>
      </c>
      <c r="D1509" s="336" t="s">
        <v>5203</v>
      </c>
      <c r="E1509" s="64" t="s">
        <v>5971</v>
      </c>
      <c r="F1509" s="336">
        <v>2</v>
      </c>
      <c r="G1509" s="336" t="s">
        <v>5709</v>
      </c>
      <c r="H1509" s="383">
        <v>45345</v>
      </c>
      <c r="I1509" s="349" t="s">
        <v>76</v>
      </c>
      <c r="J1509" s="349" t="s">
        <v>33</v>
      </c>
      <c r="K1509" s="336">
        <f>IFERROR(VLOOKUP(J1509,Jueces!$A$1:$B$11,2,FALSE),"")</f>
        <v>4</v>
      </c>
      <c r="L1509" s="63" t="s">
        <v>4789</v>
      </c>
      <c r="M1509" s="63" t="s">
        <v>1084</v>
      </c>
      <c r="N1509" s="63" t="s">
        <v>2550</v>
      </c>
      <c r="O1509" s="78" t="str">
        <f ca="1">IF(H1509&lt;&gt;"",IF(H1509&lt;=TODAY(),"SI","NO"),"LIMBO")</f>
        <v>SI</v>
      </c>
      <c r="P1509" s="78" t="str">
        <f>IF($P$1=H1509,"DIASOL", "DIANOSOL")</f>
        <v>DIANOSOL</v>
      </c>
      <c r="Q1509" s="63" t="s">
        <v>897</v>
      </c>
      <c r="R1509" s="63" t="str">
        <f>VLOOKUP($Q1509,Resultados!$A$1:$B$49,2,FALSE)</f>
        <v>Libertad</v>
      </c>
      <c r="S1509" s="63"/>
      <c r="T1509" s="81" t="str">
        <f>IF(G1509=$J$1,"SI","NO")</f>
        <v>NO</v>
      </c>
      <c r="U1509" s="81"/>
      <c r="V1509" s="7" t="str">
        <f ca="1">IF(color_Celda(E1509)=12106214,"ROSA",IF(color_Celda(E1509)=65535,"AMARILLO",IF(color_Celda(E1509)=5296274,"VERDE",IF(color_Celda(E1509)=16777215,"BLANCO","NO SE"))))</f>
        <v>ROSA</v>
      </c>
      <c r="W1509" s="336"/>
      <c r="X1509" s="336"/>
      <c r="Y1509" s="336"/>
      <c r="Z1509" s="336" t="s">
        <v>3368</v>
      </c>
      <c r="AA1509" s="63" t="s">
        <v>3379</v>
      </c>
      <c r="AB1509" s="63" t="s">
        <v>1170</v>
      </c>
      <c r="AC1509" s="336"/>
    </row>
    <row r="1510" spans="1:29" ht="60" customHeight="1">
      <c r="A1510" s="336">
        <v>1483</v>
      </c>
      <c r="B1510" s="349">
        <v>45327</v>
      </c>
      <c r="C1510" s="568">
        <v>0.33333333333333331</v>
      </c>
      <c r="D1510" s="63" t="s">
        <v>5745</v>
      </c>
      <c r="E1510" s="64" t="s">
        <v>5746</v>
      </c>
      <c r="F1510" s="336">
        <v>4</v>
      </c>
      <c r="G1510" s="63" t="s">
        <v>5710</v>
      </c>
      <c r="H1510" s="383">
        <v>45345</v>
      </c>
      <c r="I1510" s="65" t="s">
        <v>1206</v>
      </c>
      <c r="J1510" s="65" t="s">
        <v>31</v>
      </c>
      <c r="K1510" s="336">
        <f>IFERROR(VLOOKUP(J1510,Jueces!$A$1:$B$11,2,FALSE),"")</f>
        <v>2</v>
      </c>
      <c r="L1510" s="63" t="s">
        <v>4791</v>
      </c>
      <c r="M1510" s="63" t="s">
        <v>693</v>
      </c>
      <c r="N1510" s="63" t="s">
        <v>621</v>
      </c>
      <c r="O1510" s="78" t="str">
        <f ca="1">IF(H1510&lt;&gt;"",IF(H1510&lt;=TODAY(),"SI","NO"),"LIMBO")</f>
        <v>SI</v>
      </c>
      <c r="P1510" s="78" t="str">
        <f>IF($P$1=H1510,"DIASOL", "DIANOSOL")</f>
        <v>DIANOSOL</v>
      </c>
      <c r="Q1510" s="63" t="s">
        <v>151</v>
      </c>
      <c r="R1510" s="63" t="str">
        <f>VLOOKUP($Q1510,Resultados!$A$1:$B$49,2,FALSE)</f>
        <v>Prisión Preventiva</v>
      </c>
      <c r="S1510" s="63"/>
      <c r="T1510" s="81" t="str">
        <f>IF(G1510=$J$1,"SI","NO")</f>
        <v>NO</v>
      </c>
      <c r="U1510" s="81"/>
      <c r="V1510" s="7" t="str">
        <f ca="1">IF(color_Celda(E1510)=12106214,"ROSA",IF(color_Celda(E1510)=65535,"AMARILLO",IF(color_Celda(E1510)=5296274,"VERDE",IF(color_Celda(E1510)=16777215,"BLANCO","NO SE"))))</f>
        <v>ROSA</v>
      </c>
      <c r="W1510" s="336"/>
      <c r="X1510" s="336"/>
      <c r="Y1510" s="336"/>
      <c r="Z1510" s="336" t="s">
        <v>748</v>
      </c>
      <c r="AA1510" s="63" t="s">
        <v>2869</v>
      </c>
      <c r="AB1510" s="63" t="s">
        <v>1169</v>
      </c>
      <c r="AC1510" s="336"/>
    </row>
    <row r="1511" spans="1:29" ht="60" customHeight="1">
      <c r="A1511" s="336">
        <v>1494</v>
      </c>
      <c r="B1511" s="349">
        <v>45327</v>
      </c>
      <c r="C1511" s="568">
        <v>0.4375</v>
      </c>
      <c r="D1511" s="63" t="s">
        <v>5764</v>
      </c>
      <c r="E1511" s="355" t="s">
        <v>5765</v>
      </c>
      <c r="F1511" s="336">
        <v>3</v>
      </c>
      <c r="G1511" s="63" t="s">
        <v>568</v>
      </c>
      <c r="H1511" s="383">
        <v>45345</v>
      </c>
      <c r="I1511" s="65" t="s">
        <v>3171</v>
      </c>
      <c r="J1511" s="65" t="s">
        <v>33</v>
      </c>
      <c r="K1511" s="336">
        <f>IFERROR(VLOOKUP(J1511,Jueces!$A$1:$B$11,2,FALSE),"")</f>
        <v>4</v>
      </c>
      <c r="L1511" s="63" t="s">
        <v>4791</v>
      </c>
      <c r="M1511" s="63" t="s">
        <v>693</v>
      </c>
      <c r="N1511" s="63" t="s">
        <v>2550</v>
      </c>
      <c r="O1511" s="78" t="str">
        <f ca="1">IF(H1511&lt;&gt;"",IF(H1511&lt;=TODAY(),"SI","NO"),"LIMBO")</f>
        <v>SI</v>
      </c>
      <c r="P1511" s="78" t="str">
        <f>IF($P$1=H1511,"DIASOL", "DIANOSOL")</f>
        <v>DIANOSOL</v>
      </c>
      <c r="Q1511" s="63" t="s">
        <v>897</v>
      </c>
      <c r="R1511" s="63" t="str">
        <f>VLOOKUP($Q1511,Resultados!$A$1:$B$49,2,FALSE)</f>
        <v>Libertad</v>
      </c>
      <c r="S1511" s="63"/>
      <c r="T1511" s="81" t="str">
        <f>IF(G1511=$J$1,"SI","NO")</f>
        <v>NO</v>
      </c>
      <c r="U1511" s="81"/>
      <c r="V1511" s="7" t="str">
        <f ca="1">IF(color_Celda(E1511)=12106214,"ROSA",IF(color_Celda(E1511)=65535,"AMARILLO",IF(color_Celda(E1511)=5296274,"VERDE",IF(color_Celda(E1511)=16777215,"BLANCO","NO SE"))))</f>
        <v>ROSA</v>
      </c>
      <c r="W1511" s="336"/>
      <c r="X1511" s="336"/>
      <c r="Y1511" s="336"/>
      <c r="Z1511" s="336" t="s">
        <v>3368</v>
      </c>
      <c r="AA1511" s="63" t="s">
        <v>1165</v>
      </c>
      <c r="AB1511" s="63" t="s">
        <v>5776</v>
      </c>
      <c r="AC1511" s="336"/>
    </row>
    <row r="1512" spans="1:29" ht="60" customHeight="1">
      <c r="A1512" s="336">
        <v>1617</v>
      </c>
      <c r="B1512" s="349">
        <v>45299</v>
      </c>
      <c r="C1512" s="568">
        <v>0.50347222222222221</v>
      </c>
      <c r="D1512" s="63" t="s">
        <v>5167</v>
      </c>
      <c r="E1512" s="355" t="s">
        <v>6138</v>
      </c>
      <c r="F1512" s="336">
        <v>2</v>
      </c>
      <c r="G1512" s="336" t="s">
        <v>3791</v>
      </c>
      <c r="H1512" s="383">
        <v>45345</v>
      </c>
      <c r="I1512" s="65" t="s">
        <v>547</v>
      </c>
      <c r="J1512" s="349" t="s">
        <v>1217</v>
      </c>
      <c r="K1512" s="63" t="s">
        <v>2324</v>
      </c>
      <c r="L1512" s="63" t="s">
        <v>791</v>
      </c>
      <c r="M1512" s="63" t="s">
        <v>1084</v>
      </c>
      <c r="N1512" s="63" t="s">
        <v>6189</v>
      </c>
      <c r="O1512" s="78" t="str">
        <f ca="1">IF(H1512&lt;&gt;"",IF(H1512&lt;=TODAY(),"SI","NO"),"LIMBO")</f>
        <v>SI</v>
      </c>
      <c r="P1512" s="78" t="str">
        <f>IF($P$1=H1512,"DIASOL", "DIANOSOL")</f>
        <v>DIANOSOL</v>
      </c>
      <c r="Q1512" s="63" t="s">
        <v>902</v>
      </c>
      <c r="R1512" s="63" t="s">
        <v>100</v>
      </c>
      <c r="S1512" s="63"/>
      <c r="T1512" s="81" t="str">
        <f>IF(G1512=$J$1,"SI","NO")</f>
        <v>NO</v>
      </c>
      <c r="U1512" s="81"/>
      <c r="V1512" s="7" t="str">
        <f ca="1">IF(color_Celda(E1512)=12106214,"ROSA",IF(color_Celda(E1512)=65535,"AMARILLO",IF(color_Celda(E1512)=5296274,"VERDE",IF(color_Celda(E1512)=16777215,"BLANCO","NO SE"))))</f>
        <v>ROSA</v>
      </c>
      <c r="W1512" s="336"/>
      <c r="X1512" s="336"/>
      <c r="Y1512" s="336"/>
      <c r="Z1512" s="336" t="s">
        <v>770</v>
      </c>
      <c r="AA1512" s="336"/>
      <c r="AB1512" s="63" t="s">
        <v>3258</v>
      </c>
      <c r="AC1512" s="336"/>
    </row>
    <row r="1513" spans="1:29" ht="60" customHeight="1">
      <c r="A1513" s="336">
        <v>1506</v>
      </c>
      <c r="B1513" s="349">
        <v>45328</v>
      </c>
      <c r="C1513" s="568">
        <v>0.33333333333333331</v>
      </c>
      <c r="D1513" s="63" t="s">
        <v>5796</v>
      </c>
      <c r="E1513" s="64" t="s">
        <v>6049</v>
      </c>
      <c r="F1513" s="336">
        <v>4</v>
      </c>
      <c r="G1513" s="63" t="s">
        <v>1433</v>
      </c>
      <c r="H1513" s="383">
        <v>45345</v>
      </c>
      <c r="I1513" s="65" t="s">
        <v>77</v>
      </c>
      <c r="J1513" s="65" t="s">
        <v>4931</v>
      </c>
      <c r="K1513" s="63" t="s">
        <v>1512</v>
      </c>
      <c r="L1513" s="63" t="s">
        <v>4791</v>
      </c>
      <c r="M1513" s="63" t="s">
        <v>693</v>
      </c>
      <c r="N1513" s="63" t="s">
        <v>6191</v>
      </c>
      <c r="O1513" s="78" t="str">
        <f ca="1">IF(H1513&lt;&gt;"",IF(H1513&lt;=TODAY(),"SI","NO"),"LIMBO")</f>
        <v>SI</v>
      </c>
      <c r="P1513" s="78" t="str">
        <f>IF($P$1=H1513,"DIASOL", "DIANOSOL")</f>
        <v>DIANOSOL</v>
      </c>
      <c r="Q1513" s="63" t="s">
        <v>902</v>
      </c>
      <c r="R1513" s="63" t="str">
        <f>VLOOKUP($Q1513,Resultados!$A$1:$B$49,2,FALSE)</f>
        <v>Juicio Abreviado</v>
      </c>
      <c r="S1513" s="63"/>
      <c r="T1513" s="81" t="str">
        <f>IF(G1513=$J$1,"SI","NO")</f>
        <v>NO</v>
      </c>
      <c r="U1513" s="81"/>
      <c r="V1513" s="7" t="str">
        <f ca="1">IF(color_Celda(E1513)=12106214,"ROSA",IF(color_Celda(E1513)=65535,"AMARILLO",IF(color_Celda(E1513)=5296274,"VERDE",IF(color_Celda(E1513)=16777215,"BLANCO","NO SE"))))</f>
        <v>ROSA</v>
      </c>
      <c r="W1513" s="336"/>
      <c r="X1513" s="336"/>
      <c r="Y1513" s="336"/>
      <c r="Z1513" s="63" t="s">
        <v>743</v>
      </c>
      <c r="AA1513" s="63" t="s">
        <v>1167</v>
      </c>
      <c r="AB1513" s="63" t="s">
        <v>1171</v>
      </c>
      <c r="AC1513" s="336"/>
    </row>
    <row r="1514" spans="1:29" ht="60" customHeight="1">
      <c r="A1514" s="336">
        <v>1507</v>
      </c>
      <c r="B1514" s="349">
        <v>45328</v>
      </c>
      <c r="C1514" s="568">
        <v>0.33333333333333331</v>
      </c>
      <c r="D1514" s="63" t="s">
        <v>5797</v>
      </c>
      <c r="E1514" s="64" t="s">
        <v>6069</v>
      </c>
      <c r="F1514" s="336">
        <v>4</v>
      </c>
      <c r="G1514" s="63" t="s">
        <v>1435</v>
      </c>
      <c r="H1514" s="383">
        <v>45345</v>
      </c>
      <c r="I1514" s="65" t="s">
        <v>77</v>
      </c>
      <c r="J1514" s="65" t="s">
        <v>33</v>
      </c>
      <c r="K1514" s="336">
        <f>IFERROR(VLOOKUP(J1514,Jueces!$A$1:$B$11,2,FALSE),"")</f>
        <v>4</v>
      </c>
      <c r="L1514" s="63" t="s">
        <v>4790</v>
      </c>
      <c r="M1514" s="63" t="s">
        <v>694</v>
      </c>
      <c r="N1514" s="63" t="s">
        <v>621</v>
      </c>
      <c r="O1514" s="78" t="str">
        <f ca="1">IF(H1514&lt;&gt;"",IF(H1514&lt;=TODAY(),"SI","NO"),"LIMBO")</f>
        <v>SI</v>
      </c>
      <c r="P1514" s="78" t="str">
        <f>IF($P$1=H1514,"DIASOL", "DIANOSOL")</f>
        <v>DIANOSOL</v>
      </c>
      <c r="Q1514" s="63" t="s">
        <v>151</v>
      </c>
      <c r="R1514" s="63" t="str">
        <f>VLOOKUP($Q1514,Resultados!$A$1:$B$49,2,FALSE)</f>
        <v>Prisión Preventiva</v>
      </c>
      <c r="S1514" s="63"/>
      <c r="T1514" s="81" t="str">
        <f>IF(G1514=$J$1,"SI","NO")</f>
        <v>SI</v>
      </c>
      <c r="U1514" s="81"/>
      <c r="V1514" s="7" t="str">
        <f ca="1">IF(color_Celda(E1514)=12106214,"ROSA",IF(color_Celda(E1514)=65535,"AMARILLO",IF(color_Celda(E1514)=5296274,"VERDE",IF(color_Celda(E1514)=16777215,"BLANCO","NO SE"))))</f>
        <v>ROSA</v>
      </c>
      <c r="W1514" s="336"/>
      <c r="X1514" s="336"/>
      <c r="Y1514" s="336"/>
      <c r="Z1514" s="336" t="s">
        <v>3368</v>
      </c>
      <c r="AA1514" s="63" t="s">
        <v>4561</v>
      </c>
      <c r="AB1514" s="63" t="s">
        <v>1173</v>
      </c>
      <c r="AC1514" s="336"/>
    </row>
    <row r="1515" spans="1:29" ht="60" customHeight="1">
      <c r="A1515" s="336">
        <v>1495</v>
      </c>
      <c r="B1515" s="349">
        <v>45327</v>
      </c>
      <c r="C1515" s="568">
        <v>0.44097222222222227</v>
      </c>
      <c r="D1515" s="63" t="s">
        <v>5766</v>
      </c>
      <c r="E1515" s="64" t="s">
        <v>5767</v>
      </c>
      <c r="F1515" s="336">
        <v>3</v>
      </c>
      <c r="G1515" s="63" t="s">
        <v>3324</v>
      </c>
      <c r="H1515" s="383">
        <v>45345</v>
      </c>
      <c r="I1515" s="65" t="s">
        <v>1146</v>
      </c>
      <c r="J1515" s="65" t="s">
        <v>1217</v>
      </c>
      <c r="K1515" s="336">
        <f>IFERROR(VLOOKUP(J1515,Jueces!$A$1:$B$11,2,FALSE),"")</f>
        <v>7</v>
      </c>
      <c r="L1515" s="63" t="s">
        <v>4790</v>
      </c>
      <c r="M1515" s="63" t="s">
        <v>693</v>
      </c>
      <c r="N1515" s="63" t="s">
        <v>6190</v>
      </c>
      <c r="O1515" s="78" t="str">
        <f ca="1">IF(H1515&lt;&gt;"",IF(H1515&lt;=TODAY(),"SI","NO"),"LIMBO")</f>
        <v>SI</v>
      </c>
      <c r="P1515" s="78" t="str">
        <f>IF($P$1=H1515,"DIASOL", "DIANOSOL")</f>
        <v>DIANOSOL</v>
      </c>
      <c r="Q1515" s="63" t="s">
        <v>902</v>
      </c>
      <c r="R1515" s="63" t="s">
        <v>100</v>
      </c>
      <c r="S1515" s="63"/>
      <c r="T1515" s="81" t="str">
        <f>IF(G1515=$J$1,"SI","NO")</f>
        <v>NO</v>
      </c>
      <c r="U1515" s="81"/>
      <c r="V1515" s="7" t="str">
        <f ca="1">IF(color_Celda(E1515)=12106214,"ROSA",IF(color_Celda(E1515)=65535,"AMARILLO",IF(color_Celda(E1515)=5296274,"VERDE",IF(color_Celda(E1515)=16777215,"BLANCO","NO SE"))))</f>
        <v>ROSA</v>
      </c>
      <c r="W1515" s="336"/>
      <c r="X1515" s="336"/>
      <c r="Y1515" s="336"/>
      <c r="Z1515" s="63" t="s">
        <v>770</v>
      </c>
      <c r="AA1515" s="63" t="s">
        <v>3378</v>
      </c>
      <c r="AB1515" s="63" t="s">
        <v>1170</v>
      </c>
      <c r="AC1515" s="336"/>
    </row>
    <row r="1516" spans="1:29" ht="60" customHeight="1">
      <c r="A1516" s="336">
        <v>1488</v>
      </c>
      <c r="B1516" s="349">
        <v>45327</v>
      </c>
      <c r="C1516" s="568">
        <v>0.42499999999999999</v>
      </c>
      <c r="D1516" s="63" t="s">
        <v>5754</v>
      </c>
      <c r="E1516" s="64" t="s">
        <v>5814</v>
      </c>
      <c r="F1516" s="336">
        <v>3</v>
      </c>
      <c r="G1516" s="63" t="s">
        <v>1435</v>
      </c>
      <c r="H1516" s="383">
        <v>45348</v>
      </c>
      <c r="I1516" s="65" t="s">
        <v>73</v>
      </c>
      <c r="J1516" s="65" t="s">
        <v>31</v>
      </c>
      <c r="K1516" s="336">
        <f>IFERROR(VLOOKUP(J1516,Jueces!$A$1:$B$11,2,FALSE),"")</f>
        <v>2</v>
      </c>
      <c r="L1516" s="63" t="s">
        <v>790</v>
      </c>
      <c r="M1516" s="7" t="s">
        <v>692</v>
      </c>
      <c r="N1516" s="63" t="s">
        <v>6216</v>
      </c>
      <c r="O1516" s="78" t="str">
        <f ca="1">IF(H1516&lt;&gt;"",IF(H1516&lt;=TODAY(),"SI","NO"),"LIMBO")</f>
        <v>SI</v>
      </c>
      <c r="P1516" s="78" t="str">
        <f>IF($P$1=H1516,"DIASOL", "DIANOSOL")</f>
        <v>DIANOSOL</v>
      </c>
      <c r="Q1516" s="63" t="s">
        <v>902</v>
      </c>
      <c r="R1516" s="63" t="str">
        <f>VLOOKUP($Q1516,Resultados!$A$1:$B$49,2,FALSE)</f>
        <v>Juicio Abreviado</v>
      </c>
      <c r="S1516" s="63"/>
      <c r="T1516" s="81" t="str">
        <f>IF(G1516=$J$1,"SI","NO")</f>
        <v>SI</v>
      </c>
      <c r="U1516" s="81"/>
      <c r="V1516" s="7" t="str">
        <f ca="1">IF(color_Celda(E1516)=12106214,"ROSA",IF(color_Celda(E1516)=65535,"AMARILLO",IF(color_Celda(E1516)=5296274,"VERDE",IF(color_Celda(E1516)=16777215,"BLANCO","NO SE"))))</f>
        <v>ROSA</v>
      </c>
      <c r="W1516" s="336"/>
      <c r="X1516" s="336"/>
      <c r="Y1516" s="336"/>
      <c r="Z1516" s="336" t="s">
        <v>1038</v>
      </c>
      <c r="AA1516" s="63" t="s">
        <v>2869</v>
      </c>
      <c r="AB1516" s="63" t="s">
        <v>1169</v>
      </c>
      <c r="AC1516" s="336"/>
    </row>
    <row r="1517" spans="1:29" ht="60" customHeight="1">
      <c r="A1517" s="336">
        <v>1496</v>
      </c>
      <c r="B1517" s="349">
        <v>45327</v>
      </c>
      <c r="C1517" s="568">
        <v>0.44305555555555554</v>
      </c>
      <c r="D1517" s="63" t="s">
        <v>5768</v>
      </c>
      <c r="E1517" s="355" t="s">
        <v>5769</v>
      </c>
      <c r="F1517" s="336">
        <v>3</v>
      </c>
      <c r="G1517" s="63" t="s">
        <v>283</v>
      </c>
      <c r="H1517" s="383">
        <v>45348</v>
      </c>
      <c r="I1517" s="65" t="s">
        <v>73</v>
      </c>
      <c r="J1517" s="65" t="s">
        <v>1217</v>
      </c>
      <c r="K1517" s="336">
        <f>IFERROR(VLOOKUP(J1517,Jueces!$A$1:$B$11,2,FALSE),"")</f>
        <v>7</v>
      </c>
      <c r="L1517" s="63" t="s">
        <v>4790</v>
      </c>
      <c r="M1517" s="63" t="s">
        <v>693</v>
      </c>
      <c r="N1517" s="63" t="s">
        <v>621</v>
      </c>
      <c r="O1517" s="78" t="str">
        <f ca="1">IF(H1517&lt;&gt;"",IF(H1517&lt;=TODAY(),"SI","NO"),"LIMBO")</f>
        <v>SI</v>
      </c>
      <c r="P1517" s="78" t="str">
        <f>IF($P$1=H1517,"DIASOL", "DIANOSOL")</f>
        <v>DIANOSOL</v>
      </c>
      <c r="Q1517" s="63" t="s">
        <v>151</v>
      </c>
      <c r="R1517" s="63" t="str">
        <f>VLOOKUP($Q1517,Resultados!$A$1:$B$49,2,FALSE)</f>
        <v>Prisión Preventiva</v>
      </c>
      <c r="S1517" s="63"/>
      <c r="T1517" s="81" t="str">
        <f>IF(G1517=$J$1,"SI","NO")</f>
        <v>NO</v>
      </c>
      <c r="U1517" s="81"/>
      <c r="V1517" s="7" t="str">
        <f ca="1">IF(color_Celda(E1517)=12106214,"ROSA",IF(color_Celda(E1517)=65535,"AMARILLO",IF(color_Celda(E1517)=5296274,"VERDE",IF(color_Celda(E1517)=16777215,"BLANCO","NO SE"))))</f>
        <v>ROSA</v>
      </c>
      <c r="W1517" s="336"/>
      <c r="X1517" s="336"/>
      <c r="Y1517" s="336"/>
      <c r="Z1517" s="336" t="s">
        <v>770</v>
      </c>
      <c r="AA1517" s="63" t="s">
        <v>1165</v>
      </c>
      <c r="AB1517" s="63" t="s">
        <v>5776</v>
      </c>
      <c r="AC1517" s="336"/>
    </row>
    <row r="1518" spans="1:29" ht="60" customHeight="1">
      <c r="A1518" s="336">
        <v>1536</v>
      </c>
      <c r="B1518" s="349">
        <v>45330</v>
      </c>
      <c r="C1518" s="568">
        <v>0.52638888888888891</v>
      </c>
      <c r="D1518" s="63" t="s">
        <v>5913</v>
      </c>
      <c r="E1518" s="64" t="s">
        <v>5914</v>
      </c>
      <c r="F1518" s="336">
        <v>4</v>
      </c>
      <c r="G1518" s="336" t="s">
        <v>3791</v>
      </c>
      <c r="H1518" s="383">
        <v>45348</v>
      </c>
      <c r="I1518" s="65" t="s">
        <v>73</v>
      </c>
      <c r="J1518" s="349" t="s">
        <v>35</v>
      </c>
      <c r="K1518" s="336">
        <f>IFERROR(VLOOKUP(J1518,Jueces!$A$1:$B$11,2,FALSE),"")</f>
        <v>3</v>
      </c>
      <c r="L1518" s="63" t="s">
        <v>789</v>
      </c>
      <c r="M1518" s="63" t="s">
        <v>694</v>
      </c>
      <c r="N1518" s="63" t="s">
        <v>6215</v>
      </c>
      <c r="O1518" s="78" t="str">
        <f ca="1">IF(H1518&lt;&gt;"",IF(H1518&lt;=TODAY(),"SI","NO"),"LIMBO")</f>
        <v>SI</v>
      </c>
      <c r="P1518" s="78" t="str">
        <f>IF($P$1=H1518,"DIASOL", "DIANOSOL")</f>
        <v>DIANOSOL</v>
      </c>
      <c r="Q1518" s="63" t="s">
        <v>903</v>
      </c>
      <c r="R1518" s="63" t="str">
        <f>VLOOKUP($Q1518,Resultados!$A$1:$B$49,2,FALSE)</f>
        <v>Juicio Abreviado</v>
      </c>
      <c r="S1518" s="63"/>
      <c r="T1518" s="81" t="str">
        <f>IF(G1518=$J$1,"SI","NO")</f>
        <v>NO</v>
      </c>
      <c r="U1518" s="81"/>
      <c r="V1518" s="7" t="str">
        <f ca="1">IF(color_Celda(E1518)=12106214,"ROSA",IF(color_Celda(E1518)=65535,"AMARILLO",IF(color_Celda(E1518)=5296274,"VERDE",IF(color_Celda(E1518)=16777215,"BLANCO","NO SE"))))</f>
        <v>ROSA</v>
      </c>
      <c r="W1518" s="336"/>
      <c r="X1518" s="336"/>
      <c r="Y1518" s="336"/>
      <c r="Z1518" s="336" t="s">
        <v>3368</v>
      </c>
      <c r="AA1518" s="63" t="s">
        <v>1167</v>
      </c>
      <c r="AB1518" s="63" t="s">
        <v>3258</v>
      </c>
      <c r="AC1518" s="336"/>
    </row>
    <row r="1519" spans="1:29" ht="60" customHeight="1">
      <c r="A1519" s="336">
        <v>1569</v>
      </c>
      <c r="B1519" s="349">
        <v>45330</v>
      </c>
      <c r="C1519" s="568">
        <v>0.44097222222222227</v>
      </c>
      <c r="D1519" s="336" t="s">
        <v>4616</v>
      </c>
      <c r="E1519" s="355" t="s">
        <v>4617</v>
      </c>
      <c r="F1519" s="336">
        <v>5</v>
      </c>
      <c r="G1519" s="336" t="s">
        <v>3323</v>
      </c>
      <c r="H1519" s="383">
        <v>45348</v>
      </c>
      <c r="I1519" s="349" t="s">
        <v>73</v>
      </c>
      <c r="J1519" s="349" t="s">
        <v>4931</v>
      </c>
      <c r="K1519" s="336" t="s">
        <v>2285</v>
      </c>
      <c r="L1519" s="63" t="s">
        <v>1067</v>
      </c>
      <c r="M1519" s="63" t="s">
        <v>4620</v>
      </c>
      <c r="N1519" s="63" t="s">
        <v>621</v>
      </c>
      <c r="O1519" s="78" t="str">
        <f ca="1">IF(H1519&lt;&gt;"",IF(H1519&lt;=TODAY(),"SI","NO"),"LIMBO")</f>
        <v>SI</v>
      </c>
      <c r="P1519" s="78" t="str">
        <f>IF($P$1=H1519,"DIASOL", "DIANOSOL")</f>
        <v>DIANOSOL</v>
      </c>
      <c r="Q1519" s="63" t="s">
        <v>151</v>
      </c>
      <c r="R1519" s="63" t="str">
        <f>VLOOKUP($Q1519,Resultados!$A$1:$B$49,2,FALSE)</f>
        <v>Prisión Preventiva</v>
      </c>
      <c r="S1519" s="63"/>
      <c r="T1519" s="81" t="str">
        <f>IF(G1519=$J$1,"SI","NO")</f>
        <v>NO</v>
      </c>
      <c r="U1519" s="81"/>
      <c r="V1519" s="7" t="str">
        <f ca="1">IF(color_Celda(E1519)=12106214,"ROSA",IF(color_Celda(E1519)=65535,"AMARILLO",IF(color_Celda(E1519)=5296274,"VERDE",IF(color_Celda(E1519)=16777215,"BLANCO","NO SE"))))</f>
        <v>ROSA</v>
      </c>
      <c r="W1519" s="336"/>
      <c r="X1519" s="336"/>
      <c r="Y1519" s="336"/>
      <c r="Z1519" s="336" t="s">
        <v>743</v>
      </c>
      <c r="AA1519" s="63" t="s">
        <v>3378</v>
      </c>
      <c r="AB1519" s="63" t="s">
        <v>1171</v>
      </c>
      <c r="AC1519" s="336"/>
    </row>
    <row r="1520" spans="1:29" ht="60" customHeight="1">
      <c r="A1520" s="336">
        <v>1629</v>
      </c>
      <c r="B1520" s="349">
        <v>45343</v>
      </c>
      <c r="C1520" s="568">
        <v>0.33333333333333331</v>
      </c>
      <c r="D1520" s="63" t="s">
        <v>4659</v>
      </c>
      <c r="E1520" s="355" t="s">
        <v>4660</v>
      </c>
      <c r="F1520" s="336">
        <v>6</v>
      </c>
      <c r="G1520" s="336" t="s">
        <v>5709</v>
      </c>
      <c r="H1520" s="208">
        <v>45348</v>
      </c>
      <c r="I1520" s="65" t="s">
        <v>73</v>
      </c>
      <c r="J1520" s="349" t="s">
        <v>78</v>
      </c>
      <c r="K1520" s="336">
        <f>IFERROR(VLOOKUP(J1520,Jueces!$A$1:$B$11,2,FALSE),"")</f>
        <v>8</v>
      </c>
      <c r="L1520" s="63" t="s">
        <v>808</v>
      </c>
      <c r="M1520" s="63" t="s">
        <v>2201</v>
      </c>
      <c r="N1520" s="63" t="s">
        <v>6222</v>
      </c>
      <c r="O1520" s="78" t="str">
        <f ca="1">IF(H1520&lt;&gt;"",IF(H1520&lt;=TODAY(),"SI","NO"),"LIMBO")</f>
        <v>SI</v>
      </c>
      <c r="P1520" s="78" t="str">
        <f>IF($P$1=H1520,"DIASOL", "DIANOSOL")</f>
        <v>DIANOSOL</v>
      </c>
      <c r="Q1520" s="63" t="s">
        <v>910</v>
      </c>
      <c r="R1520" s="63" t="str">
        <f>VLOOKUP($Q1520,Resultados!$A$1:$B$49,2,FALSE)</f>
        <v>Suspendida</v>
      </c>
      <c r="S1520" s="63"/>
      <c r="T1520" s="81" t="str">
        <f>IF(G1520=$J$1,"SI","NO")</f>
        <v>NO</v>
      </c>
      <c r="U1520" s="81"/>
      <c r="V1520" s="7" t="str">
        <f ca="1">IF(color_Celda(E1520)=12106214,"ROSA",IF(color_Celda(E1520)=65535,"AMARILLO",IF(color_Celda(E1520)=5296274,"VERDE",IF(color_Celda(E1520)=16777215,"BLANCO","NO SE"))))</f>
        <v>ROSA</v>
      </c>
      <c r="W1520" s="336"/>
      <c r="X1520" s="336"/>
      <c r="Y1520" s="336"/>
      <c r="Z1520" s="336" t="s">
        <v>748</v>
      </c>
      <c r="AA1520" s="336"/>
      <c r="AB1520" s="63" t="s">
        <v>1173</v>
      </c>
      <c r="AC1520" s="336"/>
    </row>
    <row r="1521" spans="1:29" ht="60" customHeight="1">
      <c r="A1521" s="336">
        <v>1512</v>
      </c>
      <c r="B1521" s="349">
        <v>45329</v>
      </c>
      <c r="C1521" s="568">
        <v>0.35416666666666669</v>
      </c>
      <c r="D1521" s="325" t="s">
        <v>5805</v>
      </c>
      <c r="E1521" s="64" t="s">
        <v>5806</v>
      </c>
      <c r="F1521" s="336">
        <v>3</v>
      </c>
      <c r="G1521" s="63" t="s">
        <v>29</v>
      </c>
      <c r="H1521" s="383">
        <v>45348</v>
      </c>
      <c r="I1521" s="65" t="s">
        <v>749</v>
      </c>
      <c r="J1521" s="65" t="s">
        <v>78</v>
      </c>
      <c r="K1521" s="336">
        <v>8</v>
      </c>
      <c r="L1521" s="63" t="s">
        <v>4777</v>
      </c>
      <c r="M1521" s="63" t="s">
        <v>692</v>
      </c>
      <c r="N1521" s="63" t="s">
        <v>6217</v>
      </c>
      <c r="O1521" s="78" t="str">
        <f ca="1">IF(H1521&lt;&gt;"",IF(H1521&lt;=TODAY(),"SI","NO"),"LIMBO")</f>
        <v>SI</v>
      </c>
      <c r="P1521" s="78" t="str">
        <f>IF($P$1=H1521,"DIASOL", "DIANOSOL")</f>
        <v>DIANOSOL</v>
      </c>
      <c r="Q1521" s="63" t="s">
        <v>902</v>
      </c>
      <c r="R1521" s="63" t="str">
        <f>VLOOKUP($Q1521,Resultados!$A$1:$B$49,2,FALSE)</f>
        <v>Juicio Abreviado</v>
      </c>
      <c r="S1521" s="63"/>
      <c r="T1521" s="81" t="str">
        <f>IF(G1521=$J$1,"SI","NO")</f>
        <v>NO</v>
      </c>
      <c r="U1521" s="81"/>
      <c r="V1521" s="7" t="str">
        <f ca="1">IF(color_Celda(E1521)=12106214,"ROSA",IF(color_Celda(E1521)=65535,"AMARILLO",IF(color_Celda(E1521)=5296274,"VERDE",IF(color_Celda(E1521)=16777215,"BLANCO","NO SE"))))</f>
        <v>ROSA</v>
      </c>
      <c r="W1521" s="336"/>
      <c r="X1521" s="336"/>
      <c r="Y1521" s="336"/>
      <c r="Z1521" s="336" t="s">
        <v>748</v>
      </c>
      <c r="AA1521" s="63" t="s">
        <v>3378</v>
      </c>
      <c r="AB1521" s="63" t="s">
        <v>1170</v>
      </c>
      <c r="AC1521" s="336" t="s">
        <v>1792</v>
      </c>
    </row>
    <row r="1522" spans="1:29" ht="60" customHeight="1">
      <c r="A1522" s="336">
        <v>1589</v>
      </c>
      <c r="B1522" s="349">
        <v>45317</v>
      </c>
      <c r="C1522" s="568" t="s">
        <v>3513</v>
      </c>
      <c r="D1522" s="63" t="s">
        <v>5619</v>
      </c>
      <c r="E1522" s="355" t="s">
        <v>5620</v>
      </c>
      <c r="F1522" s="336">
        <v>8</v>
      </c>
      <c r="G1522" s="336" t="s">
        <v>1434</v>
      </c>
      <c r="H1522" s="208">
        <v>45348</v>
      </c>
      <c r="I1522" s="65" t="s">
        <v>1083</v>
      </c>
      <c r="J1522" s="349" t="s">
        <v>1217</v>
      </c>
      <c r="K1522" s="336">
        <f>IFERROR(VLOOKUP(J1522,Jueces!$A$1:$B$11,2,FALSE),"")</f>
        <v>7</v>
      </c>
      <c r="L1522" s="63" t="s">
        <v>789</v>
      </c>
      <c r="M1522" s="63" t="s">
        <v>711</v>
      </c>
      <c r="N1522" s="63" t="s">
        <v>6224</v>
      </c>
      <c r="O1522" s="78" t="str">
        <f ca="1">IF(H1522&lt;&gt;"",IF(H1522&lt;=TODAY(),"SI","NO"),"LIMBO")</f>
        <v>SI</v>
      </c>
      <c r="P1522" s="78" t="str">
        <f>IF($P$1=H1522,"DIASOL", "DIANOSOL")</f>
        <v>DIANOSOL</v>
      </c>
      <c r="Q1522" s="63" t="s">
        <v>902</v>
      </c>
      <c r="R1522" s="63" t="str">
        <f>VLOOKUP($Q1522,Resultados!$A$1:$B$49,2,FALSE)</f>
        <v>Juicio Abreviado</v>
      </c>
      <c r="S1522" s="63"/>
      <c r="T1522" s="81" t="str">
        <f>IF(G1522=$J$1,"SI","NO")</f>
        <v>NO</v>
      </c>
      <c r="U1522" s="81"/>
      <c r="V1522" s="7" t="str">
        <f ca="1">IF(color_Celda(E1522)=12106214,"ROSA",IF(color_Celda(E1522)=65535,"AMARILLO",IF(color_Celda(E1522)=5296274,"VERDE",IF(color_Celda(E1522)=16777215,"BLANCO","NO SE"))))</f>
        <v>ROSA</v>
      </c>
      <c r="W1522" s="336"/>
      <c r="X1522" s="336"/>
      <c r="Y1522" s="336"/>
      <c r="Z1522" s="336" t="s">
        <v>770</v>
      </c>
      <c r="AA1522" s="63" t="s">
        <v>2869</v>
      </c>
      <c r="AB1522" s="63" t="s">
        <v>1169</v>
      </c>
      <c r="AC1522" s="336"/>
    </row>
    <row r="1523" spans="1:29" ht="60" customHeight="1">
      <c r="A1523" s="336">
        <v>1499</v>
      </c>
      <c r="B1523" s="349">
        <v>45327</v>
      </c>
      <c r="C1523" s="568">
        <v>0.53125</v>
      </c>
      <c r="D1523" s="63" t="s">
        <v>5772</v>
      </c>
      <c r="E1523" s="64" t="s">
        <v>5773</v>
      </c>
      <c r="F1523" s="336">
        <v>4</v>
      </c>
      <c r="G1523" s="63" t="s">
        <v>2766</v>
      </c>
      <c r="H1523" s="383">
        <v>45348</v>
      </c>
      <c r="I1523" s="65" t="s">
        <v>1083</v>
      </c>
      <c r="J1523" s="65" t="s">
        <v>1216</v>
      </c>
      <c r="K1523" s="336">
        <f>IFERROR(VLOOKUP(J1523,Jueces!$A$1:$B$11,2,FALSE),"")</f>
        <v>1</v>
      </c>
      <c r="L1523" s="63" t="s">
        <v>4788</v>
      </c>
      <c r="M1523" s="63" t="s">
        <v>694</v>
      </c>
      <c r="N1523" s="63" t="s">
        <v>6219</v>
      </c>
      <c r="O1523" s="78" t="str">
        <f ca="1">IF(H1523&lt;&gt;"",IF(H1523&lt;=TODAY(),"SI","NO"),"LIMBO")</f>
        <v>SI</v>
      </c>
      <c r="P1523" s="78" t="str">
        <f>IF($P$1=H1523,"DIASOL", "DIANOSOL")</f>
        <v>DIANOSOL</v>
      </c>
      <c r="Q1523" s="63" t="s">
        <v>897</v>
      </c>
      <c r="R1523" s="63" t="str">
        <f>VLOOKUP($Q1523,Resultados!$A$1:$B$49,2,FALSE)</f>
        <v>Libertad</v>
      </c>
      <c r="S1523" s="63"/>
      <c r="T1523" s="81" t="str">
        <f>IF(G1523=$J$1,"SI","NO")</f>
        <v>NO</v>
      </c>
      <c r="U1523" s="81"/>
      <c r="V1523" s="7" t="str">
        <f ca="1">IF(color_Celda(E1523)=12106214,"ROSA",IF(color_Celda(E1523)=65535,"AMARILLO",IF(color_Celda(E1523)=5296274,"VERDE",IF(color_Celda(E1523)=16777215,"BLANCO","NO SE"))))</f>
        <v>ROSA</v>
      </c>
      <c r="W1523" s="336"/>
      <c r="X1523" s="336"/>
      <c r="Y1523" s="336"/>
      <c r="Z1523" s="336" t="s">
        <v>1039</v>
      </c>
      <c r="AA1523" s="63" t="s">
        <v>4561</v>
      </c>
      <c r="AB1523" s="63" t="s">
        <v>5776</v>
      </c>
      <c r="AC1523" s="336"/>
    </row>
    <row r="1524" spans="1:29" ht="60" customHeight="1">
      <c r="A1524" s="336">
        <v>1568</v>
      </c>
      <c r="B1524" s="349">
        <v>45330</v>
      </c>
      <c r="C1524" s="568">
        <v>0.4375</v>
      </c>
      <c r="D1524" s="375" t="s">
        <v>4564</v>
      </c>
      <c r="E1524" s="355" t="s">
        <v>4565</v>
      </c>
      <c r="F1524" s="336">
        <v>5</v>
      </c>
      <c r="G1524" s="336" t="s">
        <v>5710</v>
      </c>
      <c r="H1524" s="383">
        <v>45348</v>
      </c>
      <c r="I1524" s="65" t="s">
        <v>1083</v>
      </c>
      <c r="J1524" s="349" t="s">
        <v>35</v>
      </c>
      <c r="K1524" s="336">
        <f>IFERROR(VLOOKUP(J1524,Jueces!$A$1:$B$11,2,FALSE),"")</f>
        <v>3</v>
      </c>
      <c r="L1524" s="63" t="s">
        <v>806</v>
      </c>
      <c r="M1524" s="63" t="s">
        <v>4958</v>
      </c>
      <c r="N1524" s="63" t="s">
        <v>6218</v>
      </c>
      <c r="O1524" s="78" t="str">
        <f ca="1">IF(H1524&lt;&gt;"",IF(H1524&lt;=TODAY(),"SI","NO"),"LIMBO")</f>
        <v>SI</v>
      </c>
      <c r="P1524" s="78" t="str">
        <f>IF($P$1=H1524,"DIASOL", "DIANOSOL")</f>
        <v>DIANOSOL</v>
      </c>
      <c r="Q1524" s="63" t="s">
        <v>151</v>
      </c>
      <c r="R1524" s="63" t="str">
        <f>VLOOKUP($Q1524,Resultados!$A$1:$B$49,2,FALSE)</f>
        <v>Prisión Preventiva</v>
      </c>
      <c r="S1524" s="63"/>
      <c r="T1524" s="81" t="str">
        <f>IF(G1524=$J$1,"SI","NO")</f>
        <v>NO</v>
      </c>
      <c r="U1524" s="81"/>
      <c r="V1524" s="7" t="str">
        <f ca="1">IF(color_Celda(E1524)=12106214,"ROSA",IF(color_Celda(E1524)=65535,"AMARILLO",IF(color_Celda(E1524)=5296274,"VERDE",IF(color_Celda(E1524)=16777215,"BLANCO","NO SE"))))</f>
        <v>ROSA</v>
      </c>
      <c r="W1524" s="336"/>
      <c r="X1524" s="336"/>
      <c r="Y1524" s="336"/>
      <c r="Z1524" s="336" t="s">
        <v>3368</v>
      </c>
      <c r="AA1524" s="63" t="s">
        <v>1167</v>
      </c>
      <c r="AB1524" s="63" t="s">
        <v>3258</v>
      </c>
      <c r="AC1524" s="336" t="s">
        <v>1792</v>
      </c>
    </row>
    <row r="1525" spans="1:29" ht="60" customHeight="1">
      <c r="A1525" s="336">
        <v>1516</v>
      </c>
      <c r="B1525" s="349">
        <v>45328</v>
      </c>
      <c r="C1525" s="568">
        <v>0.40277777777777773</v>
      </c>
      <c r="D1525" s="63" t="s">
        <v>5812</v>
      </c>
      <c r="E1525" s="355" t="s">
        <v>5813</v>
      </c>
      <c r="F1525" s="336">
        <v>3</v>
      </c>
      <c r="G1525" s="63" t="s">
        <v>2752</v>
      </c>
      <c r="H1525" s="383">
        <v>45348</v>
      </c>
      <c r="I1525" s="65" t="s">
        <v>1206</v>
      </c>
      <c r="J1525" s="65" t="s">
        <v>33</v>
      </c>
      <c r="K1525" s="336">
        <f>IFERROR(VLOOKUP(J1525,Jueces!$A$1:$B$11,2,FALSE),"")</f>
        <v>4</v>
      </c>
      <c r="L1525" s="63" t="s">
        <v>4791</v>
      </c>
      <c r="M1525" s="7" t="s">
        <v>693</v>
      </c>
      <c r="N1525" s="63" t="s">
        <v>621</v>
      </c>
      <c r="O1525" s="78" t="str">
        <f ca="1">IF(H1525&lt;&gt;"",IF(H1525&lt;=TODAY(),"SI","NO"),"LIMBO")</f>
        <v>SI</v>
      </c>
      <c r="P1525" s="78" t="str">
        <f>IF($P$1=H1525,"DIASOL", "DIANOSOL")</f>
        <v>DIANOSOL</v>
      </c>
      <c r="Q1525" s="63" t="s">
        <v>151</v>
      </c>
      <c r="R1525" s="63" t="str">
        <f>VLOOKUP($Q1525,Resultados!$A$1:$B$49,2,FALSE)</f>
        <v>Prisión Preventiva</v>
      </c>
      <c r="S1525" s="63"/>
      <c r="T1525" s="81" t="str">
        <f>IF(G1525=$J$1,"SI","NO")</f>
        <v>NO</v>
      </c>
      <c r="U1525" s="81"/>
      <c r="V1525" s="7" t="str">
        <f ca="1">IF(color_Celda(E1525)=12106214,"ROSA",IF(color_Celda(E1525)=65535,"AMARILLO",IF(color_Celda(E1525)=5296274,"VERDE",IF(color_Celda(E1525)=16777215,"BLANCO","NO SE"))))</f>
        <v>ROSA</v>
      </c>
      <c r="W1525" s="336"/>
      <c r="X1525" s="336"/>
      <c r="Y1525" s="336"/>
      <c r="Z1525" s="336" t="s">
        <v>743</v>
      </c>
      <c r="AA1525" s="63" t="s">
        <v>1167</v>
      </c>
      <c r="AB1525" s="63" t="s">
        <v>1171</v>
      </c>
      <c r="AC1525" s="336"/>
    </row>
    <row r="1526" spans="1:29" ht="60" customHeight="1">
      <c r="A1526" s="336">
        <v>1529</v>
      </c>
      <c r="B1526" s="349">
        <v>45330</v>
      </c>
      <c r="C1526" s="568">
        <v>0.36874999999999997</v>
      </c>
      <c r="D1526" s="63" t="s">
        <v>5837</v>
      </c>
      <c r="E1526" s="64" t="s">
        <v>6101</v>
      </c>
      <c r="F1526" s="336">
        <v>4</v>
      </c>
      <c r="G1526" s="336" t="s">
        <v>3324</v>
      </c>
      <c r="H1526" s="208">
        <v>45348</v>
      </c>
      <c r="I1526" s="65" t="s">
        <v>1206</v>
      </c>
      <c r="J1526" s="349" t="s">
        <v>78</v>
      </c>
      <c r="K1526" s="336">
        <f>IFERROR(VLOOKUP(J1526,Jueces!$A$1:$B$11,2,FALSE),"")</f>
        <v>8</v>
      </c>
      <c r="L1526" s="63" t="s">
        <v>802</v>
      </c>
      <c r="M1526" s="63" t="s">
        <v>694</v>
      </c>
      <c r="N1526" s="63" t="s">
        <v>6220</v>
      </c>
      <c r="O1526" s="78" t="str">
        <f ca="1">IF(H1526&lt;&gt;"",IF(H1526&lt;=TODAY(),"SI","NO"),"LIMBO")</f>
        <v>SI</v>
      </c>
      <c r="P1526" s="78" t="str">
        <f>IF($P$1=H1526,"DIASOL", "DIANOSOL")</f>
        <v>DIANOSOL</v>
      </c>
      <c r="Q1526" s="63" t="s">
        <v>910</v>
      </c>
      <c r="R1526" s="63" t="str">
        <f>VLOOKUP($Q1526,Resultados!$A$1:$B$49,2,FALSE)</f>
        <v>Suspendida</v>
      </c>
      <c r="S1526" s="63"/>
      <c r="T1526" s="81" t="str">
        <f>IF(G1526=$J$1,"SI","NO")</f>
        <v>NO</v>
      </c>
      <c r="U1526" s="81"/>
      <c r="V1526" s="7" t="str">
        <f ca="1">IF(color_Celda(E1526)=12106214,"ROSA",IF(color_Celda(E1526)=65535,"AMARILLO",IF(color_Celda(E1526)=5296274,"VERDE",IF(color_Celda(E1526)=16777215,"BLANCO","NO SE"))))</f>
        <v>ROSA</v>
      </c>
      <c r="W1526" s="336"/>
      <c r="X1526" s="336"/>
      <c r="Y1526" s="336"/>
      <c r="Z1526" s="336" t="s">
        <v>748</v>
      </c>
      <c r="AA1526" s="63" t="s">
        <v>2828</v>
      </c>
      <c r="AB1526" s="63" t="s">
        <v>1173</v>
      </c>
      <c r="AC1526" s="336"/>
    </row>
    <row r="1527" spans="1:29" ht="60" customHeight="1">
      <c r="A1527" s="336">
        <v>1533</v>
      </c>
      <c r="B1527" s="349">
        <v>45330</v>
      </c>
      <c r="C1527" s="568">
        <v>0.4548611111111111</v>
      </c>
      <c r="D1527" s="63" t="s">
        <v>5843</v>
      </c>
      <c r="E1527" s="355" t="s">
        <v>5844</v>
      </c>
      <c r="F1527" s="336">
        <v>4</v>
      </c>
      <c r="G1527" s="63" t="s">
        <v>568</v>
      </c>
      <c r="H1527" s="383">
        <v>45348</v>
      </c>
      <c r="I1527" s="65" t="s">
        <v>77</v>
      </c>
      <c r="J1527" s="65" t="s">
        <v>33</v>
      </c>
      <c r="K1527" s="336">
        <f>IFERROR(VLOOKUP(J1527,Jueces!$A$1:$B$11,2,FALSE),"")</f>
        <v>4</v>
      </c>
      <c r="L1527" s="63" t="s">
        <v>4788</v>
      </c>
      <c r="M1527" s="63" t="s">
        <v>693</v>
      </c>
      <c r="N1527" s="63" t="s">
        <v>6223</v>
      </c>
      <c r="O1527" s="78" t="str">
        <f ca="1">IF(H1527&lt;&gt;"",IF(H1527&lt;=TODAY(),"SI","NO"),"LIMBO")</f>
        <v>SI</v>
      </c>
      <c r="P1527" s="78" t="str">
        <f>IF($P$1=H1527,"DIASOL", "DIANOSOL")</f>
        <v>DIANOSOL</v>
      </c>
      <c r="Q1527" s="63" t="s">
        <v>902</v>
      </c>
      <c r="R1527" s="63" t="s">
        <v>100</v>
      </c>
      <c r="S1527" s="63"/>
      <c r="T1527" s="81" t="str">
        <f>IF(G1527=$J$1,"SI","NO")</f>
        <v>NO</v>
      </c>
      <c r="U1527" s="81"/>
      <c r="V1527" s="7" t="str">
        <f ca="1">IF(color_Celda(E1527)=12106214,"ROSA",IF(color_Celda(E1527)=65535,"AMARILLO",IF(color_Celda(E1527)=5296274,"VERDE",IF(color_Celda(E1527)=16777215,"BLANCO","NO SE"))))</f>
        <v>ROSA</v>
      </c>
      <c r="W1527" s="336"/>
      <c r="X1527" s="336"/>
      <c r="Y1527" s="336"/>
      <c r="Z1527" s="336" t="s">
        <v>770</v>
      </c>
      <c r="AA1527" s="63" t="s">
        <v>3379</v>
      </c>
      <c r="AB1527" s="63" t="s">
        <v>1170</v>
      </c>
      <c r="AC1527" s="336"/>
    </row>
    <row r="1528" spans="1:29" ht="60" customHeight="1">
      <c r="A1528" s="336">
        <v>1559</v>
      </c>
      <c r="B1528" s="349">
        <v>45336</v>
      </c>
      <c r="C1528" s="568">
        <v>0.37638888888888888</v>
      </c>
      <c r="D1528" s="63" t="s">
        <v>5961</v>
      </c>
      <c r="E1528" s="355" t="s">
        <v>5960</v>
      </c>
      <c r="F1528" s="336">
        <v>3</v>
      </c>
      <c r="G1528" s="336" t="s">
        <v>2815</v>
      </c>
      <c r="H1528" s="383">
        <v>45348</v>
      </c>
      <c r="I1528" s="65" t="s">
        <v>228</v>
      </c>
      <c r="J1528" s="349" t="s">
        <v>31</v>
      </c>
      <c r="K1528" s="336">
        <f>IFERROR(VLOOKUP(J1528,Jueces!$A$1:$B$11,2,FALSE),"")</f>
        <v>2</v>
      </c>
      <c r="L1528" s="63" t="s">
        <v>4789</v>
      </c>
      <c r="M1528" s="63" t="s">
        <v>693</v>
      </c>
      <c r="N1528" s="63" t="s">
        <v>6221</v>
      </c>
      <c r="O1528" s="78" t="str">
        <f ca="1">IF(H1528&lt;&gt;"",IF(H1528&lt;=TODAY(),"SI","NO"),"LIMBO")</f>
        <v>SI</v>
      </c>
      <c r="P1528" s="78" t="str">
        <f>IF($P$1=H1528,"DIASOL", "DIANOSOL")</f>
        <v>DIANOSOL</v>
      </c>
      <c r="Q1528" s="63" t="s">
        <v>911</v>
      </c>
      <c r="R1528" s="63" t="str">
        <f>VLOOKUP($Q1528,Resultados!$A$1:$B$49,2,FALSE)</f>
        <v>Prision domiciliaria</v>
      </c>
      <c r="S1528" s="63"/>
      <c r="T1528" s="81" t="str">
        <f>IF(G1528=$J$1,"SI","NO")</f>
        <v>NO</v>
      </c>
      <c r="U1528" s="81"/>
      <c r="V1528" s="7" t="str">
        <f ca="1">IF(color_Celda(E1528)=12106214,"ROSA",IF(color_Celda(E1528)=65535,"AMARILLO",IF(color_Celda(E1528)=5296274,"VERDE",IF(color_Celda(E1528)=16777215,"BLANCO","NO SE"))))</f>
        <v>ROSA</v>
      </c>
      <c r="W1528" s="336"/>
      <c r="X1528" s="336"/>
      <c r="Y1528" s="336"/>
      <c r="Z1528" s="336" t="s">
        <v>3368</v>
      </c>
      <c r="AA1528" s="63" t="s">
        <v>2869</v>
      </c>
      <c r="AB1528" s="63" t="s">
        <v>1169</v>
      </c>
      <c r="AC1528" s="336"/>
    </row>
    <row r="1529" spans="1:29" ht="60" customHeight="1">
      <c r="A1529" s="336">
        <v>1426</v>
      </c>
      <c r="B1529" s="349">
        <v>45316</v>
      </c>
      <c r="C1529" s="63" t="s">
        <v>76</v>
      </c>
      <c r="D1529" s="63" t="s">
        <v>5528</v>
      </c>
      <c r="E1529" s="64" t="s">
        <v>6165</v>
      </c>
      <c r="F1529" s="336">
        <v>2</v>
      </c>
      <c r="G1529" s="63" t="s">
        <v>568</v>
      </c>
      <c r="H1529" s="383">
        <v>45349</v>
      </c>
      <c r="I1529" s="65" t="s">
        <v>73</v>
      </c>
      <c r="J1529" s="65" t="s">
        <v>78</v>
      </c>
      <c r="K1529" s="63">
        <v>8</v>
      </c>
      <c r="L1529" s="63" t="s">
        <v>4766</v>
      </c>
      <c r="M1529" s="335" t="s">
        <v>4182</v>
      </c>
      <c r="N1529" s="63" t="s">
        <v>6225</v>
      </c>
      <c r="O1529" s="78" t="str">
        <f ca="1">IF(H1529&lt;&gt;"",IF(H1529&lt;=TODAY(),"SI","NO"),"LIMBO")</f>
        <v>SI</v>
      </c>
      <c r="P1529" s="78" t="str">
        <f>IF($P$1=H1529,"DIASOL", "DIANOSOL")</f>
        <v>DIANOSOL</v>
      </c>
      <c r="Q1529" s="63" t="s">
        <v>903</v>
      </c>
      <c r="R1529" s="63" t="str">
        <f>VLOOKUP($Q1529,Resultados!$A$1:$B$49,2,FALSE)</f>
        <v>Juicio Abreviado</v>
      </c>
      <c r="S1529" s="63"/>
      <c r="T1529" s="81" t="str">
        <f>IF(G1529=$J$1,"SI","NO")</f>
        <v>NO</v>
      </c>
      <c r="U1529" s="81"/>
      <c r="V1529" s="7" t="str">
        <f ca="1">IF(color_Celda(E1529)=12106214,"ROSA",IF(color_Celda(E1529)=65535,"AMARILLO",IF(color_Celda(E1529)=5296274,"VERDE",IF(color_Celda(E1529)=16777215,"BLANCO","NO SE"))))</f>
        <v>ROSA</v>
      </c>
      <c r="W1529" s="336"/>
      <c r="X1529" s="336"/>
      <c r="Y1529" s="336"/>
      <c r="Z1529" s="63" t="s">
        <v>748</v>
      </c>
      <c r="AA1529" s="63" t="s">
        <v>1167</v>
      </c>
      <c r="AB1529" s="63" t="s">
        <v>1170</v>
      </c>
      <c r="AC1529" s="336"/>
    </row>
    <row r="1530" spans="1:29" ht="60" customHeight="1">
      <c r="A1530" s="336">
        <v>1513</v>
      </c>
      <c r="B1530" s="349">
        <v>45328</v>
      </c>
      <c r="C1530" s="568">
        <v>0.4375</v>
      </c>
      <c r="D1530" s="63" t="s">
        <v>5808</v>
      </c>
      <c r="E1530" s="64" t="s">
        <v>5809</v>
      </c>
      <c r="F1530" s="336">
        <v>3</v>
      </c>
      <c r="G1530" s="63" t="s">
        <v>283</v>
      </c>
      <c r="H1530" s="383">
        <v>45349</v>
      </c>
      <c r="I1530" s="65" t="s">
        <v>73</v>
      </c>
      <c r="J1530" s="65" t="s">
        <v>35</v>
      </c>
      <c r="K1530" s="336">
        <f>IFERROR(VLOOKUP(J1530,Jueces!$A$1:$B$11,2,FALSE),"")</f>
        <v>3</v>
      </c>
      <c r="L1530" s="63" t="s">
        <v>4782</v>
      </c>
      <c r="M1530" s="63" t="s">
        <v>693</v>
      </c>
      <c r="N1530" s="63" t="s">
        <v>577</v>
      </c>
      <c r="O1530" s="78" t="str">
        <f ca="1">IF(H1530&lt;&gt;"",IF(H1530&lt;=TODAY(),"SI","NO"),"LIMBO")</f>
        <v>SI</v>
      </c>
      <c r="P1530" s="78" t="str">
        <f>IF($P$1=H1530,"DIASOL", "DIANOSOL")</f>
        <v>DIANOSOL</v>
      </c>
      <c r="Q1530" s="63" t="s">
        <v>151</v>
      </c>
      <c r="R1530" s="63" t="str">
        <f>VLOOKUP($Q1530,Resultados!$A$1:$B$49,2,FALSE)</f>
        <v>Prisión Preventiva</v>
      </c>
      <c r="S1530" s="63"/>
      <c r="T1530" s="81" t="str">
        <f>IF(G1530=$J$1,"SI","NO")</f>
        <v>NO</v>
      </c>
      <c r="U1530" s="81"/>
      <c r="V1530" s="7" t="str">
        <f ca="1">IF(color_Celda(E1530)=12106214,"ROSA",IF(color_Celda(E1530)=65535,"AMARILLO",IF(color_Celda(E1530)=5296274,"VERDE",IF(color_Celda(E1530)=16777215,"BLANCO","NO SE"))))</f>
        <v>ROSA</v>
      </c>
      <c r="W1530" s="336"/>
      <c r="X1530" s="336"/>
      <c r="Y1530" s="336"/>
      <c r="Z1530" s="336" t="s">
        <v>770</v>
      </c>
      <c r="AA1530" s="63" t="s">
        <v>3379</v>
      </c>
      <c r="AB1530" s="63" t="s">
        <v>5776</v>
      </c>
      <c r="AC1530" s="336"/>
    </row>
    <row r="1531" spans="1:29" ht="60" customHeight="1">
      <c r="A1531" s="336">
        <v>1535</v>
      </c>
      <c r="B1531" s="349">
        <v>45330</v>
      </c>
      <c r="C1531" s="568">
        <v>0.41666666666666669</v>
      </c>
      <c r="D1531" s="63" t="s">
        <v>5912</v>
      </c>
      <c r="E1531" s="355" t="s">
        <v>5911</v>
      </c>
      <c r="F1531" s="336">
        <v>3</v>
      </c>
      <c r="G1531" s="63" t="s">
        <v>3791</v>
      </c>
      <c r="H1531" s="383">
        <v>45349</v>
      </c>
      <c r="I1531" s="65" t="s">
        <v>73</v>
      </c>
      <c r="J1531" s="65" t="s">
        <v>1217</v>
      </c>
      <c r="K1531" s="336">
        <f>IFERROR(VLOOKUP(J1531,Jueces!$A$1:$B$11,2,FALSE),"")</f>
        <v>7</v>
      </c>
      <c r="L1531" s="63" t="s">
        <v>4767</v>
      </c>
      <c r="M1531" s="63" t="s">
        <v>1025</v>
      </c>
      <c r="N1531" s="63" t="s">
        <v>6226</v>
      </c>
      <c r="O1531" s="78" t="str">
        <f ca="1">IF(H1531&lt;&gt;"",IF(H1531&lt;=TODAY(),"SI","NO"),"LIMBO")</f>
        <v>SI</v>
      </c>
      <c r="P1531" s="78" t="str">
        <f>IF($P$1=H1531,"DIASOL", "DIANOSOL")</f>
        <v>DIANOSOL</v>
      </c>
      <c r="Q1531" s="63" t="s">
        <v>151</v>
      </c>
      <c r="R1531" s="63" t="str">
        <f>VLOOKUP($Q1531,Resultados!$A$1:$B$49,2,FALSE)</f>
        <v>Prisión Preventiva</v>
      </c>
      <c r="S1531" s="63"/>
      <c r="T1531" s="81" t="str">
        <f>IF(G1531=$J$1,"SI","NO")</f>
        <v>NO</v>
      </c>
      <c r="U1531" s="81"/>
      <c r="V1531" s="7" t="str">
        <f ca="1">IF(color_Celda(E1531)=12106214,"ROSA",IF(color_Celda(E1531)=65535,"AMARILLO",IF(color_Celda(E1531)=5296274,"VERDE",IF(color_Celda(E1531)=16777215,"BLANCO","NO SE"))))</f>
        <v>ROSA</v>
      </c>
      <c r="W1531" s="336"/>
      <c r="X1531" s="336"/>
      <c r="Y1531" s="336"/>
      <c r="Z1531" s="336" t="s">
        <v>3368</v>
      </c>
      <c r="AA1531" s="63" t="s">
        <v>2828</v>
      </c>
      <c r="AB1531" s="63" t="s">
        <v>1169</v>
      </c>
      <c r="AC1531" s="336"/>
    </row>
    <row r="1532" spans="1:29" ht="60" customHeight="1">
      <c r="A1532" s="336">
        <v>1540</v>
      </c>
      <c r="B1532" s="349">
        <v>45331</v>
      </c>
      <c r="C1532" s="568">
        <v>0.33333333333333331</v>
      </c>
      <c r="D1532" s="63" t="s">
        <v>5919</v>
      </c>
      <c r="E1532" s="64" t="s">
        <v>5920</v>
      </c>
      <c r="F1532" s="336">
        <v>4</v>
      </c>
      <c r="G1532" s="63" t="s">
        <v>2766</v>
      </c>
      <c r="H1532" s="383">
        <v>45349</v>
      </c>
      <c r="I1532" s="65" t="s">
        <v>73</v>
      </c>
      <c r="J1532" s="65" t="s">
        <v>4746</v>
      </c>
      <c r="K1532" s="63" t="s">
        <v>3941</v>
      </c>
      <c r="L1532" s="63" t="s">
        <v>4789</v>
      </c>
      <c r="M1532" s="371" t="s">
        <v>1302</v>
      </c>
      <c r="N1532" s="63" t="s">
        <v>621</v>
      </c>
      <c r="O1532" s="78" t="str">
        <f ca="1">IF(H1532&lt;&gt;"",IF(H1532&lt;=TODAY(),"SI","NO"),"LIMBO")</f>
        <v>SI</v>
      </c>
      <c r="P1532" s="78" t="str">
        <f>IF($P$1=H1532,"DIASOL", "DIANOSOL")</f>
        <v>DIANOSOL</v>
      </c>
      <c r="Q1532" s="63" t="s">
        <v>151</v>
      </c>
      <c r="R1532" s="63" t="str">
        <f>VLOOKUP($Q1532,Resultados!$A$1:$B$49,2,FALSE)</f>
        <v>Prisión Preventiva</v>
      </c>
      <c r="S1532" s="63"/>
      <c r="T1532" s="81" t="str">
        <f>IF(G1532=$J$1,"SI","NO")</f>
        <v>NO</v>
      </c>
      <c r="U1532" s="81"/>
      <c r="V1532" s="7" t="str">
        <f ca="1">IF(color_Celda(E1532)=12106214,"ROSA",IF(color_Celda(E1532)=65535,"AMARILLO",IF(color_Celda(E1532)=5296274,"VERDE",IF(color_Celda(E1532)=16777215,"BLANCO","NO SE"))))</f>
        <v>ROSA</v>
      </c>
      <c r="W1532" s="336"/>
      <c r="X1532" s="336"/>
      <c r="Y1532" s="336"/>
      <c r="Z1532" s="336" t="s">
        <v>1038</v>
      </c>
      <c r="AA1532" s="63" t="s">
        <v>2869</v>
      </c>
      <c r="AB1532" s="63" t="s">
        <v>3258</v>
      </c>
      <c r="AC1532" s="336"/>
    </row>
    <row r="1533" spans="1:29" ht="60" customHeight="1">
      <c r="A1533" s="336">
        <v>1556</v>
      </c>
      <c r="B1533" s="349">
        <v>45336</v>
      </c>
      <c r="C1533" s="568">
        <v>0.33333333333333331</v>
      </c>
      <c r="D1533" s="63" t="s">
        <v>5955</v>
      </c>
      <c r="E1533" s="64" t="s">
        <v>5956</v>
      </c>
      <c r="F1533" s="336">
        <v>4</v>
      </c>
      <c r="G1533" s="63" t="s">
        <v>29</v>
      </c>
      <c r="H1533" s="383">
        <v>45349</v>
      </c>
      <c r="I1533" s="65" t="s">
        <v>73</v>
      </c>
      <c r="J1533" s="65" t="s">
        <v>33</v>
      </c>
      <c r="K1533" s="336">
        <f>IFERROR(VLOOKUP(J1533,Jueces!$A$1:$B$11,2,FALSE),"")</f>
        <v>4</v>
      </c>
      <c r="L1533" s="63" t="s">
        <v>806</v>
      </c>
      <c r="M1533" s="7" t="s">
        <v>694</v>
      </c>
      <c r="N1533" s="63" t="s">
        <v>621</v>
      </c>
      <c r="O1533" s="78" t="str">
        <f ca="1">IF(H1533&lt;&gt;"",IF(H1533&lt;=TODAY(),"SI","NO"),"LIMBO")</f>
        <v>SI</v>
      </c>
      <c r="P1533" s="78" t="str">
        <f>IF($P$1=H1533,"DIASOL", "DIANOSOL")</f>
        <v>DIANOSOL</v>
      </c>
      <c r="Q1533" s="63" t="s">
        <v>151</v>
      </c>
      <c r="R1533" s="63" t="s">
        <v>151</v>
      </c>
      <c r="S1533" s="63"/>
      <c r="T1533" s="81" t="str">
        <f>IF(G1533=$J$1,"SI","NO")</f>
        <v>NO</v>
      </c>
      <c r="U1533" s="81"/>
      <c r="V1533" s="7" t="str">
        <f ca="1">IF(color_Celda(E1533)=12106214,"ROSA",IF(color_Celda(E1533)=65535,"AMARILLO",IF(color_Celda(E1533)=5296274,"VERDE",IF(color_Celda(E1533)=16777215,"BLANCO","NO SE"))))</f>
        <v>ROSA</v>
      </c>
      <c r="W1533" s="336"/>
      <c r="X1533" s="336"/>
      <c r="Y1533" s="336"/>
      <c r="Z1533" s="336" t="s">
        <v>743</v>
      </c>
      <c r="AA1533" s="63" t="s">
        <v>3378</v>
      </c>
      <c r="AB1533" s="63" t="s">
        <v>1171</v>
      </c>
      <c r="AC1533" s="336"/>
    </row>
    <row r="1534" spans="1:29" ht="60" customHeight="1">
      <c r="A1534" s="336">
        <v>1509</v>
      </c>
      <c r="B1534" s="349">
        <v>45328</v>
      </c>
      <c r="C1534" s="568">
        <v>0.4694444444444445</v>
      </c>
      <c r="D1534" s="63" t="s">
        <v>5799</v>
      </c>
      <c r="E1534" s="64" t="s">
        <v>5800</v>
      </c>
      <c r="F1534" s="336">
        <v>3</v>
      </c>
      <c r="G1534" s="63" t="s">
        <v>1435</v>
      </c>
      <c r="H1534" s="383">
        <v>45349</v>
      </c>
      <c r="I1534" s="65" t="s">
        <v>1083</v>
      </c>
      <c r="J1534" s="65" t="s">
        <v>1221</v>
      </c>
      <c r="K1534" s="336">
        <f>IFERROR(VLOOKUP(J1534,Jueces!$A$1:$B$11,2,FALSE),"")</f>
        <v>6</v>
      </c>
      <c r="L1534" s="63" t="s">
        <v>805</v>
      </c>
      <c r="M1534" s="63" t="s">
        <v>693</v>
      </c>
      <c r="N1534" s="63" t="s">
        <v>6203</v>
      </c>
      <c r="O1534" s="63" t="str">
        <f ca="1">IF(H1534&lt;&gt;"",IF(H1534&lt;=TODAY(),"SI","NO"),"LIMBO")</f>
        <v>SI</v>
      </c>
      <c r="P1534" s="63" t="str">
        <f>IF($P$1=H1534,"DIASOL", "DIANOSOL")</f>
        <v>DIANOSOL</v>
      </c>
      <c r="Q1534" s="63" t="s">
        <v>909</v>
      </c>
      <c r="R1534" s="63" t="str">
        <f>VLOOKUP($Q1534,Resultados!$A$1:$B$49,2,FALSE)</f>
        <v>Suspendida</v>
      </c>
      <c r="S1534" s="63"/>
      <c r="T1534" s="72" t="str">
        <f>IF(G1534=$J$1,"SI","NO")</f>
        <v>SI</v>
      </c>
      <c r="U1534" s="72"/>
      <c r="V1534" s="7" t="str">
        <f ca="1">IF(color_Celda(E1534)=12106214,"ROSA",IF(color_Celda(E1534)=65535,"AMARILLO",IF(color_Celda(E1534)=5296274,"VERDE",IF(color_Celda(E1534)=16777215,"BLANCO","NO SE"))))</f>
        <v>ROSA</v>
      </c>
      <c r="W1534" s="336"/>
      <c r="X1534" s="336"/>
      <c r="Y1534" s="336"/>
      <c r="Z1534" s="336"/>
      <c r="AA1534" s="63" t="s">
        <v>3378</v>
      </c>
      <c r="AB1534" s="336"/>
      <c r="AC1534" s="336"/>
    </row>
    <row r="1535" spans="1:29" ht="60" customHeight="1">
      <c r="A1535" s="336">
        <v>1530</v>
      </c>
      <c r="B1535" s="349">
        <v>45330</v>
      </c>
      <c r="C1535" s="568">
        <v>0.49027777777777781</v>
      </c>
      <c r="D1535" s="63" t="s">
        <v>5838</v>
      </c>
      <c r="E1535" s="64" t="s">
        <v>6202</v>
      </c>
      <c r="F1535" s="336">
        <v>3</v>
      </c>
      <c r="G1535" s="336" t="s">
        <v>3323</v>
      </c>
      <c r="H1535" s="383">
        <v>45349</v>
      </c>
      <c r="I1535" s="349" t="s">
        <v>1083</v>
      </c>
      <c r="J1535" s="349" t="s">
        <v>35</v>
      </c>
      <c r="K1535" s="336">
        <f>IFERROR(VLOOKUP(J1535,Jueces!$A$1:$B$11,2,FALSE),"")</f>
        <v>3</v>
      </c>
      <c r="L1535" s="63" t="s">
        <v>790</v>
      </c>
      <c r="M1535" s="63" t="s">
        <v>692</v>
      </c>
      <c r="N1535" s="63" t="s">
        <v>2953</v>
      </c>
      <c r="O1535" s="78" t="str">
        <f ca="1">IF(H1535&lt;&gt;"",IF(H1535&lt;=TODAY(),"SI","NO"),"LIMBO")</f>
        <v>SI</v>
      </c>
      <c r="P1535" s="78" t="str">
        <f>IF($P$1=H1535,"DIASOL", "DIANOSOL")</f>
        <v>DIANOSOL</v>
      </c>
      <c r="Q1535" s="63" t="s">
        <v>902</v>
      </c>
      <c r="R1535" s="63" t="str">
        <f>VLOOKUP($Q1535,Resultados!$A$1:$B$49,2,FALSE)</f>
        <v>Juicio Abreviado</v>
      </c>
      <c r="S1535" s="63"/>
      <c r="T1535" s="81" t="str">
        <f>IF(G1535=$J$1,"SI","NO")</f>
        <v>NO</v>
      </c>
      <c r="U1535" s="81"/>
      <c r="V1535" s="7" t="str">
        <f ca="1">IF(color_Celda(E1535)=12106214,"ROSA",IF(color_Celda(E1535)=65535,"AMARILLO",IF(color_Celda(E1535)=5296274,"VERDE",IF(color_Celda(E1535)=16777215,"BLANCO","NO SE"))))</f>
        <v>ROSA</v>
      </c>
      <c r="W1535" s="336"/>
      <c r="X1535" s="336"/>
      <c r="Y1535" s="336"/>
      <c r="Z1535" s="336" t="s">
        <v>770</v>
      </c>
      <c r="AA1535" s="63" t="s">
        <v>2828</v>
      </c>
      <c r="AB1535" s="63" t="s">
        <v>1173</v>
      </c>
      <c r="AC1535" s="336"/>
    </row>
    <row r="1536" spans="1:29" ht="60" customHeight="1">
      <c r="A1536" s="336">
        <v>1550</v>
      </c>
      <c r="B1536" s="349">
        <v>45331</v>
      </c>
      <c r="C1536" s="568">
        <v>0.48958333333333331</v>
      </c>
      <c r="D1536" s="63" t="s">
        <v>5942</v>
      </c>
      <c r="E1536" s="64" t="s">
        <v>5943</v>
      </c>
      <c r="F1536" s="336">
        <v>4</v>
      </c>
      <c r="G1536" s="63" t="s">
        <v>2752</v>
      </c>
      <c r="H1536" s="383">
        <v>45349</v>
      </c>
      <c r="I1536" s="65" t="s">
        <v>1083</v>
      </c>
      <c r="J1536" s="65" t="s">
        <v>4931</v>
      </c>
      <c r="K1536" s="63" t="s">
        <v>3922</v>
      </c>
      <c r="L1536" s="63" t="s">
        <v>4790</v>
      </c>
      <c r="M1536" s="63" t="s">
        <v>694</v>
      </c>
      <c r="N1536" s="63" t="s">
        <v>621</v>
      </c>
      <c r="O1536" s="78" t="str">
        <f ca="1">IF(H1536&lt;&gt;"",IF(H1536&lt;=TODAY(),"SI","NO"),"LIMBO")</f>
        <v>SI</v>
      </c>
      <c r="P1536" s="78" t="str">
        <f>IF($P$1=H1536,"DIASOL", "DIANOSOL")</f>
        <v>DIANOSOL</v>
      </c>
      <c r="Q1536" s="63" t="s">
        <v>151</v>
      </c>
      <c r="R1536" s="63" t="s">
        <v>151</v>
      </c>
      <c r="S1536" s="63"/>
      <c r="T1536" s="81" t="str">
        <f>IF(G1536=$J$1,"SI","NO")</f>
        <v>NO</v>
      </c>
      <c r="U1536" s="81"/>
      <c r="V1536" s="7" t="str">
        <f ca="1">IF(color_Celda(E1536)=12106214,"ROSA",IF(color_Celda(E1536)=65535,"AMARILLO",IF(color_Celda(E1536)=5296274,"VERDE",IF(color_Celda(E1536)=16777215,"BLANCO","NO SE"))))</f>
        <v>ROSA</v>
      </c>
      <c r="W1536" s="336"/>
      <c r="X1536" s="336"/>
      <c r="Y1536" s="336"/>
      <c r="Z1536" s="336" t="s">
        <v>748</v>
      </c>
      <c r="AA1536" s="63" t="s">
        <v>2869</v>
      </c>
      <c r="AB1536" s="63" t="s">
        <v>1170</v>
      </c>
      <c r="AC1536" s="336"/>
    </row>
    <row r="1537" spans="1:29" ht="60" customHeight="1">
      <c r="A1537" s="336">
        <v>1572</v>
      </c>
      <c r="B1537" s="349">
        <v>45337</v>
      </c>
      <c r="C1537" s="568">
        <v>0.5</v>
      </c>
      <c r="D1537" s="63" t="s">
        <v>5988</v>
      </c>
      <c r="E1537" s="355" t="s">
        <v>4377</v>
      </c>
      <c r="F1537" s="336">
        <v>1</v>
      </c>
      <c r="G1537" s="336" t="s">
        <v>1434</v>
      </c>
      <c r="H1537" s="383">
        <v>45349</v>
      </c>
      <c r="I1537" s="65" t="s">
        <v>1083</v>
      </c>
      <c r="J1537" s="349" t="s">
        <v>4932</v>
      </c>
      <c r="K1537" s="63" t="s">
        <v>1916</v>
      </c>
      <c r="L1537" s="63" t="s">
        <v>582</v>
      </c>
      <c r="M1537" s="335" t="s">
        <v>3381</v>
      </c>
      <c r="N1537" s="63" t="s">
        <v>6227</v>
      </c>
      <c r="O1537" s="78" t="str">
        <f ca="1">IF(H1537&lt;&gt;"",IF(H1537&lt;=TODAY(),"SI","NO"),"LIMBO")</f>
        <v>SI</v>
      </c>
      <c r="P1537" s="78" t="str">
        <f>IF($P$1=H1537,"DIASOL", "DIANOSOL")</f>
        <v>DIANOSOL</v>
      </c>
      <c r="Q1537" s="63" t="s">
        <v>902</v>
      </c>
      <c r="R1537" s="63" t="str">
        <f>VLOOKUP($Q1537,Resultados!$A$1:$B$49,2,FALSE)</f>
        <v>Juicio Abreviado</v>
      </c>
      <c r="S1537" s="63"/>
      <c r="T1537" s="81" t="str">
        <f>IF(G1537=$J$1,"SI","NO")</f>
        <v>NO</v>
      </c>
      <c r="U1537" s="81"/>
      <c r="V1537" s="7" t="str">
        <f ca="1">IF(color_Celda(E1537)=12106214,"ROSA",IF(color_Celda(E1537)=65535,"AMARILLO",IF(color_Celda(E1537)=5296274,"VERDE",IF(color_Celda(E1537)=16777215,"BLANCO","NO SE"))))</f>
        <v>ROSA</v>
      </c>
      <c r="W1537" s="336"/>
      <c r="X1537" s="336"/>
      <c r="Y1537" s="336"/>
      <c r="Z1537" s="336" t="s">
        <v>1039</v>
      </c>
      <c r="AA1537" s="63"/>
      <c r="AB1537" s="63" t="s">
        <v>1169</v>
      </c>
      <c r="AC1537" s="336"/>
    </row>
    <row r="1538" spans="1:29" ht="60" customHeight="1">
      <c r="A1538" s="336">
        <v>1630</v>
      </c>
      <c r="B1538" s="349">
        <v>45344</v>
      </c>
      <c r="C1538" s="568">
        <v>0.43888888888888888</v>
      </c>
      <c r="D1538" s="63" t="s">
        <v>4188</v>
      </c>
      <c r="E1538" s="355" t="s">
        <v>6193</v>
      </c>
      <c r="F1538" s="336">
        <v>3</v>
      </c>
      <c r="G1538" s="336" t="s">
        <v>1435</v>
      </c>
      <c r="H1538" s="383">
        <v>45349</v>
      </c>
      <c r="I1538" s="65" t="s">
        <v>1083</v>
      </c>
      <c r="J1538" s="349" t="s">
        <v>33</v>
      </c>
      <c r="K1538" s="336">
        <f>IFERROR(VLOOKUP(J1538,Jueces!$A$1:$B$11,2,FALSE),"")</f>
        <v>4</v>
      </c>
      <c r="L1538" s="63" t="s">
        <v>688</v>
      </c>
      <c r="M1538" s="63" t="s">
        <v>723</v>
      </c>
      <c r="N1538" s="63" t="s">
        <v>621</v>
      </c>
      <c r="O1538" s="78" t="str">
        <f ca="1">IF(H1538&lt;&gt;"",IF(H1538&lt;=TODAY(),"SI","NO"),"LIMBO")</f>
        <v>SI</v>
      </c>
      <c r="P1538" s="78" t="str">
        <f>IF($P$1=H1538,"DIASOL", "DIANOSOL")</f>
        <v>DIANOSOL</v>
      </c>
      <c r="Q1538" s="63" t="s">
        <v>151</v>
      </c>
      <c r="R1538" s="63" t="str">
        <f>VLOOKUP($Q1538,Resultados!$A$1:$B$49,2,FALSE)</f>
        <v>Prisión Preventiva</v>
      </c>
      <c r="S1538" s="63"/>
      <c r="T1538" s="81" t="str">
        <f>IF(G1538=$J$1,"SI","NO")</f>
        <v>SI</v>
      </c>
      <c r="U1538" s="81"/>
      <c r="V1538" s="7" t="str">
        <f ca="1">IF(color_Celda(E1538)=12106214,"ROSA",IF(color_Celda(E1538)=65535,"AMARILLO",IF(color_Celda(E1538)=5296274,"VERDE",IF(color_Celda(E1538)=16777215,"BLANCO","NO SE"))))</f>
        <v>ROSA</v>
      </c>
      <c r="W1538" s="336"/>
      <c r="X1538" s="336"/>
      <c r="Y1538" s="336"/>
      <c r="Z1538" s="336" t="s">
        <v>743</v>
      </c>
      <c r="AA1538" s="63" t="s">
        <v>3379</v>
      </c>
      <c r="AB1538" s="63" t="s">
        <v>5776</v>
      </c>
      <c r="AC1538" s="336"/>
    </row>
    <row r="1539" spans="1:29" ht="60" customHeight="1">
      <c r="A1539" s="336">
        <v>1593</v>
      </c>
      <c r="B1539" s="349">
        <v>45317</v>
      </c>
      <c r="C1539" s="568" t="s">
        <v>1630</v>
      </c>
      <c r="D1539" s="336" t="s">
        <v>5611</v>
      </c>
      <c r="E1539" s="355" t="s">
        <v>5612</v>
      </c>
      <c r="F1539" s="336">
        <v>1</v>
      </c>
      <c r="G1539" s="336" t="s">
        <v>5709</v>
      </c>
      <c r="H1539" s="383">
        <v>45349</v>
      </c>
      <c r="I1539" s="65" t="s">
        <v>1206</v>
      </c>
      <c r="J1539" s="349" t="s">
        <v>1216</v>
      </c>
      <c r="K1539" s="63" t="s">
        <v>4851</v>
      </c>
      <c r="L1539" s="63" t="s">
        <v>569</v>
      </c>
      <c r="M1539" s="63" t="s">
        <v>885</v>
      </c>
      <c r="N1539" s="63" t="s">
        <v>6228</v>
      </c>
      <c r="O1539" s="78" t="str">
        <f ca="1">IF(H1539&lt;&gt;"",IF(H1539&lt;=TODAY(),"SI","NO"),"LIMBO")</f>
        <v>SI</v>
      </c>
      <c r="P1539" s="78" t="str">
        <f>IF($P$1=H1539,"DIASOL", "DIANOSOL")</f>
        <v>DIANOSOL</v>
      </c>
      <c r="Q1539" s="63" t="s">
        <v>902</v>
      </c>
      <c r="R1539" s="63" t="s">
        <v>100</v>
      </c>
      <c r="S1539" s="63"/>
      <c r="T1539" s="81" t="str">
        <f>IF(G1539=$J$1,"SI","NO")</f>
        <v>NO</v>
      </c>
      <c r="U1539" s="81"/>
      <c r="V1539" s="7" t="str">
        <f ca="1">IF(color_Celda(E1539)=12106214,"ROSA",IF(color_Celda(E1539)=65535,"AMARILLO",IF(color_Celda(E1539)=5296274,"VERDE",IF(color_Celda(E1539)=16777215,"BLANCO","NO SE"))))</f>
        <v>ROSA</v>
      </c>
      <c r="W1539" s="336"/>
      <c r="X1539" s="336"/>
      <c r="Y1539" s="336"/>
      <c r="Z1539" s="336" t="s">
        <v>770</v>
      </c>
      <c r="AA1539" s="336"/>
      <c r="AB1539" s="63" t="s">
        <v>3258</v>
      </c>
      <c r="AC1539" s="336"/>
    </row>
    <row r="1540" spans="1:29" ht="60" customHeight="1">
      <c r="A1540" s="336">
        <v>1524</v>
      </c>
      <c r="B1540" s="349">
        <v>45329</v>
      </c>
      <c r="C1540" s="568">
        <v>0.52708333333333335</v>
      </c>
      <c r="D1540" s="63" t="s">
        <v>5823</v>
      </c>
      <c r="E1540" s="355" t="s">
        <v>5821</v>
      </c>
      <c r="F1540" s="336">
        <v>3</v>
      </c>
      <c r="G1540" s="63" t="s">
        <v>3324</v>
      </c>
      <c r="H1540" s="383">
        <v>45349</v>
      </c>
      <c r="I1540" s="65" t="s">
        <v>3171</v>
      </c>
      <c r="J1540" s="65" t="s">
        <v>78</v>
      </c>
      <c r="K1540" s="336">
        <f>IFERROR(VLOOKUP(J1540,Jueces!$A$1:$B$11,2,FALSE),"")</f>
        <v>8</v>
      </c>
      <c r="L1540" s="63" t="s">
        <v>4786</v>
      </c>
      <c r="M1540" s="63" t="s">
        <v>692</v>
      </c>
      <c r="N1540" s="63" t="s">
        <v>6233</v>
      </c>
      <c r="O1540" s="78" t="str">
        <f ca="1">IF(H1540&lt;&gt;"",IF(H1540&lt;=TODAY(),"SI","NO"),"LIMBO")</f>
        <v>SI</v>
      </c>
      <c r="P1540" s="78" t="str">
        <f>IF($P$1=H1540,"DIASOL", "DIANOSOL")</f>
        <v>DIANOSOL</v>
      </c>
      <c r="Q1540" s="63" t="s">
        <v>902</v>
      </c>
      <c r="R1540" s="63" t="str">
        <f>VLOOKUP($Q1540,Resultados!$A$1:$B$49,2,FALSE)</f>
        <v>Juicio Abreviado</v>
      </c>
      <c r="S1540" s="63"/>
      <c r="T1540" s="81" t="str">
        <f>IF(G1540=$J$1,"SI","NO")</f>
        <v>NO</v>
      </c>
      <c r="U1540" s="81"/>
      <c r="V1540" s="7" t="str">
        <f ca="1">IF(color_Celda(E1540)=12106214,"ROSA",IF(color_Celda(E1540)=65535,"AMARILLO",IF(color_Celda(E1540)=5296274,"VERDE",IF(color_Celda(E1540)=16777215,"BLANCO","NO SE"))))</f>
        <v>ROSA</v>
      </c>
      <c r="W1540" s="336"/>
      <c r="X1540" s="336"/>
      <c r="Y1540" s="336"/>
      <c r="Z1540" s="336" t="s">
        <v>748</v>
      </c>
      <c r="AA1540" s="63" t="s">
        <v>1167</v>
      </c>
      <c r="AB1540" s="63" t="s">
        <v>1171</v>
      </c>
      <c r="AC1540" s="336"/>
    </row>
    <row r="1541" spans="1:29" ht="60" customHeight="1">
      <c r="A1541" s="336">
        <v>1539</v>
      </c>
      <c r="B1541" s="349">
        <v>45331</v>
      </c>
      <c r="C1541" s="568">
        <v>0.33333333333333331</v>
      </c>
      <c r="D1541" s="63" t="s">
        <v>5918</v>
      </c>
      <c r="E1541" s="64" t="s">
        <v>6153</v>
      </c>
      <c r="F1541" s="336">
        <v>4</v>
      </c>
      <c r="G1541" s="63" t="s">
        <v>2815</v>
      </c>
      <c r="H1541" s="383">
        <v>45349</v>
      </c>
      <c r="I1541" s="65" t="s">
        <v>547</v>
      </c>
      <c r="J1541" s="65" t="s">
        <v>1217</v>
      </c>
      <c r="K1541" s="336">
        <f>IFERROR(VLOOKUP(J1541,Jueces!$A$1:$B$11,2,FALSE),"")</f>
        <v>7</v>
      </c>
      <c r="L1541" s="63" t="s">
        <v>791</v>
      </c>
      <c r="M1541" s="63" t="s">
        <v>693</v>
      </c>
      <c r="N1541" s="63" t="s">
        <v>6229</v>
      </c>
      <c r="O1541" s="78" t="str">
        <f ca="1">IF(H1541&lt;&gt;"",IF(H1541&lt;=TODAY(),"SI","NO"),"LIMBO")</f>
        <v>SI</v>
      </c>
      <c r="P1541" s="78" t="str">
        <f>IF($P$1=H1541,"DIASOL", "DIANOSOL")</f>
        <v>DIANOSOL</v>
      </c>
      <c r="Q1541" s="63" t="s">
        <v>902</v>
      </c>
      <c r="R1541" s="63" t="str">
        <f>VLOOKUP($Q1541,Resultados!$A$1:$B$49,2,FALSE)</f>
        <v>Juicio Abreviado</v>
      </c>
      <c r="S1541" s="63"/>
      <c r="T1541" s="81" t="str">
        <f>IF(G1541=$J$1,"SI","NO")</f>
        <v>NO</v>
      </c>
      <c r="U1541" s="81"/>
      <c r="V1541" s="7" t="str">
        <f ca="1">IF(color_Celda(E1541)=12106214,"ROSA",IF(color_Celda(E1541)=65535,"AMARILLO",IF(color_Celda(E1541)=5296274,"VERDE",IF(color_Celda(E1541)=16777215,"BLANCO","NO SE"))))</f>
        <v>ROSA</v>
      </c>
      <c r="W1541" s="336"/>
      <c r="X1541" s="336"/>
      <c r="Y1541" s="336"/>
      <c r="Z1541" s="336" t="s">
        <v>3368</v>
      </c>
      <c r="AA1541" s="63" t="s">
        <v>2828</v>
      </c>
      <c r="AB1541" s="63" t="s">
        <v>1173</v>
      </c>
      <c r="AC1541" s="336"/>
    </row>
    <row r="1542" spans="1:29" ht="60" customHeight="1">
      <c r="A1542" s="336">
        <v>1497</v>
      </c>
      <c r="B1542" s="349">
        <v>45327</v>
      </c>
      <c r="C1542" s="568">
        <v>0.53402777777777777</v>
      </c>
      <c r="D1542" s="63" t="s">
        <v>5770</v>
      </c>
      <c r="E1542" s="64" t="s">
        <v>5771</v>
      </c>
      <c r="F1542" s="336">
        <v>8</v>
      </c>
      <c r="G1542" s="336" t="s">
        <v>3323</v>
      </c>
      <c r="H1542" s="383">
        <v>45350</v>
      </c>
      <c r="I1542" s="65" t="s">
        <v>73</v>
      </c>
      <c r="J1542" s="349" t="s">
        <v>1217</v>
      </c>
      <c r="K1542" s="336">
        <v>7</v>
      </c>
      <c r="L1542" s="63" t="s">
        <v>569</v>
      </c>
      <c r="M1542" s="335" t="s">
        <v>4456</v>
      </c>
      <c r="N1542" s="336" t="s">
        <v>6265</v>
      </c>
      <c r="O1542" s="78" t="str">
        <f ca="1">IF(H1542&lt;&gt;"",IF(H1542&lt;=TODAY(),"SI","NO"),"LIMBO")</f>
        <v>SI</v>
      </c>
      <c r="P1542" s="78" t="str">
        <f>IF($P$1=H1542,"DIASOL", "DIANOSOL")</f>
        <v>DIANOSOL</v>
      </c>
      <c r="Q1542" s="63" t="s">
        <v>902</v>
      </c>
      <c r="R1542" s="63" t="str">
        <f>VLOOKUP($Q1542,Resultados!$A$1:$B$49,2,FALSE)</f>
        <v>Juicio Abreviado</v>
      </c>
      <c r="S1542" s="63"/>
      <c r="T1542" s="81" t="str">
        <f>IF(G1542=$J$1,"SI","NO")</f>
        <v>NO</v>
      </c>
      <c r="U1542" s="81"/>
      <c r="V1542" s="7" t="str">
        <f ca="1">IF(color_Celda(E1542)=12106214,"ROSA",IF(color_Celda(E1542)=65535,"AMARILLO",IF(color_Celda(E1542)=5296274,"VERDE",IF(color_Celda(E1542)=16777215,"BLANCO","NO SE"))))</f>
        <v>ROSA</v>
      </c>
      <c r="W1542" s="336"/>
      <c r="X1542" s="336"/>
      <c r="Y1542" s="336"/>
      <c r="Z1542" s="63" t="s">
        <v>748</v>
      </c>
      <c r="AA1542" s="336"/>
      <c r="AB1542" s="63" t="s">
        <v>1169</v>
      </c>
      <c r="AC1542" s="336"/>
    </row>
    <row r="1543" spans="1:29" ht="60" customHeight="1">
      <c r="A1543" s="336">
        <v>1505</v>
      </c>
      <c r="B1543" s="65">
        <v>45328</v>
      </c>
      <c r="C1543" s="568">
        <v>0.33333333333333331</v>
      </c>
      <c r="D1543" s="63" t="s">
        <v>5794</v>
      </c>
      <c r="E1543" s="64" t="s">
        <v>5795</v>
      </c>
      <c r="F1543" s="336">
        <v>4</v>
      </c>
      <c r="G1543" s="336" t="s">
        <v>568</v>
      </c>
      <c r="H1543" s="383">
        <v>45350</v>
      </c>
      <c r="I1543" s="349" t="s">
        <v>73</v>
      </c>
      <c r="J1543" s="349" t="s">
        <v>4746</v>
      </c>
      <c r="K1543" s="336" t="s">
        <v>3776</v>
      </c>
      <c r="L1543" s="63" t="s">
        <v>4766</v>
      </c>
      <c r="M1543" s="63" t="s">
        <v>693</v>
      </c>
      <c r="N1543" s="63" t="s">
        <v>6272</v>
      </c>
      <c r="O1543" s="63" t="str">
        <f ca="1">IF(H1543&lt;&gt;"",IF(H1543&lt;=TODAY(),"SI","NO"),"LIMBO")</f>
        <v>SI</v>
      </c>
      <c r="P1543" s="63" t="str">
        <f>IF($P$1=H1543,"DIASOL", "DIANOSOL")</f>
        <v>DIANOSOL</v>
      </c>
      <c r="Q1543" s="63" t="s">
        <v>902</v>
      </c>
      <c r="R1543" s="63" t="str">
        <f>VLOOKUP($Q1543,Resultados!$A$1:$B$49,2,FALSE)</f>
        <v>Juicio Abreviado</v>
      </c>
      <c r="S1543" s="63"/>
      <c r="T1543" s="72" t="str">
        <f>IF(G1543=$J$1,"SI","NO")</f>
        <v>NO</v>
      </c>
      <c r="U1543" s="72"/>
      <c r="V1543" s="7" t="str">
        <f ca="1">IF(color_Celda(E1543)=12106214,"ROSA",IF(color_Celda(E1543)=65535,"AMARILLO",IF(color_Celda(E1543)=5296274,"VERDE",IF(color_Celda(E1543)=16777215,"BLANCO","NO SE"))))</f>
        <v>ROSA</v>
      </c>
      <c r="W1543" s="336"/>
      <c r="X1543" s="336"/>
      <c r="Y1543" s="336"/>
      <c r="Z1543" s="63" t="s">
        <v>3368</v>
      </c>
      <c r="AA1543" s="63" t="s">
        <v>3379</v>
      </c>
      <c r="AB1543" s="63" t="s">
        <v>5776</v>
      </c>
      <c r="AC1543" s="336"/>
    </row>
    <row r="1544" spans="1:29" ht="60" customHeight="1">
      <c r="A1544" s="336">
        <v>1510</v>
      </c>
      <c r="B1544" s="349">
        <v>45329</v>
      </c>
      <c r="C1544" s="568">
        <v>0.33333333333333331</v>
      </c>
      <c r="D1544" s="63" t="s">
        <v>5801</v>
      </c>
      <c r="E1544" s="64" t="s">
        <v>5802</v>
      </c>
      <c r="F1544" s="336">
        <v>4</v>
      </c>
      <c r="G1544" s="336" t="s">
        <v>2766</v>
      </c>
      <c r="H1544" s="383">
        <v>45350</v>
      </c>
      <c r="I1544" s="65" t="s">
        <v>73</v>
      </c>
      <c r="J1544" s="349" t="s">
        <v>4932</v>
      </c>
      <c r="K1544" s="63" t="s">
        <v>2324</v>
      </c>
      <c r="L1544" s="63" t="s">
        <v>4790</v>
      </c>
      <c r="M1544" s="7" t="s">
        <v>694</v>
      </c>
      <c r="N1544" s="336" t="s">
        <v>6264</v>
      </c>
      <c r="O1544" s="78" t="str">
        <f ca="1">IF(H1544&lt;&gt;"",IF(H1544&lt;=TODAY(),"SI","NO"),"LIMBO")</f>
        <v>SI</v>
      </c>
      <c r="P1544" s="78" t="str">
        <f>IF($P$1=H1544,"DIASOL", "DIANOSOL")</f>
        <v>DIANOSOL</v>
      </c>
      <c r="Q1544" s="63" t="s">
        <v>902</v>
      </c>
      <c r="R1544" s="63" t="str">
        <f>VLOOKUP($Q1544,Resultados!$A$1:$B$49,2,FALSE)</f>
        <v>Juicio Abreviado</v>
      </c>
      <c r="S1544" s="63"/>
      <c r="T1544" s="81" t="str">
        <f>IF(G1544=$J$1,"SI","NO")</f>
        <v>NO</v>
      </c>
      <c r="U1544" s="81"/>
      <c r="V1544" s="7" t="str">
        <f ca="1">IF(color_Celda(E1544)=12106214,"ROSA",IF(color_Celda(E1544)=65535,"AMARILLO",IF(color_Celda(E1544)=5296274,"VERDE",IF(color_Celda(E1544)=16777215,"BLANCO","NO SE"))))</f>
        <v>ROSA</v>
      </c>
      <c r="W1544" s="336"/>
      <c r="X1544" s="336"/>
      <c r="Y1544" s="336"/>
      <c r="Z1544" s="63" t="s">
        <v>743</v>
      </c>
      <c r="AA1544" s="63" t="s">
        <v>2828</v>
      </c>
      <c r="AB1544" s="63" t="s">
        <v>3258</v>
      </c>
      <c r="AC1544" s="336"/>
    </row>
    <row r="1545" spans="1:29" ht="60" customHeight="1">
      <c r="A1545" s="336">
        <v>1567</v>
      </c>
      <c r="B1545" s="349">
        <v>45336</v>
      </c>
      <c r="C1545" s="568">
        <v>0.50555555555555554</v>
      </c>
      <c r="D1545" s="63" t="s">
        <v>5981</v>
      </c>
      <c r="E1545" s="413" t="s">
        <v>5982</v>
      </c>
      <c r="F1545" s="336">
        <v>3</v>
      </c>
      <c r="G1545" s="63" t="s">
        <v>29</v>
      </c>
      <c r="H1545" s="383">
        <v>45350</v>
      </c>
      <c r="I1545" s="65" t="s">
        <v>73</v>
      </c>
      <c r="J1545" s="65" t="s">
        <v>4931</v>
      </c>
      <c r="K1545" s="63" t="s">
        <v>3890</v>
      </c>
      <c r="L1545" s="63" t="s">
        <v>4791</v>
      </c>
      <c r="M1545" s="150" t="s">
        <v>692</v>
      </c>
      <c r="N1545" s="63" t="s">
        <v>621</v>
      </c>
      <c r="O1545" s="63" t="str">
        <f ca="1">IF(H1545&lt;&gt;"",IF(H1545&lt;=TODAY(),"SI","NO"),"LIMBO")</f>
        <v>SI</v>
      </c>
      <c r="P1545" s="63" t="str">
        <f>IF($P$1=H1545,"DIASOL", "DIANOSOL")</f>
        <v>DIANOSOL</v>
      </c>
      <c r="Q1545" s="63" t="s">
        <v>151</v>
      </c>
      <c r="R1545" s="63" t="s">
        <v>151</v>
      </c>
      <c r="S1545" s="63"/>
      <c r="T1545" s="72" t="str">
        <f>IF(G1545=$J$1,"SI","NO")</f>
        <v>NO</v>
      </c>
      <c r="U1545" s="72"/>
      <c r="V1545" s="7" t="str">
        <f ca="1">IF(color_Celda(E1545)=12106214,"ROSA",IF(color_Celda(E1545)=65535,"AMARILLO",IF(color_Celda(E1545)=5296274,"VERDE",IF(color_Celda(E1545)=16777215,"BLANCO","NO SE"))))</f>
        <v>ROSA</v>
      </c>
      <c r="W1545" s="336"/>
      <c r="X1545" s="336"/>
      <c r="Y1545" s="336"/>
      <c r="Z1545" s="63" t="s">
        <v>1038</v>
      </c>
      <c r="AA1545" s="63" t="s">
        <v>3379</v>
      </c>
      <c r="AB1545" s="63" t="s">
        <v>1171</v>
      </c>
      <c r="AC1545" s="336"/>
    </row>
    <row r="1546" spans="1:29" ht="60" customHeight="1">
      <c r="A1546" s="336">
        <v>1487</v>
      </c>
      <c r="B1546" s="349">
        <v>45327</v>
      </c>
      <c r="C1546" s="568">
        <v>0.40625</v>
      </c>
      <c r="D1546" s="63" t="s">
        <v>5753</v>
      </c>
      <c r="E1546" s="64" t="s">
        <v>5752</v>
      </c>
      <c r="F1546" s="336">
        <v>3</v>
      </c>
      <c r="G1546" s="336" t="s">
        <v>3324</v>
      </c>
      <c r="H1546" s="383">
        <v>45350</v>
      </c>
      <c r="I1546" s="65" t="s">
        <v>1083</v>
      </c>
      <c r="J1546" s="349" t="s">
        <v>1217</v>
      </c>
      <c r="K1546" s="336">
        <f>IFERROR(VLOOKUP(J1546,Jueces!$A$1:$B$11,2,FALSE),"")</f>
        <v>7</v>
      </c>
      <c r="L1546" s="63" t="s">
        <v>4790</v>
      </c>
      <c r="M1546" s="339" t="s">
        <v>4512</v>
      </c>
      <c r="N1546" s="63" t="s">
        <v>6267</v>
      </c>
      <c r="O1546" s="78" t="str">
        <f ca="1">IF(H1546&lt;&gt;"",IF(H1546&lt;=TODAY(),"SI","NO"),"LIMBO")</f>
        <v>SI</v>
      </c>
      <c r="P1546" s="78" t="str">
        <f>IF($P$1=H1546,"DIASOL", "DIANOSOL")</f>
        <v>DIANOSOL</v>
      </c>
      <c r="Q1546" s="63" t="s">
        <v>910</v>
      </c>
      <c r="R1546" s="63" t="str">
        <f>VLOOKUP($Q1546,Resultados!$A$1:$B$49,2,FALSE)</f>
        <v>Suspendida</v>
      </c>
      <c r="S1546" s="63"/>
      <c r="T1546" s="81" t="str">
        <f>IF(G1546=$J$1,"SI","NO")</f>
        <v>NO</v>
      </c>
      <c r="U1546" s="81"/>
      <c r="V1546" s="7" t="str">
        <f ca="1">IF(color_Celda(E1546)=12106214,"ROSA",IF(color_Celda(E1546)=65535,"AMARILLO",IF(color_Celda(E1546)=5296274,"VERDE",IF(color_Celda(E1546)=16777215,"BLANCO","NO SE"))))</f>
        <v>ROSA</v>
      </c>
      <c r="W1546" s="336"/>
      <c r="X1546" s="336"/>
      <c r="Y1546" s="336"/>
      <c r="Z1546" s="63" t="s">
        <v>748</v>
      </c>
      <c r="AA1546" s="63" t="s">
        <v>2869</v>
      </c>
      <c r="AB1546" s="63" t="s">
        <v>1173</v>
      </c>
      <c r="AC1546" s="336"/>
    </row>
    <row r="1547" spans="1:29" ht="60" customHeight="1">
      <c r="A1547" s="336">
        <v>1541</v>
      </c>
      <c r="B1547" s="349">
        <v>45331</v>
      </c>
      <c r="C1547" s="568">
        <v>0.33333333333333331</v>
      </c>
      <c r="D1547" s="63" t="s">
        <v>5921</v>
      </c>
      <c r="E1547" s="64" t="s">
        <v>5922</v>
      </c>
      <c r="F1547" s="336">
        <v>4</v>
      </c>
      <c r="G1547" s="336" t="s">
        <v>1435</v>
      </c>
      <c r="H1547" s="383">
        <v>45350</v>
      </c>
      <c r="I1547" s="65" t="s">
        <v>1083</v>
      </c>
      <c r="J1547" s="349" t="s">
        <v>33</v>
      </c>
      <c r="K1547" s="336">
        <v>4</v>
      </c>
      <c r="L1547" s="63" t="s">
        <v>4791</v>
      </c>
      <c r="M1547" s="63" t="s">
        <v>694</v>
      </c>
      <c r="N1547" s="63" t="s">
        <v>5371</v>
      </c>
      <c r="O1547" s="63" t="str">
        <f ca="1">IF(H1547&lt;&gt;"",IF(H1547&lt;=TODAY(),"SI","NO"),"LIMBO")</f>
        <v>SI</v>
      </c>
      <c r="P1547" s="63" t="str">
        <f>IF($P$1=H1547,"DIASOL", "DIANOSOL")</f>
        <v>DIANOSOL</v>
      </c>
      <c r="Q1547" s="63" t="s">
        <v>902</v>
      </c>
      <c r="R1547" s="63" t="str">
        <f>VLOOKUP($Q1547,Resultados!$A$1:$B$49,2,FALSE)</f>
        <v>Juicio Abreviado</v>
      </c>
      <c r="S1547" s="63"/>
      <c r="T1547" s="72" t="str">
        <f>IF(G1547=$J$1,"SI","NO")</f>
        <v>SI</v>
      </c>
      <c r="U1547" s="72"/>
      <c r="V1547" s="7" t="str">
        <f ca="1">IF(color_Celda(E1547)=12106214,"ROSA",IF(color_Celda(E1547)=65535,"AMARILLO",IF(color_Celda(E1547)=5296274,"VERDE",IF(color_Celda(E1547)=16777215,"BLANCO","NO SE"))))</f>
        <v>ROSA</v>
      </c>
      <c r="W1547" s="336"/>
      <c r="X1547" s="336"/>
      <c r="Y1547" s="336"/>
      <c r="Z1547" s="63" t="s">
        <v>770</v>
      </c>
      <c r="AA1547" s="63" t="s">
        <v>2869</v>
      </c>
      <c r="AB1547" s="63" t="s">
        <v>1169</v>
      </c>
      <c r="AC1547" s="336"/>
    </row>
    <row r="1548" spans="1:29" ht="60" customHeight="1">
      <c r="A1548" s="336">
        <v>1544</v>
      </c>
      <c r="B1548" s="349">
        <v>45331</v>
      </c>
      <c r="C1548" s="63" t="s">
        <v>5927</v>
      </c>
      <c r="D1548" s="63" t="s">
        <v>5928</v>
      </c>
      <c r="E1548" s="64" t="s">
        <v>5929</v>
      </c>
      <c r="F1548" s="336">
        <v>3</v>
      </c>
      <c r="G1548" s="63" t="s">
        <v>2752</v>
      </c>
      <c r="H1548" s="383">
        <v>45350</v>
      </c>
      <c r="I1548" s="65" t="s">
        <v>1083</v>
      </c>
      <c r="J1548" s="65" t="s">
        <v>78</v>
      </c>
      <c r="K1548" s="336">
        <f>IFERROR(VLOOKUP(J1548,Jueces!$A$1:$B$11,2,FALSE),"")</f>
        <v>8</v>
      </c>
      <c r="L1548" s="63" t="s">
        <v>4767</v>
      </c>
      <c r="M1548" s="63" t="s">
        <v>692</v>
      </c>
      <c r="N1548" s="63" t="s">
        <v>6266</v>
      </c>
      <c r="O1548" s="78" t="str">
        <f ca="1">IF(H1548&lt;&gt;"",IF(H1548&lt;=TODAY(),"SI","NO"),"LIMBO")</f>
        <v>SI</v>
      </c>
      <c r="P1548" s="78" t="str">
        <f>IF($P$1=H1548,"DIASOL", "DIANOSOL")</f>
        <v>DIANOSOL</v>
      </c>
      <c r="Q1548" s="63" t="s">
        <v>903</v>
      </c>
      <c r="R1548" s="63" t="str">
        <f>VLOOKUP($Q1548,Resultados!$A$1:$B$49,2,FALSE)</f>
        <v>Juicio Abreviado</v>
      </c>
      <c r="S1548" s="63"/>
      <c r="T1548" s="81" t="str">
        <f>IF(G1548=$J$1,"SI","NO")</f>
        <v>NO</v>
      </c>
      <c r="U1548" s="81"/>
      <c r="V1548" s="7" t="str">
        <f ca="1">IF(color_Celda(E1548)=12106214,"ROSA",IF(color_Celda(E1548)=65535,"AMARILLO",IF(color_Celda(E1548)=5296274,"VERDE",IF(color_Celda(E1548)=16777215,"BLANCO","NO SE"))))</f>
        <v>ROSA</v>
      </c>
      <c r="W1548" s="336"/>
      <c r="X1548" s="336"/>
      <c r="Y1548" s="336"/>
      <c r="Z1548" s="63" t="s">
        <v>743</v>
      </c>
      <c r="AA1548" s="150" t="s">
        <v>1167</v>
      </c>
      <c r="AB1548" s="63" t="s">
        <v>5776</v>
      </c>
      <c r="AC1548" s="336"/>
    </row>
    <row r="1549" spans="1:29" ht="60" customHeight="1">
      <c r="A1549" s="336">
        <v>1562</v>
      </c>
      <c r="B1549" s="349">
        <v>45336</v>
      </c>
      <c r="C1549" s="568">
        <v>0.43402777777777773</v>
      </c>
      <c r="D1549" s="63" t="s">
        <v>5966</v>
      </c>
      <c r="E1549" s="64" t="s">
        <v>5967</v>
      </c>
      <c r="F1549" s="336">
        <v>8</v>
      </c>
      <c r="G1549" s="336" t="s">
        <v>3791</v>
      </c>
      <c r="H1549" s="383">
        <v>45350</v>
      </c>
      <c r="I1549" s="65" t="s">
        <v>1083</v>
      </c>
      <c r="J1549" s="349" t="s">
        <v>1216</v>
      </c>
      <c r="K1549" s="336">
        <f>IFERROR(VLOOKUP(J1549,Jueces!$A$1:$B$11,2,FALSE),"")</f>
        <v>1</v>
      </c>
      <c r="L1549" s="63" t="s">
        <v>802</v>
      </c>
      <c r="M1549" s="7" t="s">
        <v>1426</v>
      </c>
      <c r="N1549" s="63" t="s">
        <v>6275</v>
      </c>
      <c r="O1549" s="78" t="str">
        <f ca="1">IF(H1549&lt;&gt;"",IF(H1549&lt;=TODAY(),"SI","NO"),"LIMBO")</f>
        <v>SI</v>
      </c>
      <c r="P1549" s="78" t="str">
        <f>IF($P$1=H1549,"DIASOL", "DIANOSOL")</f>
        <v>DIANOSOL</v>
      </c>
      <c r="Q1549" s="63" t="s">
        <v>909</v>
      </c>
      <c r="R1549" s="63" t="str">
        <f>VLOOKUP($Q1549,Resultados!$A$1:$B$49,2,FALSE)</f>
        <v>Suspendida</v>
      </c>
      <c r="S1549" s="63"/>
      <c r="T1549" s="81" t="str">
        <f>IF(G1549=$J$1,"SI","NO")</f>
        <v>NO</v>
      </c>
      <c r="U1549" s="81"/>
      <c r="V1549" s="7" t="str">
        <f ca="1">IF(color_Celda(E1549)=12106214,"ROSA",IF(color_Celda(E1549)=65535,"AMARILLO",IF(color_Celda(E1549)=5296274,"VERDE",IF(color_Celda(E1549)=16777215,"BLANCO","NO SE"))))</f>
        <v>ROSA</v>
      </c>
      <c r="W1549" s="336"/>
      <c r="X1549" s="336"/>
      <c r="Y1549" s="336"/>
      <c r="Z1549" s="63" t="s">
        <v>3368</v>
      </c>
      <c r="AA1549" s="63" t="s">
        <v>2828</v>
      </c>
      <c r="AB1549" s="63" t="s">
        <v>3258</v>
      </c>
      <c r="AC1549" s="336"/>
    </row>
    <row r="1550" spans="1:29" ht="60" customHeight="1">
      <c r="A1550" s="336">
        <v>1527</v>
      </c>
      <c r="B1550" s="349">
        <v>45330</v>
      </c>
      <c r="C1550" s="568">
        <v>0.36944444444444446</v>
      </c>
      <c r="D1550" s="63" t="s">
        <v>5833</v>
      </c>
      <c r="E1550" s="64" t="s">
        <v>5834</v>
      </c>
      <c r="F1550" s="336">
        <v>4</v>
      </c>
      <c r="G1550" s="336" t="s">
        <v>2815</v>
      </c>
      <c r="H1550" s="383">
        <v>45350</v>
      </c>
      <c r="I1550" s="65" t="s">
        <v>1206</v>
      </c>
      <c r="J1550" s="349" t="s">
        <v>35</v>
      </c>
      <c r="K1550" s="336">
        <f>IFERROR(VLOOKUP(J1550,Jueces!$A$1:$B$11,2,FALSE),"")</f>
        <v>3</v>
      </c>
      <c r="L1550" s="63" t="s">
        <v>4786</v>
      </c>
      <c r="M1550" s="63" t="s">
        <v>694</v>
      </c>
      <c r="N1550" s="63" t="s">
        <v>6276</v>
      </c>
      <c r="O1550" s="206" t="str">
        <f ca="1">IF(H1550&lt;&gt;"",IF(H1550&lt;=TODAY(),"SI","NO"),"LIMBO")</f>
        <v>SI</v>
      </c>
      <c r="P1550" s="206" t="str">
        <f>IF($P$1=H1550,"DIASOL", "DIANOSOL")</f>
        <v>DIANOSOL</v>
      </c>
      <c r="Q1550" s="63" t="s">
        <v>909</v>
      </c>
      <c r="R1550" s="63" t="str">
        <f>VLOOKUP($Q1550,Resultados!$A$1:$B$49,2,FALSE)</f>
        <v>Suspendida</v>
      </c>
      <c r="S1550" s="63"/>
      <c r="T1550" s="267" t="str">
        <f>IF(G1550=$J$1,"SI","NO")</f>
        <v>NO</v>
      </c>
      <c r="U1550" s="267"/>
      <c r="V1550" s="7" t="str">
        <f ca="1">IF(color_Celda(E1550)=12106214,"ROSA",IF(color_Celda(E1550)=65535,"AMARILLO",IF(color_Celda(E1550)=5296274,"VERDE",IF(color_Celda(E1550)=16777215,"BLANCO","NO SE"))))</f>
        <v>ROSA</v>
      </c>
      <c r="W1550" s="336"/>
      <c r="X1550" s="336"/>
      <c r="Y1550" s="336"/>
      <c r="Z1550" s="63" t="s">
        <v>770</v>
      </c>
      <c r="AA1550" s="63" t="s">
        <v>1167</v>
      </c>
      <c r="AB1550" s="63" t="s">
        <v>1171</v>
      </c>
      <c r="AC1550" s="336"/>
    </row>
    <row r="1551" spans="1:29" ht="60" customHeight="1">
      <c r="A1551" s="336">
        <v>1571</v>
      </c>
      <c r="B1551" s="349">
        <v>45337</v>
      </c>
      <c r="C1551" s="568">
        <v>0.375</v>
      </c>
      <c r="D1551" s="63" t="s">
        <v>5986</v>
      </c>
      <c r="E1551" s="355" t="s">
        <v>5987</v>
      </c>
      <c r="F1551" s="336">
        <v>3</v>
      </c>
      <c r="G1551" s="63" t="s">
        <v>5710</v>
      </c>
      <c r="H1551" s="383">
        <v>45350</v>
      </c>
      <c r="I1551" s="65" t="s">
        <v>1206</v>
      </c>
      <c r="J1551" s="65" t="s">
        <v>1216</v>
      </c>
      <c r="K1551" s="336">
        <f>IFERROR(VLOOKUP(J1551,Jueces!$A$1:$B$11,2,FALSE),"")</f>
        <v>1</v>
      </c>
      <c r="L1551" s="63" t="s">
        <v>1693</v>
      </c>
      <c r="M1551" s="63" t="s">
        <v>693</v>
      </c>
      <c r="N1551" s="63" t="s">
        <v>6251</v>
      </c>
      <c r="O1551" s="63" t="str">
        <f ca="1">IF(H1551&lt;&gt;"",IF(H1551&lt;=TODAY(),"SI","NO"),"LIMBO")</f>
        <v>SI</v>
      </c>
      <c r="P1551" s="63" t="str">
        <f>IF($P$1=H1551,"DIASOL", "DIANOSOL")</f>
        <v>DIANOSOL</v>
      </c>
      <c r="Q1551" s="63" t="s">
        <v>151</v>
      </c>
      <c r="R1551" s="63" t="str">
        <f>VLOOKUP($Q1551,Resultados!$A$1:$B$49,2,FALSE)</f>
        <v>Prisión Preventiva</v>
      </c>
      <c r="S1551" s="63"/>
      <c r="T1551" s="72" t="str">
        <f>IF(G1551=$J$1,"SI","NO")</f>
        <v>NO</v>
      </c>
      <c r="U1551" s="72"/>
      <c r="V1551" s="7" t="str">
        <f ca="1">IF(color_Celda(E1551)=12106214,"ROSA",IF(color_Celda(E1551)=65535,"AMARILLO",IF(color_Celda(E1551)=5296274,"VERDE",IF(color_Celda(E1551)=16777215,"BLANCO","NO SE"))))</f>
        <v>ROSA</v>
      </c>
      <c r="W1551" s="336"/>
      <c r="X1551" s="336"/>
      <c r="Y1551" s="336"/>
      <c r="Z1551" s="63" t="s">
        <v>3368</v>
      </c>
      <c r="AA1551" s="63" t="s">
        <v>3378</v>
      </c>
      <c r="AB1551" s="63" t="s">
        <v>1173</v>
      </c>
      <c r="AC1551" s="336"/>
    </row>
    <row r="1552" spans="1:29" ht="60" customHeight="1">
      <c r="A1552" s="336">
        <v>1560</v>
      </c>
      <c r="B1552" s="65">
        <v>45336</v>
      </c>
      <c r="C1552" s="568">
        <v>0.39305555555555555</v>
      </c>
      <c r="D1552" s="63" t="s">
        <v>5962</v>
      </c>
      <c r="E1552" s="355" t="s">
        <v>5963</v>
      </c>
      <c r="F1552" s="336">
        <v>3</v>
      </c>
      <c r="G1552" s="63" t="s">
        <v>1434</v>
      </c>
      <c r="H1552" s="383">
        <v>45350</v>
      </c>
      <c r="I1552" s="65" t="s">
        <v>3171</v>
      </c>
      <c r="J1552" s="65" t="s">
        <v>31</v>
      </c>
      <c r="K1552" s="336">
        <f>IFERROR(VLOOKUP(J1552,Jueces!$A$1:$B$11,2,FALSE),"")</f>
        <v>2</v>
      </c>
      <c r="L1552" s="63" t="s">
        <v>806</v>
      </c>
      <c r="M1552" s="63" t="s">
        <v>693</v>
      </c>
      <c r="N1552" s="515" t="s">
        <v>6268</v>
      </c>
      <c r="O1552" s="78" t="str">
        <f ca="1">IF(H1552&lt;&gt;"",IF(H1552&lt;=TODAY(),"SI","NO"),"LIMBO")</f>
        <v>SI</v>
      </c>
      <c r="P1552" s="78" t="str">
        <f>IF($P$1=H1552,"DIASOL", "DIANOSOL")</f>
        <v>DIANOSOL</v>
      </c>
      <c r="Q1552" s="63" t="s">
        <v>897</v>
      </c>
      <c r="R1552" s="63" t="str">
        <f>VLOOKUP($Q1552,Resultados!$A$1:$B$49,2,FALSE)</f>
        <v>Libertad</v>
      </c>
      <c r="S1552" s="63"/>
      <c r="T1552" s="81" t="str">
        <f>IF(G1552=$J$1,"SI","NO")</f>
        <v>NO</v>
      </c>
      <c r="U1552" s="81"/>
      <c r="V1552" s="7" t="str">
        <f ca="1">IF(color_Celda(E1552)=12106214,"ROSA",IF(color_Celda(E1552)=65535,"AMARILLO",IF(color_Celda(E1552)=5296274,"VERDE",IF(color_Celda(E1552)=16777215,"BLANCO","NO SE"))))</f>
        <v>ROSA</v>
      </c>
      <c r="W1552" s="336"/>
      <c r="X1552" s="336"/>
      <c r="Y1552" s="336"/>
      <c r="Z1552" s="63" t="s">
        <v>748</v>
      </c>
      <c r="AA1552" s="63" t="s">
        <v>2869</v>
      </c>
      <c r="AB1552" s="63" t="s">
        <v>1169</v>
      </c>
      <c r="AC1552" s="336"/>
    </row>
    <row r="1553" spans="1:29" ht="60" customHeight="1">
      <c r="A1553" s="336">
        <v>1543</v>
      </c>
      <c r="B1553" s="349">
        <v>45331</v>
      </c>
      <c r="C1553" s="568">
        <v>0.34652777777777777</v>
      </c>
      <c r="D1553" s="63" t="s">
        <v>5926</v>
      </c>
      <c r="E1553" s="355" t="s">
        <v>5925</v>
      </c>
      <c r="F1553" s="336">
        <v>3</v>
      </c>
      <c r="G1553" s="63" t="s">
        <v>5709</v>
      </c>
      <c r="H1553" s="383">
        <v>45350</v>
      </c>
      <c r="I1553" s="65" t="s">
        <v>77</v>
      </c>
      <c r="J1553" s="65" t="s">
        <v>33</v>
      </c>
      <c r="K1553" s="336">
        <f>IFERROR(VLOOKUP(J1553,Jueces!$A$1:$B$11,2,FALSE),"")</f>
        <v>4</v>
      </c>
      <c r="L1553" s="63" t="s">
        <v>1693</v>
      </c>
      <c r="M1553" s="63" t="s">
        <v>693</v>
      </c>
      <c r="N1553" s="63" t="s">
        <v>6277</v>
      </c>
      <c r="O1553" s="78" t="str">
        <f ca="1">IF(H1553&lt;&gt;"",IF(H1553&lt;=TODAY(),"SI","NO"),"LIMBO")</f>
        <v>SI</v>
      </c>
      <c r="P1553" s="78" t="str">
        <f>IF($P$1=H1553,"DIASOL", "DIANOSOL")</f>
        <v>DIANOSOL</v>
      </c>
      <c r="Q1553" s="63" t="s">
        <v>911</v>
      </c>
      <c r="R1553" s="63" t="str">
        <f>VLOOKUP($Q1553,Resultados!$A$1:$B$49,2,FALSE)</f>
        <v>Prision domiciliaria</v>
      </c>
      <c r="S1553" s="63"/>
      <c r="T1553" s="81" t="str">
        <f>IF(G1553=$J$1,"SI","NO")</f>
        <v>NO</v>
      </c>
      <c r="U1553" s="81"/>
      <c r="V1553" s="7" t="str">
        <f ca="1">IF(color_Celda(E1553)=12106214,"ROSA",IF(color_Celda(E1553)=65535,"AMARILLO",IF(color_Celda(E1553)=5296274,"VERDE",IF(color_Celda(E1553)=16777215,"BLANCO","NO SE"))))</f>
        <v>ROSA</v>
      </c>
      <c r="W1553" s="336"/>
      <c r="X1553" s="336"/>
      <c r="Y1553" s="336"/>
      <c r="Z1553" s="63" t="s">
        <v>770</v>
      </c>
      <c r="AA1553" s="63" t="s">
        <v>1167</v>
      </c>
      <c r="AB1553" s="63" t="s">
        <v>3258</v>
      </c>
      <c r="AC1553" s="336"/>
    </row>
    <row r="1554" spans="1:29" ht="60" customHeight="1">
      <c r="A1554" s="336">
        <v>1504</v>
      </c>
      <c r="B1554" s="349">
        <v>45328</v>
      </c>
      <c r="C1554" s="568">
        <v>0.33333333333333331</v>
      </c>
      <c r="D1554" s="63" t="s">
        <v>5793</v>
      </c>
      <c r="E1554" s="64" t="s">
        <v>5980</v>
      </c>
      <c r="F1554" s="336">
        <v>4</v>
      </c>
      <c r="G1554" s="336" t="s">
        <v>3791</v>
      </c>
      <c r="H1554" s="383">
        <v>45351</v>
      </c>
      <c r="I1554" s="65" t="s">
        <v>73</v>
      </c>
      <c r="J1554" s="349" t="s">
        <v>35</v>
      </c>
      <c r="K1554" s="336">
        <v>3</v>
      </c>
      <c r="L1554" s="63" t="s">
        <v>4791</v>
      </c>
      <c r="M1554" s="7" t="s">
        <v>693</v>
      </c>
      <c r="N1554" s="63" t="s">
        <v>2953</v>
      </c>
      <c r="O1554" s="78" t="str">
        <f ca="1">IF(H1554&lt;&gt;"",IF(H1554&lt;=TODAY(),"SI","NO"),"LIMBO")</f>
        <v>SI</v>
      </c>
      <c r="P1554" s="78" t="str">
        <f>IF($P$1=H1554,"DIASOL", "DIANOSOL")</f>
        <v>DIANOSOL</v>
      </c>
      <c r="Q1554" s="63" t="s">
        <v>902</v>
      </c>
      <c r="R1554" s="63" t="str">
        <f>VLOOKUP($Q1554,Resultados!$A$1:$B$49,2,FALSE)</f>
        <v>Juicio Abreviado</v>
      </c>
      <c r="S1554" s="63"/>
      <c r="T1554" s="81" t="str">
        <f>IF(G1554=$J$1,"SI","NO")</f>
        <v>NO</v>
      </c>
      <c r="U1554" s="81"/>
      <c r="V1554" s="7" t="str">
        <f ca="1">IF(color_Celda(E1554)=12106214,"ROSA",IF(color_Celda(E1554)=65535,"AMARILLO",IF(color_Celda(E1554)=5296274,"VERDE",IF(color_Celda(E1554)=16777215,"BLANCO","NO SE"))))</f>
        <v>ROSA</v>
      </c>
      <c r="W1554" s="336"/>
      <c r="X1554" s="336"/>
      <c r="Y1554" s="336"/>
      <c r="Z1554" s="63" t="s">
        <v>770</v>
      </c>
      <c r="AA1554" s="63" t="s">
        <v>1167</v>
      </c>
      <c r="AB1554" s="63" t="s">
        <v>1171</v>
      </c>
      <c r="AC1554" s="336"/>
    </row>
    <row r="1555" spans="1:29" ht="60" customHeight="1">
      <c r="A1555" s="336">
        <v>1531</v>
      </c>
      <c r="B1555" s="349">
        <v>45330</v>
      </c>
      <c r="C1555" s="568">
        <v>0.48125000000000001</v>
      </c>
      <c r="D1555" s="63" t="s">
        <v>5839</v>
      </c>
      <c r="E1555" s="64" t="s">
        <v>5840</v>
      </c>
      <c r="F1555" s="336">
        <v>3</v>
      </c>
      <c r="G1555" s="63" t="s">
        <v>1433</v>
      </c>
      <c r="H1555" s="383">
        <v>45351</v>
      </c>
      <c r="I1555" s="65" t="s">
        <v>73</v>
      </c>
      <c r="J1555" s="65" t="s">
        <v>4746</v>
      </c>
      <c r="K1555" s="336">
        <v>1</v>
      </c>
      <c r="L1555" s="63" t="s">
        <v>1693</v>
      </c>
      <c r="M1555" s="7" t="s">
        <v>723</v>
      </c>
      <c r="N1555" s="63" t="s">
        <v>6269</v>
      </c>
      <c r="O1555" s="78" t="str">
        <f ca="1">IF(H1555&lt;&gt;"",IF(H1555&lt;=TODAY(),"SI","NO"),"LIMBO")</f>
        <v>SI</v>
      </c>
      <c r="P1555" s="78" t="str">
        <f>IF($P$1=H1555,"DIASOL", "DIANOSOL")</f>
        <v>DIANOSOL</v>
      </c>
      <c r="Q1555" s="63" t="s">
        <v>903</v>
      </c>
      <c r="R1555" s="63" t="str">
        <f>VLOOKUP($Q1555,Resultados!$A$1:$B$49,2,FALSE)</f>
        <v>Juicio Abreviado</v>
      </c>
      <c r="S1555" s="63"/>
      <c r="T1555" s="81" t="str">
        <f>IF(G1555=$J$1,"SI","NO")</f>
        <v>NO</v>
      </c>
      <c r="U1555" s="81"/>
      <c r="V1555" s="7" t="str">
        <f ca="1">IF(color_Celda(E1555)=12106214,"ROSA",IF(color_Celda(E1555)=65535,"AMARILLO",IF(color_Celda(E1555)=5296274,"VERDE",IF(color_Celda(E1555)=16777215,"BLANCO","NO SE"))))</f>
        <v>ROSA</v>
      </c>
      <c r="W1555" s="336"/>
      <c r="X1555" s="336"/>
      <c r="Y1555" s="336"/>
      <c r="Z1555" s="63" t="s">
        <v>748</v>
      </c>
      <c r="AA1555" s="63" t="s">
        <v>2869</v>
      </c>
      <c r="AB1555" s="63" t="s">
        <v>1173</v>
      </c>
      <c r="AC1555" s="336"/>
    </row>
    <row r="1556" spans="1:29" ht="60" customHeight="1">
      <c r="A1556" s="336">
        <v>1534</v>
      </c>
      <c r="B1556" s="349">
        <v>45330</v>
      </c>
      <c r="C1556" s="568">
        <v>0.5</v>
      </c>
      <c r="D1556" s="336" t="s">
        <v>1310</v>
      </c>
      <c r="E1556" s="355" t="s">
        <v>4141</v>
      </c>
      <c r="F1556" s="336">
        <v>3</v>
      </c>
      <c r="G1556" s="63" t="s">
        <v>283</v>
      </c>
      <c r="H1556" s="383">
        <v>45351</v>
      </c>
      <c r="I1556" s="65" t="s">
        <v>73</v>
      </c>
      <c r="J1556" s="65" t="s">
        <v>31</v>
      </c>
      <c r="K1556" s="63">
        <v>2</v>
      </c>
      <c r="L1556" s="63" t="s">
        <v>192</v>
      </c>
      <c r="M1556" s="339" t="s">
        <v>4817</v>
      </c>
      <c r="N1556" s="63" t="s">
        <v>6270</v>
      </c>
      <c r="O1556" s="78" t="str">
        <f ca="1">IF(H1556&lt;&gt;"",IF(H1556&lt;=TODAY(),"SI","NO"),"LIMBO")</f>
        <v>SI</v>
      </c>
      <c r="P1556" s="78" t="str">
        <f>IF($P$1=H1556,"DIASOL", "DIANOSOL")</f>
        <v>DIANOSOL</v>
      </c>
      <c r="Q1556" s="63" t="s">
        <v>151</v>
      </c>
      <c r="R1556" s="63" t="str">
        <f>VLOOKUP($Q1556,Resultados!$A$1:$B$49,2,FALSE)</f>
        <v>Prisión Preventiva</v>
      </c>
      <c r="S1556" s="63"/>
      <c r="T1556" s="81" t="str">
        <f>IF(G1556=$J$1,"SI","NO")</f>
        <v>NO</v>
      </c>
      <c r="U1556" s="81"/>
      <c r="V1556" s="7" t="str">
        <f ca="1">IF(color_Celda(E1556)=12106214,"ROSA",IF(color_Celda(E1556)=65535,"AMARILLO",IF(color_Celda(E1556)=5296274,"VERDE",IF(color_Celda(E1556)=16777215,"BLANCO","NO SE"))))</f>
        <v>ROSA</v>
      </c>
      <c r="W1556" s="336"/>
      <c r="X1556" s="336"/>
      <c r="Y1556" s="336"/>
      <c r="Z1556" s="63" t="s">
        <v>1038</v>
      </c>
      <c r="AA1556" s="63" t="s">
        <v>2828</v>
      </c>
      <c r="AB1556" s="63" t="s">
        <v>1169</v>
      </c>
      <c r="AC1556" s="336"/>
    </row>
    <row r="1557" spans="1:29" ht="60" customHeight="1">
      <c r="A1557" s="336">
        <v>1545</v>
      </c>
      <c r="B1557" s="349">
        <v>45331</v>
      </c>
      <c r="C1557" s="568">
        <v>0.36944444444444446</v>
      </c>
      <c r="D1557" s="63" t="s">
        <v>5930</v>
      </c>
      <c r="E1557" s="355" t="s">
        <v>5931</v>
      </c>
      <c r="F1557" s="336">
        <v>3</v>
      </c>
      <c r="G1557" s="336" t="s">
        <v>1435</v>
      </c>
      <c r="H1557" s="383">
        <v>45351</v>
      </c>
      <c r="I1557" s="65" t="s">
        <v>73</v>
      </c>
      <c r="J1557" s="349" t="s">
        <v>78</v>
      </c>
      <c r="K1557" s="336">
        <f>IFERROR(VLOOKUP(J1557,Jueces!$A$1:$B$11,2,FALSE),"")</f>
        <v>8</v>
      </c>
      <c r="L1557" s="63" t="s">
        <v>4776</v>
      </c>
      <c r="M1557" s="63" t="s">
        <v>693</v>
      </c>
      <c r="N1557" s="63" t="s">
        <v>2550</v>
      </c>
      <c r="O1557" s="78" t="str">
        <f ca="1">IF(H1557&lt;&gt;"",IF(H1557&lt;=TODAY(),"SI","NO"),"LIMBO")</f>
        <v>SI</v>
      </c>
      <c r="P1557" s="78" t="str">
        <f>IF($P$1=H1557,"DIASOL", "DIANOSOL")</f>
        <v>DIANOSOL</v>
      </c>
      <c r="Q1557" s="63" t="s">
        <v>897</v>
      </c>
      <c r="R1557" s="63" t="str">
        <f>VLOOKUP($Q1557,Resultados!$A$1:$B$49,2,FALSE)</f>
        <v>Libertad</v>
      </c>
      <c r="S1557" s="63"/>
      <c r="T1557" s="81" t="str">
        <f>IF(G1557=$J$1,"SI","NO")</f>
        <v>SI</v>
      </c>
      <c r="U1557" s="81"/>
      <c r="V1557" s="7" t="str">
        <f ca="1">IF(color_Celda(E1557)=12106214,"ROSA",IF(color_Celda(E1557)=65535,"AMARILLO",IF(color_Celda(E1557)=5296274,"VERDE",IF(color_Celda(E1557)=16777215,"BLANCO","NO SE"))))</f>
        <v>ROSA</v>
      </c>
      <c r="W1557" s="336"/>
      <c r="X1557" s="336"/>
      <c r="Y1557" s="336"/>
      <c r="Z1557" s="63" t="s">
        <v>3368</v>
      </c>
      <c r="AA1557" s="63" t="s">
        <v>3379</v>
      </c>
      <c r="AB1557" s="63" t="s">
        <v>5776</v>
      </c>
      <c r="AC1557" s="336"/>
    </row>
    <row r="1558" spans="1:29" ht="60" customHeight="1">
      <c r="A1558" s="336">
        <v>1570</v>
      </c>
      <c r="B1558" s="349">
        <v>45337</v>
      </c>
      <c r="C1558" s="568">
        <v>0.375</v>
      </c>
      <c r="D1558" s="63" t="s">
        <v>5985</v>
      </c>
      <c r="E1558" s="355" t="s">
        <v>5984</v>
      </c>
      <c r="F1558" s="336">
        <v>3</v>
      </c>
      <c r="G1558" s="63" t="s">
        <v>5709</v>
      </c>
      <c r="H1558" s="383">
        <v>45351</v>
      </c>
      <c r="I1558" s="65" t="s">
        <v>73</v>
      </c>
      <c r="J1558" s="65" t="s">
        <v>33</v>
      </c>
      <c r="K1558" s="336">
        <f>IFERROR(VLOOKUP(J1558,Jueces!$A$1:$B$11,2,FALSE),"")</f>
        <v>4</v>
      </c>
      <c r="L1558" s="63" t="s">
        <v>569</v>
      </c>
      <c r="M1558" s="335" t="s">
        <v>3381</v>
      </c>
      <c r="N1558" s="72" t="s">
        <v>6271</v>
      </c>
      <c r="O1558" s="78" t="str">
        <f ca="1">IF(H1558&lt;&gt;"",IF(H1558&lt;=TODAY(),"SI","NO"),"LIMBO")</f>
        <v>SI</v>
      </c>
      <c r="P1558" s="78" t="str">
        <f>IF($P$1=H1558,"DIASOL", "DIANOSOL")</f>
        <v>DIANOSOL</v>
      </c>
      <c r="Q1558" s="63" t="s">
        <v>151</v>
      </c>
      <c r="R1558" s="63" t="str">
        <f>VLOOKUP($Q1558,Resultados!$A$1:$B$49,2,FALSE)</f>
        <v>Prisión Preventiva</v>
      </c>
      <c r="S1558" s="63"/>
      <c r="T1558" s="81" t="str">
        <f>IF(G1558=$J$1,"SI","NO")</f>
        <v>NO</v>
      </c>
      <c r="U1558" s="81"/>
      <c r="V1558" s="7" t="str">
        <f ca="1">IF(color_Celda(E1558)=12106214,"ROSA",IF(color_Celda(E1558)=65535,"AMARILLO",IF(color_Celda(E1558)=5296274,"VERDE",IF(color_Celda(E1558)=16777215,"BLANCO","NO SE"))))</f>
        <v>ROSA</v>
      </c>
      <c r="W1558" s="336"/>
      <c r="X1558" s="336"/>
      <c r="Y1558" s="336"/>
      <c r="Z1558" s="63" t="s">
        <v>743</v>
      </c>
      <c r="AA1558" s="63"/>
      <c r="AB1558" s="63" t="s">
        <v>3258</v>
      </c>
      <c r="AC1558" s="336"/>
    </row>
    <row r="1559" spans="1:29" ht="60" customHeight="1">
      <c r="A1559" s="336">
        <v>1591</v>
      </c>
      <c r="B1559" s="349">
        <v>45338</v>
      </c>
      <c r="C1559" s="63" t="s">
        <v>5117</v>
      </c>
      <c r="D1559" s="63" t="s">
        <v>6042</v>
      </c>
      <c r="E1559" s="64" t="s">
        <v>6072</v>
      </c>
      <c r="F1559" s="336">
        <v>8</v>
      </c>
      <c r="G1559" s="336" t="s">
        <v>568</v>
      </c>
      <c r="H1559" s="383">
        <v>45351</v>
      </c>
      <c r="I1559" s="65" t="s">
        <v>73</v>
      </c>
      <c r="J1559" s="349" t="s">
        <v>1217</v>
      </c>
      <c r="K1559" s="336">
        <v>7</v>
      </c>
      <c r="L1559" s="63" t="s">
        <v>582</v>
      </c>
      <c r="M1559" s="63" t="s">
        <v>694</v>
      </c>
      <c r="N1559" s="63" t="s">
        <v>1795</v>
      </c>
      <c r="O1559" s="78" t="str">
        <f ca="1">IF(H1559&lt;&gt;"",IF(H1559&lt;=TODAY(),"SI","NO"),"LIMBO")</f>
        <v>SI</v>
      </c>
      <c r="P1559" s="78" t="str">
        <f>IF($P$1=H1559,"DIASOL", "DIANOSOL")</f>
        <v>DIANOSOL</v>
      </c>
      <c r="Q1559" s="63" t="s">
        <v>151</v>
      </c>
      <c r="R1559" s="63" t="str">
        <f>VLOOKUP($Q1559,Resultados!$A$1:$B$49,2,FALSE)</f>
        <v>Prisión Preventiva</v>
      </c>
      <c r="S1559" s="63"/>
      <c r="T1559" s="81" t="str">
        <f>IF(G1559=$J$1,"SI","NO")</f>
        <v>NO</v>
      </c>
      <c r="U1559" s="81"/>
      <c r="V1559" s="7" t="str">
        <f ca="1">IF(color_Celda(E1559)=12106214,"ROSA",IF(color_Celda(E1559)=65535,"AMARILLO",IF(color_Celda(E1559)=5296274,"VERDE",IF(color_Celda(E1559)=16777215,"BLANCO","NO SE"))))</f>
        <v>ROSA</v>
      </c>
      <c r="W1559" s="336"/>
      <c r="X1559" s="336"/>
      <c r="Y1559" s="336"/>
      <c r="Z1559" s="63" t="s">
        <v>1039</v>
      </c>
      <c r="AA1559" s="63"/>
      <c r="AB1559" s="63" t="s">
        <v>1171</v>
      </c>
      <c r="AC1559" s="336"/>
    </row>
    <row r="1560" spans="1:29" ht="60" customHeight="1">
      <c r="A1560" s="336">
        <v>1528</v>
      </c>
      <c r="B1560" s="349">
        <v>45330</v>
      </c>
      <c r="C1560" s="568">
        <v>0.42222222222222222</v>
      </c>
      <c r="D1560" s="63" t="s">
        <v>5835</v>
      </c>
      <c r="E1560" s="64" t="s">
        <v>5836</v>
      </c>
      <c r="F1560" s="336">
        <v>3</v>
      </c>
      <c r="G1560" s="63" t="s">
        <v>29</v>
      </c>
      <c r="H1560" s="383">
        <v>45351</v>
      </c>
      <c r="I1560" s="65" t="s">
        <v>1083</v>
      </c>
      <c r="J1560" s="65" t="s">
        <v>1216</v>
      </c>
      <c r="K1560" s="336">
        <f>IFERROR(VLOOKUP(J1560,Jueces!$A$1:$B$11,2,FALSE),"")</f>
        <v>1</v>
      </c>
      <c r="L1560" s="63" t="s">
        <v>789</v>
      </c>
      <c r="M1560" s="335" t="s">
        <v>5533</v>
      </c>
      <c r="N1560" s="63" t="s">
        <v>2550</v>
      </c>
      <c r="O1560" s="78" t="str">
        <f ca="1">IF(H1560&lt;&gt;"",IF(H1560&lt;=TODAY(),"SI","NO"),"LIMBO")</f>
        <v>SI</v>
      </c>
      <c r="P1560" s="78" t="str">
        <f>IF($P$1=H1560,"DIASOL", "DIANOSOL")</f>
        <v>DIANOSOL</v>
      </c>
      <c r="Q1560" s="63" t="s">
        <v>897</v>
      </c>
      <c r="R1560" s="63" t="str">
        <f>VLOOKUP($Q1560,Resultados!$A$1:$B$49,2,FALSE)</f>
        <v>Libertad</v>
      </c>
      <c r="S1560" s="63"/>
      <c r="T1560" s="81" t="str">
        <f>IF(G1560=$J$1,"SI","NO")</f>
        <v>NO</v>
      </c>
      <c r="U1560" s="81"/>
      <c r="V1560" s="7" t="str">
        <f ca="1">IF(color_Celda(E1560)=12106214,"ROSA",IF(color_Celda(E1560)=65535,"AMARILLO",IF(color_Celda(E1560)=5296274,"VERDE",IF(color_Celda(E1560)=16777215,"BLANCO","NO SE"))))</f>
        <v>ROSA</v>
      </c>
      <c r="W1560" s="336"/>
      <c r="X1560" s="336"/>
      <c r="Y1560" s="336"/>
      <c r="Z1560" s="63" t="s">
        <v>748</v>
      </c>
      <c r="AA1560" s="63" t="s">
        <v>3379</v>
      </c>
      <c r="AB1560" s="63" t="s">
        <v>1169</v>
      </c>
      <c r="AC1560" s="336"/>
    </row>
    <row r="1561" spans="1:29" ht="60" customHeight="1">
      <c r="A1561" s="336">
        <v>1549</v>
      </c>
      <c r="B1561" s="349">
        <v>45331</v>
      </c>
      <c r="C1561" s="568">
        <v>0.48541666666666666</v>
      </c>
      <c r="D1561" s="63" t="s">
        <v>5940</v>
      </c>
      <c r="E1561" s="355" t="s">
        <v>5941</v>
      </c>
      <c r="F1561" s="336">
        <v>3</v>
      </c>
      <c r="G1561" s="63" t="s">
        <v>5710</v>
      </c>
      <c r="H1561" s="383">
        <v>45351</v>
      </c>
      <c r="I1561" s="65" t="s">
        <v>76</v>
      </c>
      <c r="J1561" s="65" t="s">
        <v>33</v>
      </c>
      <c r="K1561" s="336">
        <f>IFERROR(VLOOKUP(J1561,Jueces!$A$1:$B$11,2,FALSE),"")</f>
        <v>4</v>
      </c>
      <c r="L1561" s="63" t="s">
        <v>569</v>
      </c>
      <c r="M1561" s="63" t="s">
        <v>693</v>
      </c>
      <c r="N1561" s="63" t="s">
        <v>6278</v>
      </c>
      <c r="O1561" s="78" t="str">
        <f ca="1">IF(H1561&lt;&gt;"",IF(H1561&lt;=TODAY(),"SI","NO"),"LIMBO")</f>
        <v>SI</v>
      </c>
      <c r="P1561" s="78" t="str">
        <f>IF($P$1=H1561,"DIASOL", "DIANOSOL")</f>
        <v>DIANOSOL</v>
      </c>
      <c r="Q1561" s="63" t="s">
        <v>1010</v>
      </c>
      <c r="R1561" s="63" t="s">
        <v>947</v>
      </c>
      <c r="S1561" s="63"/>
      <c r="T1561" s="81" t="str">
        <f>IF(G1561=$J$1,"SI","NO")</f>
        <v>NO</v>
      </c>
      <c r="U1561" s="81"/>
      <c r="V1561" s="7" t="str">
        <f ca="1">IF(color_Celda(E1561)=12106214,"ROSA",IF(color_Celda(E1561)=65535,"AMARILLO",IF(color_Celda(E1561)=5296274,"VERDE",IF(color_Celda(E1561)=16777215,"BLANCO","NO SE"))))</f>
        <v>ROSA</v>
      </c>
      <c r="W1561" s="336"/>
      <c r="X1561" s="336"/>
      <c r="Y1561" s="336"/>
      <c r="Z1561" s="63" t="s">
        <v>743</v>
      </c>
      <c r="AA1561" s="336"/>
      <c r="AB1561" s="63" t="s">
        <v>5776</v>
      </c>
      <c r="AC1561" s="336"/>
    </row>
    <row r="1562" spans="1:29" ht="60" customHeight="1">
      <c r="A1562" s="336">
        <v>1551</v>
      </c>
      <c r="B1562" s="349">
        <v>45331</v>
      </c>
      <c r="C1562" s="70" t="s">
        <v>1633</v>
      </c>
      <c r="D1562" s="63" t="s">
        <v>5944</v>
      </c>
      <c r="E1562" s="64" t="s">
        <v>5945</v>
      </c>
      <c r="F1562" s="336">
        <v>4</v>
      </c>
      <c r="G1562" s="336" t="s">
        <v>3323</v>
      </c>
      <c r="H1562" s="383">
        <v>45351</v>
      </c>
      <c r="I1562" s="65" t="s">
        <v>76</v>
      </c>
      <c r="J1562" s="349" t="s">
        <v>4932</v>
      </c>
      <c r="K1562" s="63" t="s">
        <v>2324</v>
      </c>
      <c r="L1562" s="63" t="s">
        <v>582</v>
      </c>
      <c r="M1562" s="339" t="s">
        <v>1877</v>
      </c>
      <c r="N1562" s="63" t="s">
        <v>621</v>
      </c>
      <c r="O1562" s="78" t="str">
        <f ca="1">IF(H1562&lt;&gt;"",IF(H1562&lt;=TODAY(),"SI","NO"),"LIMBO")</f>
        <v>SI</v>
      </c>
      <c r="P1562" s="78" t="str">
        <f>IF($P$1=H1562,"DIASOL", "DIANOSOL")</f>
        <v>DIANOSOL</v>
      </c>
      <c r="Q1562" s="63" t="s">
        <v>151</v>
      </c>
      <c r="R1562" s="63" t="str">
        <f>VLOOKUP($Q1562,Resultados!$A$1:$B$49,2,FALSE)</f>
        <v>Prisión Preventiva</v>
      </c>
      <c r="S1562" s="516"/>
      <c r="T1562" s="492" t="str">
        <f>IF(G1562=$J$1,"SI","NO")</f>
        <v>NO</v>
      </c>
      <c r="U1562" s="492"/>
      <c r="V1562" s="7" t="str">
        <f ca="1">IF(color_Celda(E1562)=12106214,"ROSA",IF(color_Celda(E1562)=65535,"AMARILLO",IF(color_Celda(E1562)=5296274,"VERDE",IF(color_Celda(E1562)=16777215,"BLANCO","NO SE"))))</f>
        <v>ROSA</v>
      </c>
      <c r="W1562" s="517"/>
      <c r="X1562" s="517"/>
      <c r="Y1562" s="517"/>
      <c r="Z1562" s="63" t="s">
        <v>3368</v>
      </c>
      <c r="AA1562" s="63"/>
      <c r="AB1562" s="63" t="s">
        <v>3258</v>
      </c>
      <c r="AC1562" s="517"/>
    </row>
    <row r="1563" spans="1:29" ht="60" customHeight="1">
      <c r="A1563" s="336">
        <v>1538</v>
      </c>
      <c r="B1563" s="349">
        <v>45331</v>
      </c>
      <c r="C1563" s="568">
        <v>0.33333333333333331</v>
      </c>
      <c r="D1563" s="63" t="s">
        <v>5916</v>
      </c>
      <c r="E1563" s="64" t="s">
        <v>5917</v>
      </c>
      <c r="F1563" s="336">
        <v>4</v>
      </c>
      <c r="G1563" s="336" t="s">
        <v>3324</v>
      </c>
      <c r="H1563" s="383">
        <v>45351</v>
      </c>
      <c r="I1563" s="65" t="s">
        <v>1206</v>
      </c>
      <c r="J1563" s="349" t="s">
        <v>31</v>
      </c>
      <c r="K1563" s="336">
        <f>IFERROR(VLOOKUP(J1563,Jueces!$A$1:$B$11,2,FALSE),"")</f>
        <v>2</v>
      </c>
      <c r="L1563" s="63" t="s">
        <v>4791</v>
      </c>
      <c r="M1563" s="63" t="s">
        <v>694</v>
      </c>
      <c r="N1563" s="63" t="s">
        <v>5879</v>
      </c>
      <c r="O1563" s="78" t="str">
        <f ca="1">IF(H1563&lt;&gt;"",IF(H1563&lt;=TODAY(),"SI","NO"),"LIMBO")</f>
        <v>SI</v>
      </c>
      <c r="P1563" s="78" t="str">
        <f>IF($P$1=H1563,"DIASOL", "DIANOSOL")</f>
        <v>DIANOSOL</v>
      </c>
      <c r="Q1563" s="63" t="s">
        <v>902</v>
      </c>
      <c r="R1563" s="63" t="str">
        <f>VLOOKUP($Q1563,Resultados!$A$1:$B$49,2,FALSE)</f>
        <v>Juicio Abreviado</v>
      </c>
      <c r="S1563" s="63"/>
      <c r="T1563" s="81" t="str">
        <f>IF(G1563=$J$1,"SI","NO")</f>
        <v>NO</v>
      </c>
      <c r="U1563" s="81"/>
      <c r="V1563" s="7" t="str">
        <f ca="1">IF(color_Celda(E1563)=12106214,"ROSA",IF(color_Celda(E1563)=65535,"AMARILLO",IF(color_Celda(E1563)=5296274,"VERDE",IF(color_Celda(E1563)=16777215,"BLANCO","NO SE"))))</f>
        <v>ROSA</v>
      </c>
      <c r="W1563" s="336"/>
      <c r="X1563" s="336"/>
      <c r="Y1563" s="336"/>
      <c r="Z1563" s="63" t="s">
        <v>748</v>
      </c>
      <c r="AA1563" s="63" t="s">
        <v>3378</v>
      </c>
      <c r="AB1563" s="63" t="s">
        <v>1171</v>
      </c>
      <c r="AC1563" s="336"/>
    </row>
    <row r="1564" spans="1:29" ht="60" customHeight="1">
      <c r="A1564" s="336">
        <v>1542</v>
      </c>
      <c r="B1564" s="349">
        <v>45331</v>
      </c>
      <c r="C1564" s="568">
        <v>0.33333333333333331</v>
      </c>
      <c r="D1564" s="63" t="s">
        <v>5923</v>
      </c>
      <c r="E1564" s="64" t="s">
        <v>5924</v>
      </c>
      <c r="F1564" s="336">
        <v>4</v>
      </c>
      <c r="G1564" s="63" t="s">
        <v>2752</v>
      </c>
      <c r="H1564" s="383">
        <v>45351</v>
      </c>
      <c r="I1564" s="65" t="s">
        <v>547</v>
      </c>
      <c r="J1564" s="65" t="s">
        <v>78</v>
      </c>
      <c r="K1564" s="336">
        <v>8</v>
      </c>
      <c r="L1564" s="63" t="s">
        <v>4790</v>
      </c>
      <c r="M1564" s="63" t="s">
        <v>694</v>
      </c>
      <c r="N1564" s="63" t="s">
        <v>6279</v>
      </c>
      <c r="O1564" s="78" t="str">
        <f ca="1">IF(H1564&lt;&gt;"",IF(H1564&lt;=TODAY(),"SI","NO"),"LIMBO")</f>
        <v>SI</v>
      </c>
      <c r="P1564" s="78" t="str">
        <f>IF($P$1=H1564,"DIASOL", "DIANOSOL")</f>
        <v>DIANOSOL</v>
      </c>
      <c r="Q1564" s="63" t="s">
        <v>902</v>
      </c>
      <c r="R1564" s="63" t="s">
        <v>100</v>
      </c>
      <c r="S1564" s="63"/>
      <c r="T1564" s="81" t="str">
        <f>IF(G1564=$J$1,"SI","NO")</f>
        <v>NO</v>
      </c>
      <c r="U1564" s="81"/>
      <c r="V1564" s="7" t="str">
        <f ca="1">IF(color_Celda(E1564)=12106214,"ROSA",IF(color_Celda(E1564)=65535,"AMARILLO",IF(color_Celda(E1564)=5296274,"VERDE",IF(color_Celda(E1564)=16777215,"BLANCO","NO SE"))))</f>
        <v>ROSA</v>
      </c>
      <c r="W1564" s="336"/>
      <c r="X1564" s="336"/>
      <c r="Y1564" s="336"/>
      <c r="Z1564" s="63" t="s">
        <v>3368</v>
      </c>
      <c r="AA1564" s="63" t="s">
        <v>1167</v>
      </c>
      <c r="AB1564" s="63" t="s">
        <v>1173</v>
      </c>
      <c r="AC1564" s="336"/>
    </row>
    <row r="1565" spans="1:29" ht="60" customHeight="1">
      <c r="A1565" s="336">
        <v>1489</v>
      </c>
      <c r="B1565" s="349">
        <v>45327</v>
      </c>
      <c r="C1565" s="568">
        <v>0.42708333333333331</v>
      </c>
      <c r="D1565" s="63" t="s">
        <v>5755</v>
      </c>
      <c r="E1565" s="64" t="s">
        <v>5756</v>
      </c>
      <c r="F1565" s="336">
        <v>3</v>
      </c>
      <c r="G1565" s="63" t="s">
        <v>1433</v>
      </c>
      <c r="H1565" s="383">
        <v>45352</v>
      </c>
      <c r="I1565" s="65" t="s">
        <v>73</v>
      </c>
      <c r="J1565" s="65" t="s">
        <v>31</v>
      </c>
      <c r="K1565" s="336">
        <f>IFERROR(VLOOKUP(J1565,Jueces!$A$1:$B$11,2,FALSE),"")</f>
        <v>2</v>
      </c>
      <c r="L1565" s="63" t="s">
        <v>4777</v>
      </c>
      <c r="M1565" s="63" t="s">
        <v>692</v>
      </c>
      <c r="N1565" s="63" t="s">
        <v>4688</v>
      </c>
      <c r="O1565" s="78" t="str">
        <f ca="1">IF(H1565&lt;&gt;"",IF(H1565&lt;=TODAY(),"SI","NO"),"LIMBO")</f>
        <v>SI</v>
      </c>
      <c r="P1565" s="78" t="str">
        <f>IF($P$1=H1565,"DIASOL", "DIANOSOL")</f>
        <v>DIANOSOL</v>
      </c>
      <c r="Q1565" s="63" t="s">
        <v>902</v>
      </c>
      <c r="R1565" s="63" t="str">
        <f>VLOOKUP($Q1565,Resultados!$A$1:$B$49,2,FALSE)</f>
        <v>Juicio Abreviado</v>
      </c>
      <c r="S1565" s="63"/>
      <c r="T1565" s="81" t="str">
        <f>IF(G1565=$J$1,"SI","NO")</f>
        <v>NO</v>
      </c>
      <c r="U1565" s="81"/>
      <c r="V1565" s="7" t="str">
        <f ca="1">IF(color_Celda(E1565)=12106214,"ROSA",IF(color_Celda(E1565)=65535,"AMARILLO",IF(color_Celda(E1565)=5296274,"VERDE",IF(color_Celda(E1565)=16777215,"BLANCO","NO SE"))))</f>
        <v>ROSA</v>
      </c>
      <c r="W1565" s="336"/>
      <c r="X1565" s="336"/>
      <c r="Y1565" s="336"/>
      <c r="Z1565" s="63" t="s">
        <v>4350</v>
      </c>
      <c r="AA1565" s="63" t="s">
        <v>4561</v>
      </c>
      <c r="AB1565" s="336"/>
      <c r="AC1565" s="336"/>
    </row>
    <row r="1566" spans="1:29" ht="60" customHeight="1">
      <c r="A1566" s="336">
        <v>1631</v>
      </c>
      <c r="B1566" s="349">
        <v>45330</v>
      </c>
      <c r="C1566" s="568">
        <v>0.47291666666666665</v>
      </c>
      <c r="D1566" s="336" t="s">
        <v>5841</v>
      </c>
      <c r="E1566" s="64" t="s">
        <v>6261</v>
      </c>
      <c r="F1566" s="336">
        <v>3</v>
      </c>
      <c r="G1566" s="336" t="s">
        <v>2752</v>
      </c>
      <c r="H1566" s="383">
        <v>45352</v>
      </c>
      <c r="I1566" s="65" t="s">
        <v>73</v>
      </c>
      <c r="J1566" s="349" t="s">
        <v>1217</v>
      </c>
      <c r="K1566" s="336">
        <f>IFERROR(VLOOKUP(J1566,Jueces!$A$1:$B$11,2,FALSE),"")</f>
        <v>7</v>
      </c>
      <c r="L1566" s="63" t="s">
        <v>569</v>
      </c>
      <c r="M1566" s="63" t="s">
        <v>2627</v>
      </c>
      <c r="N1566" s="63" t="s">
        <v>6283</v>
      </c>
      <c r="O1566" s="78" t="str">
        <f ca="1">IF(H1566&lt;&gt;"",IF(H1566&lt;=TODAY(),"SI","NO"),"LIMBO")</f>
        <v>SI</v>
      </c>
      <c r="P1566" s="78" t="str">
        <f>IF($P$1=H1566,"DIASOL", "DIANOSOL")</f>
        <v>DIANOSOL</v>
      </c>
      <c r="Q1566" s="63" t="s">
        <v>902</v>
      </c>
      <c r="R1566" s="63" t="str">
        <f>VLOOKUP($Q1566,Resultados!$A$1:$B$49,2,FALSE)</f>
        <v>Juicio Abreviado</v>
      </c>
      <c r="S1566" s="63"/>
      <c r="T1566" s="81" t="str">
        <f>IF(G1566=$J$1,"SI","NO")</f>
        <v>NO</v>
      </c>
      <c r="U1566" s="81"/>
      <c r="V1566" s="7" t="str">
        <f ca="1">IF(color_Celda(E1566)=12106214,"ROSA",IF(color_Celda(E1566)=65535,"AMARILLO",IF(color_Celda(E1566)=5296274,"VERDE",IF(color_Celda(E1566)=16777215,"BLANCO","NO SE"))))</f>
        <v>ROSA</v>
      </c>
      <c r="W1566" s="336"/>
      <c r="X1566" s="336"/>
      <c r="Y1566" s="336"/>
      <c r="Z1566" s="63" t="s">
        <v>3368</v>
      </c>
      <c r="AA1566" s="336"/>
      <c r="AB1566" s="336"/>
      <c r="AC1566" s="336"/>
    </row>
    <row r="1567" spans="1:29" ht="60" customHeight="1">
      <c r="A1567" s="336">
        <v>1566</v>
      </c>
      <c r="B1567" s="349">
        <v>45331</v>
      </c>
      <c r="C1567" s="568">
        <v>0.3840277777777778</v>
      </c>
      <c r="D1567" s="63" t="s">
        <v>5972</v>
      </c>
      <c r="E1567" s="64" t="s">
        <v>5973</v>
      </c>
      <c r="F1567" s="336">
        <v>3</v>
      </c>
      <c r="G1567" s="63" t="s">
        <v>283</v>
      </c>
      <c r="H1567" s="383">
        <v>45352</v>
      </c>
      <c r="I1567" s="65" t="s">
        <v>73</v>
      </c>
      <c r="J1567" s="65" t="s">
        <v>78</v>
      </c>
      <c r="K1567" s="336">
        <f>IFERROR(VLOOKUP(J1567,Jueces!$A$1:$B$11,2,FALSE),"")</f>
        <v>8</v>
      </c>
      <c r="L1567" s="63" t="s">
        <v>4766</v>
      </c>
      <c r="M1567" s="63" t="s">
        <v>693</v>
      </c>
      <c r="N1567" s="63" t="s">
        <v>6282</v>
      </c>
      <c r="O1567" s="78" t="str">
        <f ca="1">IF(H1567&lt;&gt;"",IF(H1567&lt;=TODAY(),"SI","NO"),"LIMBO")</f>
        <v>SI</v>
      </c>
      <c r="P1567" s="78" t="str">
        <f>IF($P$1=H1567,"DIASOL", "DIANOSOL")</f>
        <v>DIANOSOL</v>
      </c>
      <c r="Q1567" s="63" t="s">
        <v>903</v>
      </c>
      <c r="R1567" s="63" t="str">
        <f>VLOOKUP($Q1567,Resultados!$A$1:$B$49,2,FALSE)</f>
        <v>Juicio Abreviado</v>
      </c>
      <c r="S1567" s="63"/>
      <c r="T1567" s="81" t="str">
        <f>IF(G1567=$J$1,"SI","NO")</f>
        <v>NO</v>
      </c>
      <c r="U1567" s="81"/>
      <c r="V1567" s="7" t="str">
        <f ca="1">IF(color_Celda(E1567)=12106214,"ROSA",IF(color_Celda(E1567)=65535,"AMARILLO",IF(color_Celda(E1567)=5296274,"VERDE",IF(color_Celda(E1567)=16777215,"BLANCO","NO SE"))))</f>
        <v>ROSA</v>
      </c>
      <c r="W1567" s="336"/>
      <c r="X1567" s="336"/>
      <c r="Y1567" s="336"/>
      <c r="Z1567" s="63" t="s">
        <v>1038</v>
      </c>
      <c r="AA1567" s="63" t="s">
        <v>2828</v>
      </c>
      <c r="AB1567" s="336"/>
      <c r="AC1567" s="336"/>
    </row>
    <row r="1568" spans="1:29" ht="60" customHeight="1">
      <c r="A1568" s="336">
        <v>1583</v>
      </c>
      <c r="B1568" s="349">
        <v>45336</v>
      </c>
      <c r="C1568" s="568">
        <v>0.5395833333333333</v>
      </c>
      <c r="D1568" s="63" t="s">
        <v>6009</v>
      </c>
      <c r="E1568" s="64" t="s">
        <v>6010</v>
      </c>
      <c r="F1568" s="336">
        <v>4</v>
      </c>
      <c r="G1568" s="63" t="s">
        <v>5709</v>
      </c>
      <c r="H1568" s="383">
        <v>45352</v>
      </c>
      <c r="I1568" s="65" t="s">
        <v>73</v>
      </c>
      <c r="J1568" s="65" t="s">
        <v>33</v>
      </c>
      <c r="K1568" s="336">
        <f>IFERROR(VLOOKUP(J1568,Jueces!$A$1:$B$11,2,FALSE),"")</f>
        <v>4</v>
      </c>
      <c r="L1568" s="63" t="s">
        <v>4788</v>
      </c>
      <c r="M1568" s="63" t="s">
        <v>695</v>
      </c>
      <c r="N1568" s="63" t="s">
        <v>4688</v>
      </c>
      <c r="O1568" s="78" t="str">
        <f ca="1">IF(H1568&lt;&gt;"",IF(H1568&lt;=TODAY(),"SI","NO"),"LIMBO")</f>
        <v>SI</v>
      </c>
      <c r="P1568" s="78" t="str">
        <f>IF($P$1=H1568,"DIASOL", "DIANOSOL")</f>
        <v>DIANOSOL</v>
      </c>
      <c r="Q1568" s="63" t="s">
        <v>902</v>
      </c>
      <c r="R1568" s="63" t="str">
        <f>VLOOKUP($Q1568,Resultados!$A$1:$B$49,2,FALSE)</f>
        <v>Juicio Abreviado</v>
      </c>
      <c r="S1568" s="63"/>
      <c r="T1568" s="81" t="str">
        <f>IF(G1568=$J$1,"SI","NO")</f>
        <v>NO</v>
      </c>
      <c r="U1568" s="81"/>
      <c r="V1568" s="7" t="str">
        <f ca="1">IF(color_Celda(E1568)=12106214,"ROSA",IF(color_Celda(E1568)=65535,"AMARILLO",IF(color_Celda(E1568)=5296274,"VERDE",IF(color_Celda(E1568)=16777215,"BLANCO","NO SE"))))</f>
        <v>ROSA</v>
      </c>
      <c r="W1568" s="336"/>
      <c r="X1568" s="336"/>
      <c r="Y1568" s="336"/>
      <c r="Z1568" s="63" t="s">
        <v>748</v>
      </c>
      <c r="AA1568" s="63" t="s">
        <v>3378</v>
      </c>
      <c r="AB1568" s="336"/>
      <c r="AC1568" s="336"/>
    </row>
    <row r="1569" spans="1:29" ht="60" customHeight="1">
      <c r="A1569" s="336">
        <v>1577</v>
      </c>
      <c r="B1569" s="349">
        <v>45337</v>
      </c>
      <c r="C1569" s="568">
        <v>0.46597222222222223</v>
      </c>
      <c r="D1569" s="63" t="s">
        <v>6000</v>
      </c>
      <c r="E1569" s="64" t="s">
        <v>6247</v>
      </c>
      <c r="F1569" s="336">
        <v>3</v>
      </c>
      <c r="G1569" s="63" t="s">
        <v>29</v>
      </c>
      <c r="H1569" s="383">
        <v>45352</v>
      </c>
      <c r="I1569" s="65" t="s">
        <v>73</v>
      </c>
      <c r="J1569" s="65" t="s">
        <v>4746</v>
      </c>
      <c r="K1569" s="63" t="s">
        <v>3776</v>
      </c>
      <c r="L1569" s="63" t="s">
        <v>789</v>
      </c>
      <c r="M1569" s="63" t="s">
        <v>694</v>
      </c>
      <c r="N1569" s="63" t="s">
        <v>6289</v>
      </c>
      <c r="O1569" s="78" t="str">
        <f ca="1">IF(H1569&lt;&gt;"",IF(H1569&lt;=TODAY(),"SI","NO"),"LIMBO")</f>
        <v>SI</v>
      </c>
      <c r="P1569" s="78" t="str">
        <f>IF($P$1=H1569,"DIASOL", "DIANOSOL")</f>
        <v>DIANOSOL</v>
      </c>
      <c r="Q1569" s="63" t="s">
        <v>909</v>
      </c>
      <c r="R1569" s="63" t="str">
        <f>VLOOKUP($Q1569,Resultados!$A$1:$B$49,2,FALSE)</f>
        <v>Suspendida</v>
      </c>
      <c r="S1569" s="63"/>
      <c r="T1569" s="81" t="str">
        <f>IF(G1569=$J$1,"SI","NO")</f>
        <v>NO</v>
      </c>
      <c r="U1569" s="81"/>
      <c r="V1569" s="7" t="str">
        <f ca="1">IF(color_Celda(E1569)=12106214,"ROSA",IF(color_Celda(E1569)=65535,"AMARILLO",IF(color_Celda(E1569)=5296274,"VERDE",IF(color_Celda(E1569)=16777215,"BLANCO","NO SE"))))</f>
        <v>ROSA</v>
      </c>
      <c r="W1569" s="336"/>
      <c r="X1569" s="336"/>
      <c r="Y1569" s="336"/>
      <c r="Z1569" s="63" t="s">
        <v>6258</v>
      </c>
      <c r="AA1569" s="63" t="s">
        <v>1167</v>
      </c>
      <c r="AB1569" s="336"/>
      <c r="AC1569" s="336"/>
    </row>
    <row r="1570" spans="1:29" ht="60" customHeight="1">
      <c r="A1570" s="336">
        <v>1584</v>
      </c>
      <c r="B1570" s="349">
        <v>45337</v>
      </c>
      <c r="C1570" s="568">
        <v>0.33333333333333331</v>
      </c>
      <c r="D1570" s="63" t="s">
        <v>6011</v>
      </c>
      <c r="E1570" s="64" t="s">
        <v>6132</v>
      </c>
      <c r="F1570" s="336">
        <v>4</v>
      </c>
      <c r="G1570" s="336" t="s">
        <v>2815</v>
      </c>
      <c r="H1570" s="383">
        <v>45352</v>
      </c>
      <c r="I1570" s="349" t="s">
        <v>73</v>
      </c>
      <c r="J1570" s="349" t="s">
        <v>4931</v>
      </c>
      <c r="K1570" s="336" t="s">
        <v>1982</v>
      </c>
      <c r="L1570" s="63" t="s">
        <v>4790</v>
      </c>
      <c r="M1570" s="335" t="s">
        <v>2220</v>
      </c>
      <c r="N1570" s="63" t="s">
        <v>6286</v>
      </c>
      <c r="O1570" s="78" t="str">
        <f ca="1">IF(H1570&lt;&gt;"",IF(H1570&lt;=TODAY(),"SI","NO"),"LIMBO")</f>
        <v>SI</v>
      </c>
      <c r="P1570" s="78" t="str">
        <f>IF($P$1=H1570,"DIASOL", "DIANOSOL")</f>
        <v>DIANOSOL</v>
      </c>
      <c r="Q1570" s="63" t="s">
        <v>909</v>
      </c>
      <c r="R1570" s="63" t="str">
        <f>VLOOKUP($Q1570,Resultados!$A$1:$B$49,2,FALSE)</f>
        <v>Suspendida</v>
      </c>
      <c r="S1570" s="63"/>
      <c r="T1570" s="81" t="str">
        <f>IF(G1570=$J$1,"SI","NO")</f>
        <v>NO</v>
      </c>
      <c r="U1570" s="81"/>
      <c r="V1570" s="7" t="str">
        <f ca="1">IF(color_Celda(E1570)=12106214,"ROSA",IF(color_Celda(E1570)=65535,"AMARILLO",IF(color_Celda(E1570)=5296274,"VERDE",IF(color_Celda(E1570)=16777215,"BLANCO","NO SE"))))</f>
        <v>ROSA</v>
      </c>
      <c r="W1570" s="336"/>
      <c r="X1570" s="336"/>
      <c r="Y1570" s="336"/>
      <c r="Z1570" s="63" t="s">
        <v>743</v>
      </c>
      <c r="AA1570" s="63" t="s">
        <v>3379</v>
      </c>
      <c r="AB1570" s="336"/>
      <c r="AC1570" s="336"/>
    </row>
    <row r="1571" spans="1:29" ht="60" customHeight="1">
      <c r="A1571" s="336">
        <v>1597</v>
      </c>
      <c r="B1571" s="349">
        <v>45341</v>
      </c>
      <c r="C1571" s="568">
        <v>0.40069444444444446</v>
      </c>
      <c r="D1571" s="63" t="s">
        <v>4587</v>
      </c>
      <c r="E1571" s="355" t="s">
        <v>4588</v>
      </c>
      <c r="F1571" s="336">
        <v>3</v>
      </c>
      <c r="G1571" s="336" t="s">
        <v>1434</v>
      </c>
      <c r="H1571" s="383">
        <v>45352</v>
      </c>
      <c r="I1571" s="65" t="s">
        <v>73</v>
      </c>
      <c r="J1571" s="349" t="s">
        <v>35</v>
      </c>
      <c r="K1571" s="336">
        <v>3</v>
      </c>
      <c r="L1571" s="63" t="s">
        <v>192</v>
      </c>
      <c r="M1571" s="63" t="s">
        <v>725</v>
      </c>
      <c r="N1571" s="63" t="s">
        <v>6280</v>
      </c>
      <c r="O1571" s="78" t="str">
        <f ca="1">IF(H1571&lt;&gt;"",IF(H1571&lt;=TODAY(),"SI","NO"),"LIMBO")</f>
        <v>SI</v>
      </c>
      <c r="P1571" s="78" t="str">
        <f>IF($P$1=H1571,"DIASOL", "DIANOSOL")</f>
        <v>DIANOSOL</v>
      </c>
      <c r="Q1571" s="63" t="s">
        <v>1010</v>
      </c>
      <c r="R1571" s="63" t="str">
        <f>VLOOKUP($Q1571,Resultados!$A$1:$B$49,2,FALSE)</f>
        <v>Suspendida</v>
      </c>
      <c r="S1571" s="63"/>
      <c r="T1571" s="81" t="str">
        <f>IF(G1571=$J$1,"SI","NO")</f>
        <v>NO</v>
      </c>
      <c r="U1571" s="81"/>
      <c r="V1571" s="7" t="str">
        <f ca="1">IF(color_Celda(E1571)=12106214,"ROSA",IF(color_Celda(E1571)=65535,"AMARILLO",IF(color_Celda(E1571)=5296274,"VERDE",IF(color_Celda(E1571)=16777215,"BLANCO","NO SE"))))</f>
        <v>ROSA</v>
      </c>
      <c r="W1571" s="336"/>
      <c r="X1571" s="336"/>
      <c r="Y1571" s="336"/>
      <c r="Z1571" s="63" t="s">
        <v>770</v>
      </c>
      <c r="AA1571" s="63"/>
      <c r="AB1571" s="336"/>
      <c r="AC1571" s="336"/>
    </row>
    <row r="1572" spans="1:29" ht="60" customHeight="1">
      <c r="A1572" s="336">
        <v>1625</v>
      </c>
      <c r="B1572" s="349">
        <v>45344</v>
      </c>
      <c r="C1572" s="568">
        <v>0.54166666666666663</v>
      </c>
      <c r="D1572" s="63" t="s">
        <v>5714</v>
      </c>
      <c r="E1572" s="355" t="s">
        <v>5715</v>
      </c>
      <c r="F1572" s="336">
        <v>3</v>
      </c>
      <c r="G1572" s="63" t="s">
        <v>3323</v>
      </c>
      <c r="H1572" s="383">
        <v>45352</v>
      </c>
      <c r="I1572" s="65" t="s">
        <v>73</v>
      </c>
      <c r="J1572" s="65" t="s">
        <v>1216</v>
      </c>
      <c r="K1572" s="63" t="s">
        <v>2375</v>
      </c>
      <c r="L1572" s="63" t="s">
        <v>4778</v>
      </c>
      <c r="M1572" s="63" t="s">
        <v>3819</v>
      </c>
      <c r="N1572" s="63" t="s">
        <v>3356</v>
      </c>
      <c r="O1572" s="78" t="str">
        <f ca="1">IF(H1572&lt;&gt;"",IF(H1572&lt;=TODAY(),"SI","NO"),"LIMBO")</f>
        <v>SI</v>
      </c>
      <c r="P1572" s="78" t="str">
        <f>IF($P$1=H1572,"DIASOL", "DIANOSOL")</f>
        <v>DIANOSOL</v>
      </c>
      <c r="Q1572" s="63" t="s">
        <v>903</v>
      </c>
      <c r="R1572" s="63" t="str">
        <f>VLOOKUP($Q1572,Resultados!$A$1:$B$49,2,FALSE)</f>
        <v>Juicio Abreviado</v>
      </c>
      <c r="S1572" s="63"/>
      <c r="T1572" s="81" t="str">
        <f>IF(G1572=$J$1,"SI","NO")</f>
        <v>NO</v>
      </c>
      <c r="U1572" s="81"/>
      <c r="V1572" s="7" t="str">
        <f ca="1">IF(color_Celda(E1572)=12106214,"ROSA",IF(color_Celda(E1572)=65535,"AMARILLO",IF(color_Celda(E1572)=5296274,"VERDE",IF(color_Celda(E1572)=16777215,"BLANCO","NO SE"))))</f>
        <v>ROSA</v>
      </c>
      <c r="W1572" s="336"/>
      <c r="X1572" s="336"/>
      <c r="Y1572" s="336"/>
      <c r="Z1572" s="63" t="s">
        <v>1039</v>
      </c>
      <c r="AA1572" s="63" t="s">
        <v>2828</v>
      </c>
      <c r="AB1572" s="336"/>
      <c r="AC1572" s="336"/>
    </row>
    <row r="1573" spans="1:29" ht="60" customHeight="1">
      <c r="A1573" s="336">
        <v>1546</v>
      </c>
      <c r="B1573" s="349">
        <v>45331</v>
      </c>
      <c r="C1573" s="568">
        <v>0.47152777777777777</v>
      </c>
      <c r="D1573" s="63" t="s">
        <v>5936</v>
      </c>
      <c r="E1573" s="355" t="s">
        <v>5935</v>
      </c>
      <c r="F1573" s="336">
        <v>3</v>
      </c>
      <c r="G1573" s="63" t="s">
        <v>2766</v>
      </c>
      <c r="H1573" s="383">
        <v>45352</v>
      </c>
      <c r="I1573" s="65" t="s">
        <v>686</v>
      </c>
      <c r="J1573" s="65" t="s">
        <v>35</v>
      </c>
      <c r="K1573" s="63">
        <v>3</v>
      </c>
      <c r="L1573" s="63" t="s">
        <v>4784</v>
      </c>
      <c r="M1573" s="339" t="s">
        <v>4512</v>
      </c>
      <c r="N1573" s="63" t="s">
        <v>6281</v>
      </c>
      <c r="O1573" s="78" t="str">
        <f ca="1">IF(H1573&lt;&gt;"",IF(H1573&lt;=TODAY(),"SI","NO"),"LIMBO")</f>
        <v>SI</v>
      </c>
      <c r="P1573" s="78" t="str">
        <f>IF($P$1=H1573,"DIASOL", "DIANOSOL")</f>
        <v>DIANOSOL</v>
      </c>
      <c r="Q1573" s="63" t="s">
        <v>151</v>
      </c>
      <c r="R1573" s="63" t="str">
        <f>VLOOKUP($Q1573,Resultados!$A$1:$B$49,2,FALSE)</f>
        <v>Prisión Preventiva</v>
      </c>
      <c r="S1573" s="63"/>
      <c r="T1573" s="81" t="str">
        <f>IF(G1573=$J$1,"SI","NO")</f>
        <v>NO</v>
      </c>
      <c r="U1573" s="81"/>
      <c r="V1573" s="7" t="str">
        <f ca="1">IF(color_Celda(E1573)=12106214,"ROSA",IF(color_Celda(E1573)=65535,"AMARILLO",IF(color_Celda(E1573)=5296274,"VERDE",IF(color_Celda(E1573)=16777215,"BLANCO","NO SE"))))</f>
        <v>ROSA</v>
      </c>
      <c r="W1573" s="336"/>
      <c r="X1573" s="336"/>
      <c r="Y1573" s="336"/>
      <c r="Z1573" s="63" t="s">
        <v>770</v>
      </c>
      <c r="AA1573" s="63" t="s">
        <v>2828</v>
      </c>
      <c r="AB1573" s="63" t="s">
        <v>1173</v>
      </c>
      <c r="AC1573" s="336"/>
    </row>
    <row r="1574" spans="1:29" ht="60" customHeight="1">
      <c r="A1574" s="336">
        <v>1537</v>
      </c>
      <c r="B1574" s="349">
        <v>45331</v>
      </c>
      <c r="C1574" s="568">
        <v>0.33333333333333331</v>
      </c>
      <c r="D1574" s="63" t="s">
        <v>5915</v>
      </c>
      <c r="E1574" s="64" t="s">
        <v>6008</v>
      </c>
      <c r="F1574" s="336">
        <v>8</v>
      </c>
      <c r="G1574" s="63" t="s">
        <v>568</v>
      </c>
      <c r="H1574" s="383">
        <v>45352</v>
      </c>
      <c r="I1574" s="65" t="s">
        <v>1083</v>
      </c>
      <c r="J1574" s="65" t="s">
        <v>78</v>
      </c>
      <c r="K1574" s="336">
        <f>IFERROR(VLOOKUP(J1574,Jueces!$A$1:$B$11,2,FALSE),"")</f>
        <v>8</v>
      </c>
      <c r="L1574" s="63" t="s">
        <v>569</v>
      </c>
      <c r="M1574" s="339" t="s">
        <v>4512</v>
      </c>
      <c r="N1574" s="205" t="s">
        <v>6288</v>
      </c>
      <c r="O1574" s="78" t="str">
        <f ca="1">IF(H1574&lt;&gt;"",IF(H1574&lt;=TODAY(),"SI","NO"),"LIMBO")</f>
        <v>SI</v>
      </c>
      <c r="P1574" s="78" t="str">
        <f>IF($P$1=H1574,"DIASOL", "DIANOSOL")</f>
        <v>DIANOSOL</v>
      </c>
      <c r="Q1574" s="63" t="s">
        <v>903</v>
      </c>
      <c r="R1574" s="63" t="str">
        <f>VLOOKUP($Q1574,Resultados!$A$1:$B$49,2,FALSE)</f>
        <v>Juicio Abreviado</v>
      </c>
      <c r="S1574" s="63"/>
      <c r="T1574" s="81" t="str">
        <f>IF(G1574=$J$1,"SI","NO")</f>
        <v>NO</v>
      </c>
      <c r="U1574" s="81"/>
      <c r="V1574" s="7" t="str">
        <f ca="1">IF(color_Celda(E1574)=12106214,"ROSA",IF(color_Celda(E1574)=65535,"AMARILLO",IF(color_Celda(E1574)=5296274,"VERDE",IF(color_Celda(E1574)=16777215,"BLANCO","NO SE"))))</f>
        <v>ROSA</v>
      </c>
      <c r="W1574" s="336"/>
      <c r="X1574" s="336"/>
      <c r="Y1574" s="336"/>
      <c r="Z1574" s="63" t="s">
        <v>1038</v>
      </c>
      <c r="AA1574" s="63"/>
      <c r="AB1574" s="336"/>
      <c r="AC1574" s="336"/>
    </row>
    <row r="1575" spans="1:29" ht="60" customHeight="1">
      <c r="A1575" s="336">
        <v>1554</v>
      </c>
      <c r="B1575" s="349">
        <v>45336</v>
      </c>
      <c r="C1575" s="568">
        <v>0.33333333333333331</v>
      </c>
      <c r="D1575" s="63" t="s">
        <v>5950</v>
      </c>
      <c r="E1575" s="64" t="s">
        <v>5951</v>
      </c>
      <c r="F1575" s="336">
        <v>4</v>
      </c>
      <c r="G1575" s="63" t="s">
        <v>2766</v>
      </c>
      <c r="H1575" s="383">
        <v>45352</v>
      </c>
      <c r="I1575" s="65" t="s">
        <v>1083</v>
      </c>
      <c r="J1575" s="65" t="s">
        <v>4932</v>
      </c>
      <c r="K1575" s="63" t="s">
        <v>1916</v>
      </c>
      <c r="L1575" s="63" t="s">
        <v>4776</v>
      </c>
      <c r="M1575" s="63" t="s">
        <v>693</v>
      </c>
      <c r="N1575" s="63" t="s">
        <v>6287</v>
      </c>
      <c r="O1575" s="78" t="str">
        <f ca="1">IF(H1575&lt;&gt;"",IF(H1575&lt;=TODAY(),"SI","NO"),"LIMBO")</f>
        <v>SI</v>
      </c>
      <c r="P1575" s="78" t="str">
        <f>IF($P$1=H1575,"DIASOL", "DIANOSOL")</f>
        <v>DIANOSOL</v>
      </c>
      <c r="Q1575" s="63" t="s">
        <v>902</v>
      </c>
      <c r="R1575" s="63" t="str">
        <f>VLOOKUP($Q1575,Resultados!$A$1:$B$49,2,FALSE)</f>
        <v>Juicio Abreviado</v>
      </c>
      <c r="S1575" s="63"/>
      <c r="T1575" s="81" t="str">
        <f>IF(G1575=$J$1,"SI","NO")</f>
        <v>NO</v>
      </c>
      <c r="U1575" s="81"/>
      <c r="V1575" s="7" t="str">
        <f ca="1">IF(color_Celda(E1575)=12106214,"ROSA",IF(color_Celda(E1575)=65535,"AMARILLO",IF(color_Celda(E1575)=5296274,"VERDE",IF(color_Celda(E1575)=16777215,"BLANCO","NO SE"))))</f>
        <v>ROSA</v>
      </c>
      <c r="W1575" s="336"/>
      <c r="X1575" s="336"/>
      <c r="Y1575" s="336"/>
      <c r="Z1575" s="63" t="s">
        <v>743</v>
      </c>
      <c r="AA1575" s="63" t="s">
        <v>2869</v>
      </c>
      <c r="AB1575" s="336"/>
      <c r="AC1575" s="336"/>
    </row>
    <row r="1576" spans="1:29" ht="60" customHeight="1">
      <c r="A1576" s="336">
        <v>1649</v>
      </c>
      <c r="B1576" s="349">
        <v>45349</v>
      </c>
      <c r="C1576" s="568">
        <v>0.54166666666666663</v>
      </c>
      <c r="D1576" s="63" t="s">
        <v>6235</v>
      </c>
      <c r="E1576" s="355" t="s">
        <v>6236</v>
      </c>
      <c r="F1576" s="336">
        <v>4</v>
      </c>
      <c r="G1576" s="63" t="s">
        <v>3324</v>
      </c>
      <c r="H1576" s="349">
        <v>45352</v>
      </c>
      <c r="I1576" s="65" t="s">
        <v>1083</v>
      </c>
      <c r="J1576" s="65" t="s">
        <v>1216</v>
      </c>
      <c r="K1576" s="336">
        <f>IFERROR(VLOOKUP(J1576,Jueces!$A$1:$B$11,2,FALSE),"")</f>
        <v>1</v>
      </c>
      <c r="L1576" s="63" t="s">
        <v>4780</v>
      </c>
      <c r="M1576" s="63" t="s">
        <v>694</v>
      </c>
      <c r="N1576" s="118" t="s">
        <v>6284</v>
      </c>
      <c r="O1576" s="78" t="str">
        <f ca="1">IF(H1576&lt;&gt;"",IF(H1576&lt;=TODAY(),"SI","NO"),"LIMBO")</f>
        <v>SI</v>
      </c>
      <c r="P1576" s="78" t="str">
        <f>IF($P$1=H1576,"DIASOL", "DIANOSOL")</f>
        <v>DIANOSOL</v>
      </c>
      <c r="Q1576" s="63" t="s">
        <v>903</v>
      </c>
      <c r="R1576" s="63" t="str">
        <f>VLOOKUP($Q1576,Resultados!$A$1:$B$49,2,FALSE)</f>
        <v>Juicio Abreviado</v>
      </c>
      <c r="S1576" s="63"/>
      <c r="T1576" s="81" t="str">
        <f>IF(G1576=$J$1,"SI","NO")</f>
        <v>NO</v>
      </c>
      <c r="U1576" s="81"/>
      <c r="V1576" s="7" t="str">
        <f ca="1">IF(color_Celda(E1576)=12106214,"ROSA",IF(color_Celda(E1576)=65535,"AMARILLO",IF(color_Celda(E1576)=5296274,"VERDE",IF(color_Celda(E1576)=16777215,"BLANCO","NO SE"))))</f>
        <v>ROSA</v>
      </c>
      <c r="W1576" s="336"/>
      <c r="X1576" s="336"/>
      <c r="Y1576" s="336"/>
      <c r="Z1576" s="63" t="s">
        <v>1039</v>
      </c>
      <c r="AA1576" s="63" t="s">
        <v>3378</v>
      </c>
      <c r="AB1576" s="336"/>
      <c r="AC1576" s="336"/>
    </row>
    <row r="1577" spans="1:29" ht="60" customHeight="1">
      <c r="A1577" s="336">
        <v>1552</v>
      </c>
      <c r="B1577" s="349">
        <v>45336</v>
      </c>
      <c r="C1577" s="568">
        <v>0.33333333333333331</v>
      </c>
      <c r="D1577" s="63" t="s">
        <v>5946</v>
      </c>
      <c r="E1577" s="64" t="s">
        <v>5947</v>
      </c>
      <c r="F1577" s="336">
        <v>4</v>
      </c>
      <c r="G1577" s="336" t="s">
        <v>5710</v>
      </c>
      <c r="H1577" s="383">
        <v>45352</v>
      </c>
      <c r="I1577" s="65" t="s">
        <v>76</v>
      </c>
      <c r="J1577" s="349" t="s">
        <v>1217</v>
      </c>
      <c r="K1577" s="336">
        <f>IFERROR(VLOOKUP(J1577,Jueces!$A$1:$B$11,2,FALSE),"")</f>
        <v>7</v>
      </c>
      <c r="L1577" s="63" t="s">
        <v>805</v>
      </c>
      <c r="M1577" s="63" t="s">
        <v>694</v>
      </c>
      <c r="N1577" s="63" t="s">
        <v>6285</v>
      </c>
      <c r="O1577" s="78" t="str">
        <f ca="1">IF(H1577&lt;&gt;"",IF(H1577&lt;=TODAY(),"SI","NO"),"LIMBO")</f>
        <v>SI</v>
      </c>
      <c r="P1577" s="78" t="str">
        <f>IF($P$1=H1577,"DIASOL", "DIANOSOL")</f>
        <v>DIANOSOL</v>
      </c>
      <c r="Q1577" s="63" t="s">
        <v>903</v>
      </c>
      <c r="R1577" s="63" t="str">
        <f>VLOOKUP($Q1577,Resultados!$A$1:$B$49,2,FALSE)</f>
        <v>Juicio Abreviado</v>
      </c>
      <c r="S1577" s="63"/>
      <c r="T1577" s="81" t="str">
        <f>IF(G1577=$J$1,"SI","NO")</f>
        <v>NO</v>
      </c>
      <c r="U1577" s="81"/>
      <c r="V1577" s="7" t="str">
        <f ca="1">IF(color_Celda(E1577)=12106214,"ROSA",IF(color_Celda(E1577)=65535,"AMARILLO",IF(color_Celda(E1577)=5296274,"VERDE",IF(color_Celda(E1577)=16777215,"BLANCO","NO SE"))))</f>
        <v>ROSA</v>
      </c>
      <c r="W1577" s="336"/>
      <c r="X1577" s="336"/>
      <c r="Y1577" s="336"/>
      <c r="Z1577" s="63" t="s">
        <v>3368</v>
      </c>
      <c r="AA1577" s="63" t="s">
        <v>1167</v>
      </c>
      <c r="AB1577" s="336"/>
      <c r="AC1577" s="336"/>
    </row>
    <row r="1578" spans="1:29" ht="60" customHeight="1">
      <c r="A1578" s="336">
        <v>1563</v>
      </c>
      <c r="B1578" s="349">
        <v>45336</v>
      </c>
      <c r="C1578" s="568">
        <v>0.44791666666666669</v>
      </c>
      <c r="D1578" s="63" t="s">
        <v>5968</v>
      </c>
      <c r="E1578" s="64" t="s">
        <v>6263</v>
      </c>
      <c r="F1578" s="336">
        <v>3</v>
      </c>
      <c r="G1578" s="63" t="s">
        <v>1435</v>
      </c>
      <c r="H1578" s="383">
        <v>45352</v>
      </c>
      <c r="I1578" s="65" t="s">
        <v>1206</v>
      </c>
      <c r="J1578" s="65" t="s">
        <v>33</v>
      </c>
      <c r="K1578" s="336">
        <f>IFERROR(VLOOKUP(J1578,Jueces!$A$1:$B$11,2,FALSE),"")</f>
        <v>4</v>
      </c>
      <c r="L1578" s="63" t="s">
        <v>4791</v>
      </c>
      <c r="M1578" s="63" t="s">
        <v>692</v>
      </c>
      <c r="N1578" s="63" t="s">
        <v>2550</v>
      </c>
      <c r="O1578" s="78" t="str">
        <f ca="1">IF(H1578&lt;&gt;"",IF(H1578&lt;=TODAY(),"SI","NO"),"LIMBO")</f>
        <v>SI</v>
      </c>
      <c r="P1578" s="78" t="str">
        <f>IF($P$1=H1578,"DIASOL", "DIANOSOL")</f>
        <v>DIANOSOL</v>
      </c>
      <c r="Q1578" s="63" t="s">
        <v>897</v>
      </c>
      <c r="R1578" s="63" t="str">
        <f>VLOOKUP($Q1578,Resultados!$A$1:$B$49,2,FALSE)</f>
        <v>Libertad</v>
      </c>
      <c r="S1578" s="63"/>
      <c r="T1578" s="81" t="str">
        <f>IF(G1578=$J$1,"SI","NO")</f>
        <v>SI</v>
      </c>
      <c r="U1578" s="81"/>
      <c r="V1578" s="7" t="str">
        <f ca="1">IF(color_Celda(E1578)=12106214,"ROSA",IF(color_Celda(E1578)=65535,"AMARILLO",IF(color_Celda(E1578)=5296274,"VERDE",IF(color_Celda(E1578)=16777215,"BLANCO","NO SE"))))</f>
        <v>ROSA</v>
      </c>
      <c r="W1578" s="336"/>
      <c r="X1578" s="336"/>
      <c r="Y1578" s="336"/>
      <c r="Z1578" s="63" t="s">
        <v>748</v>
      </c>
      <c r="AA1578" s="63" t="s">
        <v>3378</v>
      </c>
      <c r="AB1578" s="336"/>
      <c r="AC1578" s="336"/>
    </row>
    <row r="1579" spans="1:29" ht="60" customHeight="1">
      <c r="A1579" s="336">
        <v>1547</v>
      </c>
      <c r="B1579" s="349">
        <v>45331</v>
      </c>
      <c r="C1579" s="568">
        <v>0.48125000000000001</v>
      </c>
      <c r="D1579" s="63" t="s">
        <v>5937</v>
      </c>
      <c r="E1579" s="64" t="s">
        <v>5938</v>
      </c>
      <c r="F1579" s="336">
        <v>4</v>
      </c>
      <c r="G1579" s="63" t="s">
        <v>1434</v>
      </c>
      <c r="H1579" s="383">
        <v>45355</v>
      </c>
      <c r="I1579" s="65" t="s">
        <v>73</v>
      </c>
      <c r="J1579" s="65" t="s">
        <v>1217</v>
      </c>
      <c r="K1579" s="336">
        <f>IFERROR(VLOOKUP(J1579,Jueces!$A$1:$B$11,2,FALSE),"")</f>
        <v>7</v>
      </c>
      <c r="L1579" s="63" t="s">
        <v>789</v>
      </c>
      <c r="M1579" s="63" t="s">
        <v>693</v>
      </c>
      <c r="N1579" s="63" t="s">
        <v>2872</v>
      </c>
      <c r="O1579" s="78" t="str">
        <f ca="1">IF(H1579&lt;&gt;"",IF(H1579&lt;=TODAY(),"SI","NO"),"LIMBO")</f>
        <v>SI</v>
      </c>
      <c r="P1579" s="78" t="str">
        <f>IF($P$1=H1579,"DIASOL", "DIANOSOL")</f>
        <v>DIANOSOL</v>
      </c>
      <c r="Q1579" s="63" t="s">
        <v>902</v>
      </c>
      <c r="R1579" s="63" t="str">
        <f>VLOOKUP($Q1579,Resultados!$A$1:$B$49,2,FALSE)</f>
        <v>Juicio Abreviado</v>
      </c>
      <c r="S1579" s="63"/>
      <c r="T1579" s="81" t="str">
        <f>IF(G1579=$J$1,"SI","NO")</f>
        <v>NO</v>
      </c>
      <c r="U1579" s="81"/>
      <c r="V1579" s="7" t="str">
        <f ca="1">IF(color_Celda(E1579)=12106214,"ROSA",IF(color_Celda(E1579)=65535,"AMARILLO",IF(color_Celda(E1579)=5296274,"VERDE",IF(color_Celda(E1579)=16777215,"BLANCO","NO SE"))))</f>
        <v>ROSA</v>
      </c>
      <c r="W1579" s="336"/>
      <c r="X1579" s="336"/>
      <c r="Y1579" s="336"/>
      <c r="Z1579" s="118" t="s">
        <v>748</v>
      </c>
      <c r="AA1579" s="118" t="s">
        <v>2828</v>
      </c>
      <c r="AB1579" s="63" t="s">
        <v>1171</v>
      </c>
      <c r="AC1579" s="336"/>
    </row>
    <row r="1580" spans="1:29" ht="60" customHeight="1">
      <c r="A1580" s="336">
        <v>1564</v>
      </c>
      <c r="B1580" s="349">
        <v>45336</v>
      </c>
      <c r="C1580" s="568">
        <v>0.45555555555555555</v>
      </c>
      <c r="D1580" s="63" t="s">
        <v>5969</v>
      </c>
      <c r="E1580" s="355" t="s">
        <v>5970</v>
      </c>
      <c r="F1580" s="336">
        <v>3</v>
      </c>
      <c r="G1580" s="63" t="s">
        <v>283</v>
      </c>
      <c r="H1580" s="383">
        <v>45355</v>
      </c>
      <c r="I1580" s="65" t="s">
        <v>73</v>
      </c>
      <c r="J1580" s="65" t="s">
        <v>35</v>
      </c>
      <c r="K1580" s="336">
        <f>IFERROR(VLOOKUP(J1580,Jueces!$A$1:$B$11,2,FALSE),"")</f>
        <v>3</v>
      </c>
      <c r="L1580" s="63" t="s">
        <v>2077</v>
      </c>
      <c r="M1580" s="63" t="s">
        <v>692</v>
      </c>
      <c r="N1580" s="63" t="s">
        <v>6312</v>
      </c>
      <c r="O1580" s="78" t="str">
        <f ca="1">IF(H1580&lt;&gt;"",IF(H1580&lt;=TODAY(),"SI","NO"),"LIMBO")</f>
        <v>SI</v>
      </c>
      <c r="P1580" s="78" t="str">
        <f>IF($P$1=H1580,"DIASOL", "DIANOSOL")</f>
        <v>DIANOSOL</v>
      </c>
      <c r="Q1580" s="63" t="s">
        <v>151</v>
      </c>
      <c r="R1580" s="63" t="str">
        <f>VLOOKUP($Q1580,Resultados!$A$1:$B$49,2,FALSE)</f>
        <v>Prisión Preventiva</v>
      </c>
      <c r="S1580" s="63"/>
      <c r="T1580" s="81" t="str">
        <f>IF(G1580=$J$1,"SI","NO")</f>
        <v>NO</v>
      </c>
      <c r="U1580" s="81"/>
      <c r="V1580" s="7" t="str">
        <f ca="1">IF(color_Celda(E1580)=12106214,"ROSA",IF(color_Celda(E1580)=65535,"AMARILLO",IF(color_Celda(E1580)=5296274,"VERDE",IF(color_Celda(E1580)=16777215,"BLANCO","NO SE"))))</f>
        <v>ROSA</v>
      </c>
      <c r="W1580" s="336"/>
      <c r="X1580" s="336"/>
      <c r="Y1580" s="336"/>
      <c r="Z1580" s="118" t="s">
        <v>3368</v>
      </c>
      <c r="AA1580" s="118" t="s">
        <v>3379</v>
      </c>
      <c r="AB1580" s="63" t="s">
        <v>1170</v>
      </c>
      <c r="AC1580" s="336"/>
    </row>
    <row r="1581" spans="1:29" ht="60" customHeight="1">
      <c r="A1581" s="336">
        <v>1580</v>
      </c>
      <c r="B1581" s="349">
        <v>45337</v>
      </c>
      <c r="C1581" s="568">
        <v>0.51597222222222217</v>
      </c>
      <c r="D1581" s="63" t="s">
        <v>6005</v>
      </c>
      <c r="E1581" s="64" t="s">
        <v>6131</v>
      </c>
      <c r="F1581" s="336">
        <v>4</v>
      </c>
      <c r="G1581" s="336" t="s">
        <v>5710</v>
      </c>
      <c r="H1581" s="383">
        <v>45355</v>
      </c>
      <c r="I1581" s="349" t="s">
        <v>73</v>
      </c>
      <c r="J1581" s="349" t="s">
        <v>4932</v>
      </c>
      <c r="K1581" s="336" t="s">
        <v>1982</v>
      </c>
      <c r="L1581" s="63" t="s">
        <v>4790</v>
      </c>
      <c r="M1581" s="63" t="s">
        <v>695</v>
      </c>
      <c r="N1581" s="63" t="s">
        <v>6311</v>
      </c>
      <c r="O1581" s="78" t="str">
        <f ca="1">IF(H1581&lt;&gt;"",IF(H1581&lt;=TODAY(),"SI","NO"),"LIMBO")</f>
        <v>SI</v>
      </c>
      <c r="P1581" s="78" t="str">
        <f>IF($P$1=H1581,"DIASOL", "DIANOSOL")</f>
        <v>DIANOSOL</v>
      </c>
      <c r="Q1581" s="63" t="s">
        <v>902</v>
      </c>
      <c r="R1581" s="63" t="str">
        <f>VLOOKUP($Q1581,Resultados!$A$1:$B$49,2,FALSE)</f>
        <v>Juicio Abreviado</v>
      </c>
      <c r="S1581" s="63"/>
      <c r="T1581" s="81" t="str">
        <f>IF(G1581=$J$1,"SI","NO")</f>
        <v>NO</v>
      </c>
      <c r="U1581" s="81"/>
      <c r="V1581" s="7" t="str">
        <f ca="1">IF(color_Celda(E1581)=12106214,"ROSA",IF(color_Celda(E1581)=65535,"AMARILLO",IF(color_Celda(E1581)=5296274,"VERDE",IF(color_Celda(E1581)=16777215,"BLANCO","NO SE"))))</f>
        <v>ROSA</v>
      </c>
      <c r="W1581" s="336"/>
      <c r="X1581" s="336"/>
      <c r="Y1581" s="336"/>
      <c r="Z1581" s="118" t="s">
        <v>1038</v>
      </c>
      <c r="AA1581" s="118" t="s">
        <v>1167</v>
      </c>
      <c r="AB1581" s="63" t="s">
        <v>1173</v>
      </c>
      <c r="AC1581" s="336"/>
    </row>
    <row r="1582" spans="1:29" ht="60" customHeight="1">
      <c r="A1582" s="336">
        <v>1587</v>
      </c>
      <c r="B1582" s="349">
        <v>45337</v>
      </c>
      <c r="C1582" s="568">
        <v>0.34930555555555554</v>
      </c>
      <c r="D1582" s="63" t="s">
        <v>6016</v>
      </c>
      <c r="E1582" s="64" t="s">
        <v>6017</v>
      </c>
      <c r="F1582" s="336">
        <v>4</v>
      </c>
      <c r="G1582" s="336" t="s">
        <v>29</v>
      </c>
      <c r="H1582" s="383">
        <v>45355</v>
      </c>
      <c r="I1582" s="349" t="s">
        <v>73</v>
      </c>
      <c r="J1582" s="349" t="s">
        <v>4746</v>
      </c>
      <c r="K1582" s="336" t="s">
        <v>3941</v>
      </c>
      <c r="L1582" s="63" t="s">
        <v>4781</v>
      </c>
      <c r="M1582" s="335" t="s">
        <v>5626</v>
      </c>
      <c r="N1582" s="63" t="s">
        <v>897</v>
      </c>
      <c r="O1582" s="78" t="str">
        <f ca="1">IF(H1582&lt;&gt;"",IF(H1582&lt;=TODAY(),"SI","NO"),"LIMBO")</f>
        <v>SI</v>
      </c>
      <c r="P1582" s="78" t="str">
        <f>IF($P$1=H1582,"DIASOL", "DIANOSOL")</f>
        <v>DIANOSOL</v>
      </c>
      <c r="Q1582" s="63" t="s">
        <v>897</v>
      </c>
      <c r="R1582" s="63" t="str">
        <f>VLOOKUP($Q1582,Resultados!$A$1:$B$49,2,FALSE)</f>
        <v>Libertad</v>
      </c>
      <c r="S1582" s="63"/>
      <c r="T1582" s="81" t="str">
        <f>IF(G1582=$J$1,"SI","NO")</f>
        <v>NO</v>
      </c>
      <c r="U1582" s="81"/>
      <c r="V1582" s="7" t="str">
        <f ca="1">IF(color_Celda(E1582)=12106214,"ROSA",IF(color_Celda(E1582)=65535,"AMARILLO",IF(color_Celda(E1582)=5296274,"VERDE",IF(color_Celda(E1582)=16777215,"BLANCO","NO SE"))))</f>
        <v>ROSA</v>
      </c>
      <c r="W1582" s="336"/>
      <c r="X1582" s="336"/>
      <c r="Y1582" s="336"/>
      <c r="Z1582" s="118" t="s">
        <v>770</v>
      </c>
      <c r="AA1582" s="118" t="s">
        <v>2869</v>
      </c>
      <c r="AB1582" s="63" t="s">
        <v>1169</v>
      </c>
      <c r="AC1582" s="336"/>
    </row>
    <row r="1583" spans="1:29" ht="60" customHeight="1">
      <c r="A1583" s="336">
        <v>1603</v>
      </c>
      <c r="B1583" s="349">
        <v>45341</v>
      </c>
      <c r="C1583" s="568">
        <v>0.3527777777777778</v>
      </c>
      <c r="D1583" s="63" t="s">
        <v>6085</v>
      </c>
      <c r="E1583" s="355" t="s">
        <v>6086</v>
      </c>
      <c r="F1583" s="336">
        <v>6</v>
      </c>
      <c r="G1583" s="336" t="s">
        <v>3324</v>
      </c>
      <c r="H1583" s="383">
        <v>45355</v>
      </c>
      <c r="I1583" s="349" t="s">
        <v>73</v>
      </c>
      <c r="J1583" s="349" t="s">
        <v>1216</v>
      </c>
      <c r="K1583" s="336">
        <f>IFERROR(VLOOKUP(J1583,Jueces!$A$1:$B$11,2,FALSE),"")</f>
        <v>1</v>
      </c>
      <c r="L1583" s="63" t="s">
        <v>4778</v>
      </c>
      <c r="M1583" s="335" t="s">
        <v>2247</v>
      </c>
      <c r="N1583" s="63" t="s">
        <v>6314</v>
      </c>
      <c r="O1583" s="78" t="str">
        <f ca="1">IF(H1583&lt;&gt;"",IF(H1583&lt;=TODAY(),"SI","NO"),"LIMBO")</f>
        <v>SI</v>
      </c>
      <c r="P1583" s="78" t="str">
        <f>IF($P$1=H1583,"DIASOL", "DIANOSOL")</f>
        <v>DIANOSOL</v>
      </c>
      <c r="Q1583" s="63" t="s">
        <v>897</v>
      </c>
      <c r="R1583" s="63" t="str">
        <f>VLOOKUP($Q1583,Resultados!$A$1:$B$49,2,FALSE)</f>
        <v>Libertad</v>
      </c>
      <c r="S1583" s="63"/>
      <c r="T1583" s="81" t="str">
        <f>IF(G1583=$J$1,"SI","NO")</f>
        <v>NO</v>
      </c>
      <c r="U1583" s="81"/>
      <c r="V1583" s="7" t="str">
        <f ca="1">IF(color_Celda(E1583)=12106214,"ROSA",IF(color_Celda(E1583)=65535,"AMARILLO",IF(color_Celda(E1583)=5296274,"VERDE",IF(color_Celda(E1583)=16777215,"BLANCO","NO SE"))))</f>
        <v>ROSA</v>
      </c>
      <c r="W1583" s="336"/>
      <c r="X1583" s="336"/>
      <c r="Y1583" s="336"/>
      <c r="Z1583" s="118" t="s">
        <v>743</v>
      </c>
      <c r="AA1583" s="118" t="s">
        <v>3378</v>
      </c>
      <c r="AB1583" s="63" t="s">
        <v>5776</v>
      </c>
      <c r="AC1583" s="336"/>
    </row>
    <row r="1584" spans="1:29" ht="60" customHeight="1">
      <c r="A1584" s="336">
        <v>1576</v>
      </c>
      <c r="B1584" s="349">
        <v>45337</v>
      </c>
      <c r="C1584" s="568">
        <v>0.41666666666666669</v>
      </c>
      <c r="D1584" s="63" t="s">
        <v>5998</v>
      </c>
      <c r="E1584" s="355" t="s">
        <v>5999</v>
      </c>
      <c r="F1584" s="336">
        <v>3</v>
      </c>
      <c r="G1584" s="63" t="s">
        <v>1435</v>
      </c>
      <c r="H1584" s="383">
        <v>45355</v>
      </c>
      <c r="I1584" s="65" t="s">
        <v>1083</v>
      </c>
      <c r="J1584" s="65" t="s">
        <v>35</v>
      </c>
      <c r="K1584" s="336">
        <f>IFERROR(VLOOKUP(J1584,Jueces!$A$1:$B$11,2,FALSE),"")</f>
        <v>3</v>
      </c>
      <c r="L1584" s="63" t="s">
        <v>4791</v>
      </c>
      <c r="M1584" s="7" t="s">
        <v>2036</v>
      </c>
      <c r="N1584" s="63" t="s">
        <v>6316</v>
      </c>
      <c r="O1584" s="78" t="str">
        <f ca="1">IF(H1584&lt;&gt;"",IF(H1584&lt;=TODAY(),"SI","NO"),"LIMBO")</f>
        <v>SI</v>
      </c>
      <c r="P1584" s="78" t="str">
        <f>IF($P$1=H1584,"DIASOL", "DIANOSOL")</f>
        <v>DIANOSOL</v>
      </c>
      <c r="Q1584" s="63" t="s">
        <v>151</v>
      </c>
      <c r="R1584" s="63" t="str">
        <f>VLOOKUP($Q1584,Resultados!$A$1:$B$49,2,FALSE)</f>
        <v>Prisión Preventiva</v>
      </c>
      <c r="S1584" s="63"/>
      <c r="T1584" s="81" t="str">
        <f>IF(G1584=$J$1,"SI","NO")</f>
        <v>SI</v>
      </c>
      <c r="U1584" s="81"/>
      <c r="V1584" s="7" t="str">
        <f ca="1">IF(color_Celda(E1584)=12106214,"ROSA",IF(color_Celda(E1584)=65535,"AMARILLO",IF(color_Celda(E1584)=5296274,"VERDE",IF(color_Celda(E1584)=16777215,"BLANCO","NO SE"))))</f>
        <v>ROSA</v>
      </c>
      <c r="W1584" s="336"/>
      <c r="X1584" s="336"/>
      <c r="Y1584" s="336"/>
      <c r="Z1584" s="118" t="s">
        <v>3368</v>
      </c>
      <c r="AA1584" s="118" t="s">
        <v>3379</v>
      </c>
      <c r="AB1584" s="63" t="s">
        <v>1171</v>
      </c>
      <c r="AC1584" s="336"/>
    </row>
    <row r="1585" spans="1:29" ht="60" customHeight="1">
      <c r="A1585" s="336">
        <v>1585</v>
      </c>
      <c r="B1585" s="349">
        <v>45337</v>
      </c>
      <c r="C1585" s="568">
        <v>0.33333333333333331</v>
      </c>
      <c r="D1585" s="63" t="s">
        <v>6012</v>
      </c>
      <c r="E1585" s="64" t="s">
        <v>6013</v>
      </c>
      <c r="F1585" s="336">
        <v>4</v>
      </c>
      <c r="G1585" s="336" t="s">
        <v>3791</v>
      </c>
      <c r="H1585" s="383">
        <v>45355</v>
      </c>
      <c r="I1585" s="349" t="s">
        <v>1083</v>
      </c>
      <c r="J1585" s="349" t="s">
        <v>31</v>
      </c>
      <c r="K1585" s="336">
        <f>IFERROR(VLOOKUP(J1585,Jueces!$A$1:$B$11,2,FALSE),"")</f>
        <v>2</v>
      </c>
      <c r="L1585" s="63" t="s">
        <v>4781</v>
      </c>
      <c r="M1585" s="63" t="s">
        <v>695</v>
      </c>
      <c r="N1585" s="63" t="s">
        <v>6328</v>
      </c>
      <c r="O1585" s="78" t="str">
        <f ca="1">IF(H1585&lt;&gt;"",IF(H1585&lt;=TODAY(),"SI","NO"),"LIMBO")</f>
        <v>SI</v>
      </c>
      <c r="P1585" s="78" t="str">
        <f>IF($P$1=H1585,"DIASOL", "DIANOSOL")</f>
        <v>DIANOSOL</v>
      </c>
      <c r="Q1585" s="63" t="s">
        <v>911</v>
      </c>
      <c r="R1585" s="63" t="str">
        <f>VLOOKUP($Q1585,Resultados!$A$1:$B$49,2,FALSE)</f>
        <v>Prision domiciliaria</v>
      </c>
      <c r="S1585" s="63"/>
      <c r="T1585" s="81" t="str">
        <f>IF(G1585=$J$1,"SI","NO")</f>
        <v>NO</v>
      </c>
      <c r="U1585" s="81"/>
      <c r="V1585" s="7" t="str">
        <f ca="1">IF(color_Celda(E1585)=12106214,"ROSA",IF(color_Celda(E1585)=65535,"AMARILLO",IF(color_Celda(E1585)=5296274,"VERDE",IF(color_Celda(E1585)=16777215,"BLANCO","NO SE"))))</f>
        <v>ROSA</v>
      </c>
      <c r="W1585" s="336"/>
      <c r="X1585" s="336"/>
      <c r="Y1585" s="336"/>
      <c r="Z1585" s="118" t="s">
        <v>770</v>
      </c>
      <c r="AA1585" s="118" t="s">
        <v>1167</v>
      </c>
      <c r="AB1585" s="63" t="s">
        <v>1173</v>
      </c>
      <c r="AC1585" s="336"/>
    </row>
    <row r="1586" spans="1:29" ht="60" customHeight="1">
      <c r="A1586" s="336">
        <v>1610</v>
      </c>
      <c r="B1586" s="349">
        <v>45343</v>
      </c>
      <c r="C1586" s="568">
        <v>0.48958333333333331</v>
      </c>
      <c r="D1586" s="63" t="s">
        <v>6102</v>
      </c>
      <c r="E1586" s="64" t="s">
        <v>6104</v>
      </c>
      <c r="F1586" s="336">
        <v>4</v>
      </c>
      <c r="G1586" s="336" t="s">
        <v>2752</v>
      </c>
      <c r="H1586" s="383">
        <v>45355</v>
      </c>
      <c r="I1586" s="349" t="s">
        <v>1083</v>
      </c>
      <c r="J1586" s="349" t="s">
        <v>33</v>
      </c>
      <c r="K1586" s="336">
        <f>IFERROR(VLOOKUP(J1586,Jueces!$A$1:$B$11,2,FALSE),"")</f>
        <v>4</v>
      </c>
      <c r="L1586" s="63" t="s">
        <v>4782</v>
      </c>
      <c r="M1586" s="337" t="s">
        <v>2103</v>
      </c>
      <c r="N1586" s="63" t="s">
        <v>6313</v>
      </c>
      <c r="O1586" s="78" t="str">
        <f ca="1">IF(H1586&lt;&gt;"",IF(H1586&lt;=TODAY(),"SI","NO"),"LIMBO")</f>
        <v>SI</v>
      </c>
      <c r="P1586" s="78" t="str">
        <f>IF($P$1=H1586,"DIASOL", "DIANOSOL")</f>
        <v>DIANOSOL</v>
      </c>
      <c r="Q1586" s="63" t="s">
        <v>903</v>
      </c>
      <c r="R1586" s="63" t="str">
        <f>VLOOKUP($Q1586,Resultados!$A$1:$B$49,2,FALSE)</f>
        <v>Juicio Abreviado</v>
      </c>
      <c r="S1586" s="63"/>
      <c r="T1586" s="81" t="str">
        <f>IF(G1586=$J$1,"SI","NO")</f>
        <v>NO</v>
      </c>
      <c r="U1586" s="81"/>
      <c r="V1586" s="7" t="str">
        <f ca="1">IF(color_Celda(E1586)=12106214,"ROSA",IF(color_Celda(E1586)=65535,"AMARILLO",IF(color_Celda(E1586)=5296274,"VERDE",IF(color_Celda(E1586)=16777215,"BLANCO","NO SE"))))</f>
        <v>ROSA</v>
      </c>
      <c r="W1586" s="336"/>
      <c r="X1586" s="336"/>
      <c r="Y1586" s="336"/>
      <c r="Z1586" s="118" t="s">
        <v>748</v>
      </c>
      <c r="AA1586" s="118" t="s">
        <v>2869</v>
      </c>
      <c r="AB1586" s="63" t="s">
        <v>1170</v>
      </c>
      <c r="AC1586" s="336"/>
    </row>
    <row r="1587" spans="1:29" ht="60" customHeight="1">
      <c r="A1587" s="336">
        <v>1555</v>
      </c>
      <c r="B1587" s="349">
        <v>45336</v>
      </c>
      <c r="C1587" s="568">
        <v>0.33333333333333331</v>
      </c>
      <c r="D1587" s="63" t="s">
        <v>5952</v>
      </c>
      <c r="E1587" s="64" t="s">
        <v>5953</v>
      </c>
      <c r="F1587" s="336">
        <v>4</v>
      </c>
      <c r="G1587" s="336" t="s">
        <v>1433</v>
      </c>
      <c r="H1587" s="383">
        <v>45355</v>
      </c>
      <c r="I1587" s="349" t="s">
        <v>1206</v>
      </c>
      <c r="J1587" s="349" t="s">
        <v>78</v>
      </c>
      <c r="K1587" s="336">
        <f>IFERROR(VLOOKUP(J1587,Jueces!$A$1:$B$11,2,FALSE),"")</f>
        <v>8</v>
      </c>
      <c r="L1587" s="63" t="s">
        <v>4790</v>
      </c>
      <c r="M1587" s="63" t="s">
        <v>694</v>
      </c>
      <c r="N1587" s="63" t="s">
        <v>3389</v>
      </c>
      <c r="O1587" s="78" t="str">
        <f ca="1">IF(H1587&lt;&gt;"",IF(H1587&lt;=TODAY(),"SI","NO"),"LIMBO")</f>
        <v>SI</v>
      </c>
      <c r="P1587" s="78" t="str">
        <f>IF($P$1=H1587,"DIASOL", "DIANOSOL")</f>
        <v>DIANOSOL</v>
      </c>
      <c r="Q1587" s="63" t="s">
        <v>151</v>
      </c>
      <c r="R1587" s="63" t="str">
        <f>VLOOKUP($Q1587,Resultados!$A$1:$B$49,2,FALSE)</f>
        <v>Prisión Preventiva</v>
      </c>
      <c r="S1587" s="63"/>
      <c r="T1587" s="81" t="str">
        <f>IF(G1587=$J$1,"SI","NO")</f>
        <v>NO</v>
      </c>
      <c r="U1587" s="81"/>
      <c r="V1587" s="7" t="str">
        <f ca="1">IF(color_Celda(E1587)=12106214,"ROSA",IF(color_Celda(E1587)=65535,"AMARILLO",IF(color_Celda(E1587)=5296274,"VERDE",IF(color_Celda(E1587)=16777215,"BLANCO","NO SE"))))</f>
        <v>ROSA</v>
      </c>
      <c r="W1587" s="336"/>
      <c r="X1587" s="336"/>
      <c r="Y1587" s="336"/>
      <c r="Z1587" s="118" t="s">
        <v>1039</v>
      </c>
      <c r="AA1587" s="118" t="s">
        <v>3378</v>
      </c>
      <c r="AB1587" s="63" t="s">
        <v>1169</v>
      </c>
      <c r="AC1587" s="336"/>
    </row>
    <row r="1588" spans="1:29" ht="60" customHeight="1">
      <c r="A1588" s="336">
        <v>1672</v>
      </c>
      <c r="B1588" s="349">
        <v>45355</v>
      </c>
      <c r="C1588" s="568">
        <v>0.4604166666666667</v>
      </c>
      <c r="D1588" s="336" t="s">
        <v>5833</v>
      </c>
      <c r="E1588" s="355" t="s">
        <v>5834</v>
      </c>
      <c r="F1588" s="336">
        <v>4</v>
      </c>
      <c r="G1588" s="63" t="s">
        <v>2815</v>
      </c>
      <c r="H1588" s="383">
        <v>45355</v>
      </c>
      <c r="I1588" s="65" t="s">
        <v>75</v>
      </c>
      <c r="J1588" s="65" t="s">
        <v>35</v>
      </c>
      <c r="K1588" s="63">
        <v>3</v>
      </c>
      <c r="L1588" s="63" t="s">
        <v>4786</v>
      </c>
      <c r="M1588" s="7" t="s">
        <v>694</v>
      </c>
      <c r="N1588" s="63" t="s">
        <v>6315</v>
      </c>
      <c r="O1588" s="78" t="str">
        <f ca="1">IF(H1588&lt;&gt;"",IF(H1588&lt;=TODAY(),"SI","NO"),"LIMBO")</f>
        <v>SI</v>
      </c>
      <c r="P1588" s="78" t="str">
        <f>IF($P$1=H1588,"DIASOL", "DIANOSOL")</f>
        <v>DIANOSOL</v>
      </c>
      <c r="Q1588" s="63" t="s">
        <v>902</v>
      </c>
      <c r="R1588" s="63" t="str">
        <f>VLOOKUP($Q1588,Resultados!$A$1:$B$49,2,FALSE)</f>
        <v>Juicio Abreviado</v>
      </c>
      <c r="S1588" s="63"/>
      <c r="T1588" s="81" t="str">
        <f>IF(G1588=$J$1,"SI","NO")</f>
        <v>NO</v>
      </c>
      <c r="U1588" s="81"/>
      <c r="V1588" s="7" t="str">
        <f ca="1">IF(color_Celda(E1588)=12106214,"ROSA",IF(color_Celda(E1588)=65535,"AMARILLO",IF(color_Celda(E1588)=5296274,"VERDE",IF(color_Celda(E1588)=16777215,"BLANCO","NO SE"))))</f>
        <v>ROSA</v>
      </c>
      <c r="W1588" s="336"/>
      <c r="X1588" s="336"/>
      <c r="Y1588" s="336"/>
      <c r="Z1588" s="336"/>
      <c r="AA1588" s="336"/>
      <c r="AB1588" s="336"/>
      <c r="AC1588" s="336"/>
    </row>
    <row r="1589" spans="1:29" ht="60" customHeight="1">
      <c r="A1589" s="336">
        <v>1612</v>
      </c>
      <c r="B1589" s="349">
        <v>45343</v>
      </c>
      <c r="C1589" s="568">
        <v>0.41666666666666669</v>
      </c>
      <c r="D1589" s="63" t="s">
        <v>6106</v>
      </c>
      <c r="E1589" s="64" t="s">
        <v>6107</v>
      </c>
      <c r="F1589" s="336">
        <v>4</v>
      </c>
      <c r="G1589" s="336" t="s">
        <v>2815</v>
      </c>
      <c r="H1589" s="383">
        <v>45355</v>
      </c>
      <c r="I1589" s="349" t="s">
        <v>547</v>
      </c>
      <c r="J1589" s="349" t="s">
        <v>33</v>
      </c>
      <c r="K1589" s="336">
        <f>IFERROR(VLOOKUP(J1589,Jueces!$A$1:$B$11,2,FALSE),"")</f>
        <v>4</v>
      </c>
      <c r="L1589" s="63" t="s">
        <v>4789</v>
      </c>
      <c r="M1589" s="7" t="s">
        <v>695</v>
      </c>
      <c r="N1589" s="63" t="s">
        <v>4007</v>
      </c>
      <c r="O1589" s="78" t="str">
        <f ca="1">IF(H1589&lt;&gt;"",IF(H1589&lt;=TODAY(),"SI","NO"),"LIMBO")</f>
        <v>SI</v>
      </c>
      <c r="P1589" s="78" t="str">
        <f>IF($P$1=H1589,"DIASOL", "DIANOSOL")</f>
        <v>DIANOSOL</v>
      </c>
      <c r="Q1589" s="63" t="s">
        <v>902</v>
      </c>
      <c r="R1589" s="63" t="str">
        <f>VLOOKUP($Q1589,Resultados!$A$1:$B$49,2,FALSE)</f>
        <v>Juicio Abreviado</v>
      </c>
      <c r="S1589" s="63"/>
      <c r="T1589" s="81" t="str">
        <f>IF(G1589=$J$1,"SI","NO")</f>
        <v>NO</v>
      </c>
      <c r="U1589" s="81"/>
      <c r="V1589" s="7" t="str">
        <f ca="1">IF(color_Celda(E1589)=12106214,"ROSA",IF(color_Celda(E1589)=65535,"AMARILLO",IF(color_Celda(E1589)=5296274,"VERDE",IF(color_Celda(E1589)=16777215,"BLANCO","NO SE"))))</f>
        <v>ROSA</v>
      </c>
      <c r="W1589" s="336"/>
      <c r="X1589" s="336"/>
      <c r="Y1589" s="336"/>
      <c r="Z1589" s="118" t="s">
        <v>748</v>
      </c>
      <c r="AA1589" s="118" t="s">
        <v>2828</v>
      </c>
      <c r="AB1589" s="63" t="s">
        <v>3258</v>
      </c>
      <c r="AC1589" s="336"/>
    </row>
    <row r="1590" spans="1:29" ht="60" customHeight="1">
      <c r="A1590" s="336">
        <v>1578</v>
      </c>
      <c r="B1590" s="349">
        <v>45337</v>
      </c>
      <c r="C1590" s="568">
        <v>0.47152777777777777</v>
      </c>
      <c r="D1590" s="63" t="s">
        <v>6001</v>
      </c>
      <c r="E1590" s="64" t="s">
        <v>6002</v>
      </c>
      <c r="F1590" s="336">
        <v>4</v>
      </c>
      <c r="G1590" s="336" t="s">
        <v>568</v>
      </c>
      <c r="H1590" s="383">
        <v>45355</v>
      </c>
      <c r="I1590" s="349" t="s">
        <v>1146</v>
      </c>
      <c r="J1590" s="349" t="s">
        <v>4931</v>
      </c>
      <c r="K1590" s="336" t="s">
        <v>1982</v>
      </c>
      <c r="L1590" s="63" t="s">
        <v>806</v>
      </c>
      <c r="M1590" s="335" t="s">
        <v>6103</v>
      </c>
      <c r="N1590" s="63" t="s">
        <v>6329</v>
      </c>
      <c r="O1590" s="78" t="str">
        <f ca="1">IF(H1590&lt;&gt;"",IF(H1590&lt;=TODAY(),"SI","NO"),"LIMBO")</f>
        <v>SI</v>
      </c>
      <c r="P1590" s="78" t="str">
        <f>IF($P$1=H1590,"DIASOL", "DIANOSOL")</f>
        <v>DIANOSOL</v>
      </c>
      <c r="Q1590" s="63" t="s">
        <v>907</v>
      </c>
      <c r="R1590" s="63" t="str">
        <f>VLOOKUP($Q1590,Resultados!$A$1:$B$49,2,FALSE)</f>
        <v>Suspensión de juicio a prueba</v>
      </c>
      <c r="S1590" s="63"/>
      <c r="T1590" s="81" t="str">
        <f>IF(G1590=$J$1,"SI","NO")</f>
        <v>NO</v>
      </c>
      <c r="U1590" s="81"/>
      <c r="V1590" s="7" t="str">
        <f ca="1">IF(color_Celda(E1590)=12106214,"ROSA",IF(color_Celda(E1590)=65535,"AMARILLO",IF(color_Celda(E1590)=5296274,"VERDE",IF(color_Celda(E1590)=16777215,"BLANCO","NO SE"))))</f>
        <v>ROSA</v>
      </c>
      <c r="W1590" s="336"/>
      <c r="X1590" s="336"/>
      <c r="Y1590" s="336"/>
      <c r="Z1590" s="118" t="s">
        <v>3368</v>
      </c>
      <c r="AA1590" s="118" t="s">
        <v>3379</v>
      </c>
      <c r="AB1590" s="63" t="s">
        <v>1171</v>
      </c>
      <c r="AC1590" s="336"/>
    </row>
    <row r="1591" spans="1:29" ht="60" customHeight="1">
      <c r="A1591" s="336">
        <v>1586</v>
      </c>
      <c r="B1591" s="349">
        <v>45337</v>
      </c>
      <c r="C1591" s="568">
        <v>0.33333333333333331</v>
      </c>
      <c r="D1591" s="63" t="s">
        <v>6014</v>
      </c>
      <c r="E1591" s="64" t="s">
        <v>6015</v>
      </c>
      <c r="F1591" s="336">
        <v>4</v>
      </c>
      <c r="G1591" s="336" t="s">
        <v>2752</v>
      </c>
      <c r="H1591" s="383">
        <v>45356</v>
      </c>
      <c r="I1591" s="349" t="s">
        <v>73</v>
      </c>
      <c r="J1591" s="65" t="s">
        <v>4931</v>
      </c>
      <c r="K1591" s="336" t="s">
        <v>1982</v>
      </c>
      <c r="L1591" s="63" t="s">
        <v>4779</v>
      </c>
      <c r="M1591" s="63" t="s">
        <v>693</v>
      </c>
      <c r="N1591" s="63" t="s">
        <v>6330</v>
      </c>
      <c r="O1591" s="78" t="str">
        <f ca="1">IF(H1591&lt;&gt;"",IF(H1591&lt;=TODAY(),"SI","NO"),"LIMBO")</f>
        <v>SI</v>
      </c>
      <c r="P1591" s="78" t="str">
        <f>IF($P$1=H1591,"DIASOL", "DIANOSOL")</f>
        <v>DIANOSOL</v>
      </c>
      <c r="Q1591" s="63" t="s">
        <v>645</v>
      </c>
      <c r="R1591" s="63" t="str">
        <f>VLOOKUP($Q1591,Resultados!$A$1:$B$49,2,FALSE)</f>
        <v>Suspendida</v>
      </c>
      <c r="S1591" s="63"/>
      <c r="T1591" s="81" t="str">
        <f>IF(G1591=$J$1,"SI","NO")</f>
        <v>NO</v>
      </c>
      <c r="U1591" s="81"/>
      <c r="V1591" s="7" t="str">
        <f ca="1">IF(color_Celda(E1591)=12106214,"ROSA",IF(color_Celda(E1591)=65535,"AMARILLO",IF(color_Celda(E1591)=5296274,"VERDE",IF(color_Celda(E1591)=16777215,"BLANCO","NO SE"))))</f>
        <v>ROSA</v>
      </c>
      <c r="W1591" s="336"/>
      <c r="X1591" s="336"/>
      <c r="Y1591" s="336"/>
      <c r="Z1591" s="63" t="s">
        <v>3368</v>
      </c>
      <c r="AA1591" s="63" t="s">
        <v>2869</v>
      </c>
      <c r="AB1591" s="336"/>
      <c r="AC1591" s="336"/>
    </row>
    <row r="1592" spans="1:29" ht="60" customHeight="1">
      <c r="A1592" s="336">
        <v>1601</v>
      </c>
      <c r="B1592" s="349">
        <v>45341</v>
      </c>
      <c r="C1592" s="568">
        <v>0.53333333333333333</v>
      </c>
      <c r="D1592" s="336" t="s">
        <v>3676</v>
      </c>
      <c r="E1592" s="355" t="s">
        <v>6091</v>
      </c>
      <c r="F1592" s="336">
        <v>3</v>
      </c>
      <c r="G1592" s="336" t="s">
        <v>568</v>
      </c>
      <c r="H1592" s="383">
        <v>45356</v>
      </c>
      <c r="I1592" s="349" t="s">
        <v>73</v>
      </c>
      <c r="J1592" s="349" t="s">
        <v>35</v>
      </c>
      <c r="K1592" s="336">
        <f>IFERROR(VLOOKUP(J1592,Jueces!$A$1:$B$11,2,FALSE),"")</f>
        <v>3</v>
      </c>
      <c r="L1592" s="63" t="s">
        <v>805</v>
      </c>
      <c r="M1592" s="7" t="s">
        <v>1025</v>
      </c>
      <c r="N1592" s="63" t="s">
        <v>6335</v>
      </c>
      <c r="O1592" s="78" t="str">
        <f ca="1">IF(H1592&lt;&gt;"",IF(H1592&lt;=TODAY(),"SI","NO"),"LIMBO")</f>
        <v>SI</v>
      </c>
      <c r="P1592" s="78" t="str">
        <f>IF($P$1=H1592,"DIASOL", "DIANOSOL")</f>
        <v>DIANOSOL</v>
      </c>
      <c r="Q1592" s="63" t="s">
        <v>151</v>
      </c>
      <c r="R1592" s="63" t="str">
        <f>VLOOKUP($Q1592,Resultados!$A$1:$B$49,2,FALSE)</f>
        <v>Prisión Preventiva</v>
      </c>
      <c r="S1592" s="63" t="s">
        <v>1242</v>
      </c>
      <c r="T1592" s="81" t="str">
        <f>IF(G1592=$J$1,"SI","NO")</f>
        <v>NO</v>
      </c>
      <c r="U1592" s="81"/>
      <c r="V1592" s="7" t="str">
        <f ca="1">IF(color_Celda(E1592)=12106214,"ROSA",IF(color_Celda(E1592)=65535,"AMARILLO",IF(color_Celda(E1592)=5296274,"VERDE",IF(color_Celda(E1592)=16777215,"BLANCO","NO SE"))))</f>
        <v>ROSA</v>
      </c>
      <c r="W1592" s="63" t="s">
        <v>2688</v>
      </c>
      <c r="X1592" s="63" t="s">
        <v>6336</v>
      </c>
      <c r="Y1592" s="336"/>
      <c r="Z1592" s="63" t="s">
        <v>743</v>
      </c>
      <c r="AA1592" s="63" t="s">
        <v>3379</v>
      </c>
      <c r="AB1592" s="336"/>
      <c r="AC1592" s="336"/>
    </row>
    <row r="1593" spans="1:29" ht="60" customHeight="1">
      <c r="A1593" s="336">
        <v>1508</v>
      </c>
      <c r="B1593" s="349">
        <v>45345</v>
      </c>
      <c r="C1593" s="568">
        <v>0.50555555555555554</v>
      </c>
      <c r="D1593" s="336" t="s">
        <v>5500</v>
      </c>
      <c r="E1593" s="355" t="s">
        <v>5501</v>
      </c>
      <c r="F1593" s="336">
        <v>8</v>
      </c>
      <c r="G1593" s="63" t="s">
        <v>3323</v>
      </c>
      <c r="H1593" s="383">
        <v>45356</v>
      </c>
      <c r="I1593" s="65" t="s">
        <v>73</v>
      </c>
      <c r="J1593" s="65" t="s">
        <v>1217</v>
      </c>
      <c r="K1593" s="336">
        <f>IFERROR(VLOOKUP(J1593,Jueces!$A$1:$B$11,2,FALSE),"")</f>
        <v>7</v>
      </c>
      <c r="L1593" s="63" t="s">
        <v>4789</v>
      </c>
      <c r="M1593" s="63" t="s">
        <v>711</v>
      </c>
      <c r="N1593" s="63" t="s">
        <v>6331</v>
      </c>
      <c r="O1593" s="78" t="str">
        <f ca="1">IF(H1593&lt;&gt;"",IF(H1593&lt;=TODAY(),"SI","NO"),"LIMBO")</f>
        <v>SI</v>
      </c>
      <c r="P1593" s="78" t="str">
        <f>IF($P$1=H1593,"DIASOL", "DIANOSOL")</f>
        <v>DIANOSOL</v>
      </c>
      <c r="Q1593" s="63" t="s">
        <v>903</v>
      </c>
      <c r="R1593" s="63" t="str">
        <f>VLOOKUP($Q1593,Resultados!$A$1:$B$49,2,FALSE)</f>
        <v>Juicio Abreviado</v>
      </c>
      <c r="S1593" s="63"/>
      <c r="T1593" s="81" t="str">
        <f>IF(G1593=$J$1,"SI","NO")</f>
        <v>NO</v>
      </c>
      <c r="U1593" s="81"/>
      <c r="V1593" s="7" t="str">
        <f ca="1">IF(color_Celda(E1593)=12106214,"ROSA",IF(color_Celda(E1593)=65535,"AMARILLO",IF(color_Celda(E1593)=5296274,"VERDE",IF(color_Celda(E1593)=16777215,"BLANCO","NO SE"))))</f>
        <v>ROSA</v>
      </c>
      <c r="W1593" s="336"/>
      <c r="X1593" s="336"/>
      <c r="Y1593" s="336"/>
      <c r="Z1593" s="63" t="s">
        <v>770</v>
      </c>
      <c r="AA1593" s="63" t="s">
        <v>1167</v>
      </c>
      <c r="AB1593" s="336"/>
      <c r="AC1593" s="336"/>
    </row>
    <row r="1594" spans="1:29" ht="60" customHeight="1">
      <c r="A1594" s="336">
        <v>1575</v>
      </c>
      <c r="B1594" s="349">
        <v>45337</v>
      </c>
      <c r="C1594" s="568">
        <v>0.41597222222222219</v>
      </c>
      <c r="D1594" s="63" t="s">
        <v>5995</v>
      </c>
      <c r="E1594" s="64" t="s">
        <v>5996</v>
      </c>
      <c r="F1594" s="336">
        <v>4</v>
      </c>
      <c r="G1594" s="336" t="s">
        <v>1434</v>
      </c>
      <c r="H1594" s="383">
        <v>45356</v>
      </c>
      <c r="I1594" s="349" t="s">
        <v>1083</v>
      </c>
      <c r="J1594" s="349" t="s">
        <v>4932</v>
      </c>
      <c r="K1594" s="336" t="s">
        <v>1982</v>
      </c>
      <c r="L1594" s="63" t="s">
        <v>4789</v>
      </c>
      <c r="M1594" s="63" t="s">
        <v>695</v>
      </c>
      <c r="N1594" s="63" t="s">
        <v>3435</v>
      </c>
      <c r="O1594" s="63" t="str">
        <f ca="1">IF(H1594&lt;&gt;"",IF(H1594&lt;=TODAY(),"SI","NO"),"LIMBO")</f>
        <v>SI</v>
      </c>
      <c r="P1594" s="63" t="str">
        <f>IF($P$1=H1594,"DIASOL", "DIANOSOL")</f>
        <v>DIANOSOL</v>
      </c>
      <c r="Q1594" s="63" t="s">
        <v>902</v>
      </c>
      <c r="R1594" s="63" t="str">
        <f>VLOOKUP($Q1594,Resultados!$A$1:$B$49,2,FALSE)</f>
        <v>Juicio Abreviado</v>
      </c>
      <c r="S1594" s="63"/>
      <c r="T1594" s="72" t="str">
        <f>IF(G1594=$J$1,"SI","NO")</f>
        <v>NO</v>
      </c>
      <c r="U1594" s="72"/>
      <c r="V1594" s="7" t="str">
        <f ca="1">IF(color_Celda(E1594)=12106214,"ROSA",IF(color_Celda(E1594)=65535,"AMARILLO",IF(color_Celda(E1594)=5296274,"VERDE",IF(color_Celda(E1594)=16777215,"BLANCO","NO SE"))))</f>
        <v>ROSA</v>
      </c>
      <c r="W1594" s="336"/>
      <c r="X1594" s="336"/>
      <c r="Y1594" s="336"/>
      <c r="Z1594" s="63" t="s">
        <v>3368</v>
      </c>
      <c r="AA1594" s="63" t="s">
        <v>2828</v>
      </c>
      <c r="AB1594" s="336"/>
      <c r="AC1594" s="336"/>
    </row>
    <row r="1595" spans="1:29" ht="60" customHeight="1">
      <c r="A1595" s="336">
        <v>1590</v>
      </c>
      <c r="B1595" s="349">
        <v>45338</v>
      </c>
      <c r="C1595" s="63" t="s">
        <v>2157</v>
      </c>
      <c r="D1595" s="63" t="s">
        <v>6040</v>
      </c>
      <c r="E1595" s="64" t="s">
        <v>6074</v>
      </c>
      <c r="F1595" s="336">
        <v>4</v>
      </c>
      <c r="G1595" s="336" t="s">
        <v>2815</v>
      </c>
      <c r="H1595" s="383">
        <v>45356</v>
      </c>
      <c r="I1595" s="349" t="s">
        <v>1083</v>
      </c>
      <c r="J1595" s="349" t="s">
        <v>31</v>
      </c>
      <c r="K1595" s="336">
        <f>IFERROR(VLOOKUP(J1595,Jueces!$A$1:$B$11,2,FALSE),"")</f>
        <v>2</v>
      </c>
      <c r="L1595" s="63" t="s">
        <v>4778</v>
      </c>
      <c r="M1595" s="63" t="s">
        <v>694</v>
      </c>
      <c r="N1595" s="63" t="s">
        <v>5852</v>
      </c>
      <c r="O1595" s="63" t="str">
        <f ca="1">IF(H1595&lt;&gt;"",IF(H1595&lt;=TODAY(),"SI","NO"),"LIMBO")</f>
        <v>SI</v>
      </c>
      <c r="P1595" s="63" t="str">
        <f>IF($P$1=H1595,"DIASOL", "DIANOSOL")</f>
        <v>DIANOSOL</v>
      </c>
      <c r="Q1595" s="63" t="s">
        <v>151</v>
      </c>
      <c r="R1595" s="63" t="str">
        <f>VLOOKUP($Q1595,Resultados!$A$1:$B$49,2,FALSE)</f>
        <v>Prisión Preventiva</v>
      </c>
      <c r="S1595" s="63"/>
      <c r="T1595" s="72" t="str">
        <f>IF(G1595=$J$1,"SI","NO")</f>
        <v>NO</v>
      </c>
      <c r="U1595" s="72"/>
      <c r="V1595" s="7" t="str">
        <f ca="1">IF(color_Celda(E1595)=12106214,"ROSA",IF(color_Celda(E1595)=65535,"AMARILLO",IF(color_Celda(E1595)=5296274,"VERDE",IF(color_Celda(E1595)=16777215,"BLANCO","NO SE"))))</f>
        <v>ROSA</v>
      </c>
      <c r="W1595" s="336"/>
      <c r="X1595" s="336"/>
      <c r="Y1595" s="336"/>
      <c r="Z1595" s="63" t="s">
        <v>1038</v>
      </c>
      <c r="AA1595" s="63" t="s">
        <v>3378</v>
      </c>
      <c r="AB1595" s="336"/>
      <c r="AC1595" s="336"/>
    </row>
    <row r="1596" spans="1:29" ht="60" customHeight="1">
      <c r="A1596" s="336">
        <v>1596</v>
      </c>
      <c r="B1596" s="349">
        <v>45341</v>
      </c>
      <c r="C1596" s="568">
        <v>0.47430555555555554</v>
      </c>
      <c r="D1596" s="63" t="s">
        <v>6067</v>
      </c>
      <c r="E1596" s="64" t="s">
        <v>6068</v>
      </c>
      <c r="F1596" s="336">
        <v>3</v>
      </c>
      <c r="G1596" s="336" t="s">
        <v>29</v>
      </c>
      <c r="H1596" s="383">
        <v>45356</v>
      </c>
      <c r="I1596" s="349" t="s">
        <v>1083</v>
      </c>
      <c r="J1596" s="349" t="s">
        <v>1216</v>
      </c>
      <c r="K1596" s="336">
        <f>IFERROR(VLOOKUP(J1596,Jueces!$A$1:$B$11,2,FALSE),"")</f>
        <v>1</v>
      </c>
      <c r="L1596" s="63" t="s">
        <v>4791</v>
      </c>
      <c r="M1596" s="63" t="s">
        <v>693</v>
      </c>
      <c r="N1596" s="63" t="s">
        <v>6334</v>
      </c>
      <c r="O1596" s="78" t="str">
        <f ca="1">IF(H1596&lt;&gt;"",IF(H1596&lt;=TODAY(),"SI","NO"),"LIMBO")</f>
        <v>SI</v>
      </c>
      <c r="P1596" s="78" t="str">
        <f>IF($P$1=H1596,"DIASOL", "DIANOSOL")</f>
        <v>DIANOSOL</v>
      </c>
      <c r="Q1596" s="63" t="s">
        <v>151</v>
      </c>
      <c r="R1596" s="63" t="s">
        <v>151</v>
      </c>
      <c r="S1596" s="63"/>
      <c r="T1596" s="81" t="str">
        <f>IF(G1596=$J$1,"SI","NO")</f>
        <v>NO</v>
      </c>
      <c r="U1596" s="81"/>
      <c r="V1596" s="7" t="str">
        <f ca="1">IF(color_Celda(E1596)=12106214,"ROSA",IF(color_Celda(E1596)=65535,"AMARILLO",IF(color_Celda(E1596)=5296274,"VERDE",IF(color_Celda(E1596)=16777215,"BLANCO","NO SE"))))</f>
        <v>ROSA</v>
      </c>
      <c r="W1596" s="336"/>
      <c r="X1596" s="336"/>
      <c r="Y1596" s="336"/>
      <c r="Z1596" s="63" t="s">
        <v>1039</v>
      </c>
      <c r="AA1596" s="63" t="s">
        <v>1167</v>
      </c>
      <c r="AB1596" s="336"/>
      <c r="AC1596" s="336"/>
    </row>
    <row r="1597" spans="1:29" ht="60" customHeight="1">
      <c r="A1597" s="336">
        <v>1599</v>
      </c>
      <c r="B1597" s="349">
        <v>45341</v>
      </c>
      <c r="C1597" s="568">
        <v>0.49305555555555558</v>
      </c>
      <c r="D1597" s="63" t="s">
        <v>6078</v>
      </c>
      <c r="E1597" s="64" t="s">
        <v>6079</v>
      </c>
      <c r="F1597" s="336">
        <v>4</v>
      </c>
      <c r="G1597" s="336" t="s">
        <v>1435</v>
      </c>
      <c r="H1597" s="383">
        <v>45356</v>
      </c>
      <c r="I1597" s="349" t="s">
        <v>1083</v>
      </c>
      <c r="J1597" s="349" t="s">
        <v>1217</v>
      </c>
      <c r="K1597" s="336">
        <f>IFERROR(VLOOKUP(J1597,Jueces!$A$1:$B$11,2,FALSE),"")</f>
        <v>7</v>
      </c>
      <c r="L1597" s="63" t="s">
        <v>805</v>
      </c>
      <c r="M1597" s="63" t="s">
        <v>711</v>
      </c>
      <c r="N1597" s="63" t="s">
        <v>6326</v>
      </c>
      <c r="O1597" s="63" t="str">
        <f ca="1">IF(H1597&lt;&gt;"",IF(H1597&lt;=TODAY(),"SI","NO"),"LIMBO")</f>
        <v>SI</v>
      </c>
      <c r="P1597" s="63" t="str">
        <f>IF($P$1=H1597,"DIASOL", "DIANOSOL")</f>
        <v>DIANOSOL</v>
      </c>
      <c r="Q1597" s="63" t="s">
        <v>910</v>
      </c>
      <c r="R1597" s="63" t="str">
        <f>VLOOKUP($Q1597,Resultados!$A$1:$B$49,2,FALSE)</f>
        <v>Suspendida</v>
      </c>
      <c r="S1597" s="63"/>
      <c r="T1597" s="72" t="str">
        <f>IF(G1597=$J$1,"SI","NO")</f>
        <v>SI</v>
      </c>
      <c r="U1597" s="72"/>
      <c r="V1597" s="7" t="str">
        <f ca="1">IF(color_Celda(E1597)=12106214,"ROSA",IF(color_Celda(E1597)=65535,"AMARILLO",IF(color_Celda(E1597)=5296274,"VERDE",IF(color_Celda(E1597)=16777215,"BLANCO","NO SE"))))</f>
        <v>ROSA</v>
      </c>
      <c r="W1597" s="336"/>
      <c r="X1597" s="336"/>
      <c r="Y1597" s="336"/>
      <c r="Z1597" s="63" t="s">
        <v>770</v>
      </c>
      <c r="AA1597" s="63" t="s">
        <v>2869</v>
      </c>
      <c r="AB1597" s="336"/>
      <c r="AC1597" s="336"/>
    </row>
    <row r="1598" spans="1:29" ht="60" customHeight="1">
      <c r="A1598" s="336">
        <v>1600</v>
      </c>
      <c r="B1598" s="349">
        <v>45341</v>
      </c>
      <c r="C1598" s="63" t="s">
        <v>1230</v>
      </c>
      <c r="D1598" s="63" t="s">
        <v>6080</v>
      </c>
      <c r="E1598" s="355" t="s">
        <v>6081</v>
      </c>
      <c r="F1598" s="336">
        <v>3</v>
      </c>
      <c r="G1598" s="336" t="s">
        <v>1433</v>
      </c>
      <c r="H1598" s="383">
        <v>45356</v>
      </c>
      <c r="I1598" s="349" t="s">
        <v>1083</v>
      </c>
      <c r="J1598" s="349" t="s">
        <v>35</v>
      </c>
      <c r="K1598" s="336">
        <f>IFERROR(VLOOKUP(J1598,Jueces!$A$1:$B$11,2,FALSE),"")</f>
        <v>3</v>
      </c>
      <c r="L1598" s="63" t="s">
        <v>4790</v>
      </c>
      <c r="M1598" s="63" t="s">
        <v>692</v>
      </c>
      <c r="N1598" s="63" t="s">
        <v>6332</v>
      </c>
      <c r="O1598" s="78" t="str">
        <f ca="1">IF(H1598&lt;&gt;"",IF(H1598&lt;=TODAY(),"SI","NO"),"LIMBO")</f>
        <v>SI</v>
      </c>
      <c r="P1598" s="78" t="str">
        <f>IF($P$1=H1598,"DIASOL", "DIANOSOL")</f>
        <v>DIANOSOL</v>
      </c>
      <c r="Q1598" s="63" t="s">
        <v>902</v>
      </c>
      <c r="R1598" s="63" t="str">
        <f>VLOOKUP($Q1598,Resultados!$A$1:$B$49,2,FALSE)</f>
        <v>Juicio Abreviado</v>
      </c>
      <c r="S1598" s="63"/>
      <c r="T1598" s="81" t="str">
        <f>IF(G1598=$J$1,"SI","NO")</f>
        <v>NO</v>
      </c>
      <c r="U1598" s="81"/>
      <c r="V1598" s="7" t="str">
        <f ca="1">IF(color_Celda(E1598)=12106214,"ROSA",IF(color_Celda(E1598)=65535,"AMARILLO",IF(color_Celda(E1598)=5296274,"VERDE",IF(color_Celda(E1598)=16777215,"BLANCO","NO SE"))))</f>
        <v>ROSA</v>
      </c>
      <c r="W1598" s="336"/>
      <c r="X1598" s="336"/>
      <c r="Y1598" s="336"/>
      <c r="Z1598" s="63" t="s">
        <v>743</v>
      </c>
      <c r="AA1598" s="63" t="s">
        <v>3378</v>
      </c>
      <c r="AB1598" s="336"/>
      <c r="AC1598" s="336"/>
    </row>
    <row r="1599" spans="1:29" ht="60" customHeight="1">
      <c r="A1599" s="336">
        <v>1611</v>
      </c>
      <c r="B1599" s="349">
        <v>45343</v>
      </c>
      <c r="C1599" s="568">
        <v>0.41666666666666669</v>
      </c>
      <c r="D1599" s="63" t="s">
        <v>6105</v>
      </c>
      <c r="E1599" s="64" t="s">
        <v>6129</v>
      </c>
      <c r="F1599" s="336">
        <v>4</v>
      </c>
      <c r="G1599" s="336" t="s">
        <v>5710</v>
      </c>
      <c r="H1599" s="383">
        <v>45356</v>
      </c>
      <c r="I1599" s="349" t="s">
        <v>547</v>
      </c>
      <c r="J1599" s="349" t="s">
        <v>33</v>
      </c>
      <c r="K1599" s="336">
        <f>IFERROR(VLOOKUP(J1599,Jueces!$A$1:$B$11,2,FALSE),"")</f>
        <v>4</v>
      </c>
      <c r="L1599" s="63" t="s">
        <v>4789</v>
      </c>
      <c r="M1599" s="63" t="s">
        <v>695</v>
      </c>
      <c r="N1599" s="63" t="s">
        <v>6333</v>
      </c>
      <c r="O1599" s="78" t="str">
        <f ca="1">IF(H1599&lt;&gt;"",IF(H1599&lt;=TODAY(),"SI","NO"),"LIMBO")</f>
        <v>SI</v>
      </c>
      <c r="P1599" s="78" t="str">
        <f>IF($P$1=H1599,"DIASOL", "DIANOSOL")</f>
        <v>DIANOSOL</v>
      </c>
      <c r="Q1599" s="63" t="s">
        <v>902</v>
      </c>
      <c r="R1599" s="63" t="str">
        <f>VLOOKUP($Q1599,Resultados!$A$1:$B$49,2,FALSE)</f>
        <v>Juicio Abreviado</v>
      </c>
      <c r="S1599" s="63"/>
      <c r="T1599" s="81" t="str">
        <f>IF(G1599=$J$1,"SI","NO")</f>
        <v>NO</v>
      </c>
      <c r="U1599" s="81"/>
      <c r="V1599" s="7" t="str">
        <f ca="1">IF(color_Celda(E1599)=12106214,"ROSA",IF(color_Celda(E1599)=65535,"AMARILLO",IF(color_Celda(E1599)=5296274,"VERDE",IF(color_Celda(E1599)=16777215,"BLANCO","NO SE"))))</f>
        <v>ROSA</v>
      </c>
      <c r="W1599" s="336"/>
      <c r="X1599" s="336"/>
      <c r="Y1599" s="336"/>
      <c r="Z1599" s="63" t="s">
        <v>770</v>
      </c>
      <c r="AA1599" s="63" t="s">
        <v>2828</v>
      </c>
      <c r="AB1599" s="336"/>
      <c r="AC1599" s="336"/>
    </row>
    <row r="1600" spans="1:29" ht="60" customHeight="1">
      <c r="A1600" s="336">
        <v>1613</v>
      </c>
      <c r="B1600" s="349">
        <v>45343</v>
      </c>
      <c r="C1600" s="568">
        <v>0.51736111111111105</v>
      </c>
      <c r="D1600" s="63" t="s">
        <v>6108</v>
      </c>
      <c r="E1600" s="64" t="s">
        <v>6109</v>
      </c>
      <c r="F1600" s="336">
        <v>3</v>
      </c>
      <c r="G1600" s="336" t="s">
        <v>3324</v>
      </c>
      <c r="H1600" s="383">
        <v>45356</v>
      </c>
      <c r="I1600" s="65" t="s">
        <v>1554</v>
      </c>
      <c r="J1600" s="65" t="s">
        <v>33</v>
      </c>
      <c r="K1600" s="336">
        <f>IFERROR(VLOOKUP(J1600,Jueces!$A$1:$B$11,2,FALSE),"")</f>
        <v>4</v>
      </c>
      <c r="L1600" s="63" t="s">
        <v>789</v>
      </c>
      <c r="M1600" s="63" t="s">
        <v>693</v>
      </c>
      <c r="N1600" s="63" t="s">
        <v>5866</v>
      </c>
      <c r="O1600" s="63" t="str">
        <f ca="1">IF(H1600&lt;&gt;"",IF(H1600&lt;=TODAY(),"SI","NO"),"LIMBO")</f>
        <v>SI</v>
      </c>
      <c r="P1600" s="63" t="str">
        <f>IF($P$1=H1600,"DIASOL", "DIANOSOL")</f>
        <v>DIANOSOL</v>
      </c>
      <c r="Q1600" s="63" t="s">
        <v>903</v>
      </c>
      <c r="R1600" s="63" t="str">
        <f>VLOOKUP($Q1600,Resultados!$A$1:$B$49,2,FALSE)</f>
        <v>Juicio Abreviado</v>
      </c>
      <c r="S1600" s="63"/>
      <c r="T1600" s="72" t="str">
        <f>IF(G1600=$J$1,"SI","NO")</f>
        <v>NO</v>
      </c>
      <c r="U1600" s="72"/>
      <c r="V1600" s="7" t="str">
        <f ca="1">IF(color_Celda(E1600)=12106214,"ROSA",IF(color_Celda(E1600)=65535,"AMARILLO",IF(color_Celda(E1600)=5296274,"VERDE",IF(color_Celda(E1600)=16777215,"BLANCO","NO SE"))))</f>
        <v>ROSA</v>
      </c>
      <c r="W1600" s="336"/>
      <c r="X1600" s="336"/>
      <c r="Y1600" s="336"/>
      <c r="Z1600" s="63" t="s">
        <v>770</v>
      </c>
      <c r="AA1600" s="63" t="s">
        <v>3379</v>
      </c>
      <c r="AB1600" s="336"/>
      <c r="AC1600" s="336"/>
    </row>
    <row r="1601" spans="1:29" ht="60" customHeight="1">
      <c r="A1601" s="336">
        <v>1627</v>
      </c>
      <c r="B1601" s="349">
        <v>45341</v>
      </c>
      <c r="C1601" s="568">
        <v>0.42708333333333331</v>
      </c>
      <c r="D1601" s="63" t="s">
        <v>6154</v>
      </c>
      <c r="E1601" s="355" t="s">
        <v>6155</v>
      </c>
      <c r="F1601" s="336">
        <v>4</v>
      </c>
      <c r="G1601" s="336" t="s">
        <v>3791</v>
      </c>
      <c r="H1601" s="383">
        <v>45356</v>
      </c>
      <c r="I1601" s="349" t="s">
        <v>2011</v>
      </c>
      <c r="J1601" s="349" t="s">
        <v>1216</v>
      </c>
      <c r="K1601" s="336">
        <f>IFERROR(VLOOKUP(J1601,Jueces!$A$1:$B$11,2,FALSE),"")</f>
        <v>1</v>
      </c>
      <c r="L1601" s="63" t="s">
        <v>4782</v>
      </c>
      <c r="M1601" s="63" t="s">
        <v>693</v>
      </c>
      <c r="N1601" s="63" t="s">
        <v>6401</v>
      </c>
      <c r="O1601" s="63" t="str">
        <f ca="1">IF(H1601&lt;&gt;"",IF(H1601&lt;=TODAY(),"SI","NO"),"LIMBO")</f>
        <v>SI</v>
      </c>
      <c r="P1601" s="63" t="str">
        <f>IF($P$1=H1601,"DIASOL", "DIANOSOL")</f>
        <v>DIANOSOL</v>
      </c>
      <c r="Q1601" s="63" t="s">
        <v>151</v>
      </c>
      <c r="R1601" s="63" t="str">
        <f>VLOOKUP($Q1601,Resultados!$A$1:$B$49,2,FALSE)</f>
        <v>Prisión Preventiva</v>
      </c>
      <c r="S1601" s="63"/>
      <c r="T1601" s="72" t="str">
        <f>IF(G1601=$J$1,"SI","NO")</f>
        <v>NO</v>
      </c>
      <c r="U1601" s="72"/>
      <c r="V1601" s="7" t="str">
        <f ca="1">IF(color_Celda(E1601)=12106214,"ROSA",IF(color_Celda(E1601)=65535,"AMARILLO",IF(color_Celda(E1601)=5296274,"VERDE",IF(color_Celda(E1601)=16777215,"BLANCO","NO SE"))))</f>
        <v>ROSA</v>
      </c>
      <c r="W1601" s="336"/>
      <c r="X1601" s="336"/>
      <c r="Y1601" s="336"/>
      <c r="Z1601" s="63" t="s">
        <v>3368</v>
      </c>
      <c r="AA1601" s="63" t="s">
        <v>1167</v>
      </c>
      <c r="AB1601" s="336"/>
      <c r="AC1601" s="336"/>
    </row>
    <row r="1602" spans="1:29" ht="60" customHeight="1">
      <c r="A1602" s="336">
        <v>1558</v>
      </c>
      <c r="B1602" s="65">
        <v>45336</v>
      </c>
      <c r="C1602" s="568">
        <v>0.36944444444444446</v>
      </c>
      <c r="D1602" s="63" t="s">
        <v>5959</v>
      </c>
      <c r="E1602" s="64" t="s">
        <v>6128</v>
      </c>
      <c r="F1602" s="336">
        <v>4</v>
      </c>
      <c r="G1602" s="336" t="s">
        <v>3323</v>
      </c>
      <c r="H1602" s="383">
        <v>45357</v>
      </c>
      <c r="I1602" s="349" t="s">
        <v>997</v>
      </c>
      <c r="J1602" s="349" t="s">
        <v>31</v>
      </c>
      <c r="K1602" s="336">
        <v>2</v>
      </c>
      <c r="L1602" s="63" t="s">
        <v>4789</v>
      </c>
      <c r="M1602" s="63" t="s">
        <v>693</v>
      </c>
      <c r="N1602" s="63" t="s">
        <v>6402</v>
      </c>
      <c r="O1602" s="78" t="str">
        <f ca="1">IF(H1602&lt;&gt;"",IF(H1602&lt;=TODAY(),"SI","NO"),"LIMBO")</f>
        <v>SI</v>
      </c>
      <c r="P1602" s="78" t="str">
        <f>IF($P$1=H1602,"DIASOL", "DIANOSOL")</f>
        <v>DIANOSOL</v>
      </c>
      <c r="Q1602" s="63" t="s">
        <v>903</v>
      </c>
      <c r="R1602" s="63" t="str">
        <f>VLOOKUP($Q1602,Resultados!$A$1:$B$49,2,FALSE)</f>
        <v>Juicio Abreviado</v>
      </c>
      <c r="S1602" s="63"/>
      <c r="T1602" s="81" t="str">
        <f>IF(G1602=$J$1,"SI","NO")</f>
        <v>NO</v>
      </c>
      <c r="U1602" s="81"/>
      <c r="V1602" s="7" t="str">
        <f ca="1">IF(color_Celda(E1602)=12106214,"ROSA",IF(color_Celda(E1602)=65535,"AMARILLO",IF(color_Celda(E1602)=5296274,"VERDE",IF(color_Celda(E1602)=16777215,"BLANCO","NO SE"))))</f>
        <v>ROSA</v>
      </c>
      <c r="W1602" s="336"/>
      <c r="X1602" s="336"/>
      <c r="Y1602" s="336"/>
      <c r="Z1602" s="72" t="s">
        <v>770</v>
      </c>
      <c r="AA1602" s="72" t="s">
        <v>2828</v>
      </c>
      <c r="AB1602" s="72" t="s">
        <v>1173</v>
      </c>
      <c r="AC1602" s="336"/>
    </row>
    <row r="1603" spans="1:29" ht="60" customHeight="1">
      <c r="A1603" s="336">
        <v>1579</v>
      </c>
      <c r="B1603" s="349">
        <v>45337</v>
      </c>
      <c r="C1603" s="568">
        <v>0.48333333333333334</v>
      </c>
      <c r="D1603" s="63" t="s">
        <v>6003</v>
      </c>
      <c r="E1603" s="64" t="s">
        <v>6004</v>
      </c>
      <c r="F1603" s="336">
        <v>4</v>
      </c>
      <c r="G1603" s="336" t="s">
        <v>1435</v>
      </c>
      <c r="H1603" s="383">
        <v>45357</v>
      </c>
      <c r="I1603" s="349" t="s">
        <v>73</v>
      </c>
      <c r="J1603" s="65" t="s">
        <v>1217</v>
      </c>
      <c r="K1603" s="63">
        <v>7</v>
      </c>
      <c r="L1603" s="63" t="s">
        <v>4778</v>
      </c>
      <c r="M1603" s="63" t="s">
        <v>694</v>
      </c>
      <c r="N1603" s="63" t="s">
        <v>621</v>
      </c>
      <c r="O1603" s="78" t="str">
        <f ca="1">IF(H1603&lt;&gt;"",IF(H1603&lt;=TODAY(),"SI","NO"),"LIMBO")</f>
        <v>SI</v>
      </c>
      <c r="P1603" s="78" t="str">
        <f>IF($P$1=H1603,"DIASOL", "DIANOSOL")</f>
        <v>DIANOSOL</v>
      </c>
      <c r="Q1603" s="63" t="s">
        <v>151</v>
      </c>
      <c r="R1603" s="63" t="s">
        <v>151</v>
      </c>
      <c r="S1603" s="63"/>
      <c r="T1603" s="81" t="str">
        <f>IF(G1603=$J$1,"SI","NO")</f>
        <v>SI</v>
      </c>
      <c r="U1603" s="81"/>
      <c r="V1603" s="7" t="str">
        <f ca="1">IF(color_Celda(E1603)=12106214,"ROSA",IF(color_Celda(E1603)=65535,"AMARILLO",IF(color_Celda(E1603)=5296274,"VERDE",IF(color_Celda(E1603)=16777215,"BLANCO","NO SE"))))</f>
        <v>ROSA</v>
      </c>
      <c r="W1603" s="336"/>
      <c r="X1603" s="336"/>
      <c r="Y1603" s="336"/>
      <c r="Z1603" s="72" t="s">
        <v>748</v>
      </c>
      <c r="AA1603" s="72" t="s">
        <v>1167</v>
      </c>
      <c r="AB1603" s="72" t="s">
        <v>1170</v>
      </c>
      <c r="AC1603" s="336"/>
    </row>
    <row r="1604" spans="1:29" ht="60" customHeight="1">
      <c r="A1604" s="336">
        <v>1582</v>
      </c>
      <c r="B1604" s="349">
        <v>45338</v>
      </c>
      <c r="C1604" s="568">
        <v>0.33333333333333331</v>
      </c>
      <c r="D1604" s="63" t="s">
        <v>6007</v>
      </c>
      <c r="E1604" s="64" t="s">
        <v>6130</v>
      </c>
      <c r="F1604" s="336">
        <v>4</v>
      </c>
      <c r="G1604" s="336" t="s">
        <v>1433</v>
      </c>
      <c r="H1604" s="383">
        <v>45357</v>
      </c>
      <c r="I1604" s="349" t="s">
        <v>73</v>
      </c>
      <c r="J1604" s="349" t="s">
        <v>35</v>
      </c>
      <c r="K1604" s="336">
        <v>3</v>
      </c>
      <c r="L1604" s="63" t="s">
        <v>805</v>
      </c>
      <c r="M1604" s="63" t="s">
        <v>695</v>
      </c>
      <c r="N1604" s="63" t="s">
        <v>6403</v>
      </c>
      <c r="O1604" s="78" t="str">
        <f ca="1">IF(H1604&lt;&gt;"",IF(H1604&lt;=TODAY(),"SI","NO"),"LIMBO")</f>
        <v>SI</v>
      </c>
      <c r="P1604" s="78" t="str">
        <f>IF($P$1=H1604,"DIASOL", "DIANOSOL")</f>
        <v>DIANOSOL</v>
      </c>
      <c r="Q1604" s="63" t="s">
        <v>902</v>
      </c>
      <c r="R1604" s="63" t="str">
        <f>VLOOKUP($Q1604,Resultados!$A$1:$B$49,2,FALSE)</f>
        <v>Juicio Abreviado</v>
      </c>
      <c r="S1604" s="63"/>
      <c r="T1604" s="81" t="str">
        <f>IF(G1604=$J$1,"SI","NO")</f>
        <v>NO</v>
      </c>
      <c r="U1604" s="81"/>
      <c r="V1604" s="7" t="str">
        <f ca="1">IF(color_Celda(E1604)=12106214,"ROSA",IF(color_Celda(E1604)=65535,"AMARILLO",IF(color_Celda(E1604)=5296274,"VERDE",IF(color_Celda(E1604)=16777215,"BLANCO","NO SE"))))</f>
        <v>ROSA</v>
      </c>
      <c r="W1604" s="336"/>
      <c r="X1604" s="336"/>
      <c r="Y1604" s="336"/>
      <c r="Z1604" s="72" t="s">
        <v>743</v>
      </c>
      <c r="AA1604" s="72" t="s">
        <v>2869</v>
      </c>
      <c r="AB1604" s="72" t="s">
        <v>1169</v>
      </c>
      <c r="AC1604" s="336"/>
    </row>
    <row r="1605" spans="1:29" ht="60" customHeight="1">
      <c r="A1605" s="336">
        <v>1616</v>
      </c>
      <c r="B1605" s="349">
        <v>45344</v>
      </c>
      <c r="C1605" s="568">
        <v>0.34722222222222227</v>
      </c>
      <c r="D1605" s="375" t="s">
        <v>4146</v>
      </c>
      <c r="E1605" s="355" t="s">
        <v>4115</v>
      </c>
      <c r="F1605" s="336">
        <v>3</v>
      </c>
      <c r="G1605" s="336" t="s">
        <v>2766</v>
      </c>
      <c r="H1605" s="383">
        <v>45357</v>
      </c>
      <c r="I1605" s="349" t="s">
        <v>73</v>
      </c>
      <c r="J1605" s="349" t="s">
        <v>4932</v>
      </c>
      <c r="K1605" s="336" t="s">
        <v>1982</v>
      </c>
      <c r="L1605" s="63" t="s">
        <v>688</v>
      </c>
      <c r="M1605" s="63" t="s">
        <v>700</v>
      </c>
      <c r="N1605" s="63" t="s">
        <v>6404</v>
      </c>
      <c r="O1605" s="78" t="str">
        <f ca="1">IF(H1605&lt;&gt;"",IF(H1605&lt;=TODAY(),"SI","NO"),"LIMBO")</f>
        <v>SI</v>
      </c>
      <c r="P1605" s="78" t="str">
        <f>IF($P$1=H1605,"DIASOL", "DIANOSOL")</f>
        <v>DIANOSOL</v>
      </c>
      <c r="Q1605" s="63" t="s">
        <v>151</v>
      </c>
      <c r="R1605" s="63" t="str">
        <f>VLOOKUP($Q1605,Resultados!$A$1:$B$49,2,FALSE)</f>
        <v>Prisión Preventiva</v>
      </c>
      <c r="S1605" s="63"/>
      <c r="T1605" s="81" t="str">
        <f>IF(G1605=$J$1,"SI","NO")</f>
        <v>NO</v>
      </c>
      <c r="U1605" s="81"/>
      <c r="V1605" s="7" t="str">
        <f ca="1">IF(color_Celda(E1605)=12106214,"ROSA",IF(color_Celda(E1605)=65535,"AMARILLO",IF(color_Celda(E1605)=5296274,"VERDE",IF(color_Celda(E1605)=16777215,"BLANCO","NO SE"))))</f>
        <v>ROSA</v>
      </c>
      <c r="W1605" s="336"/>
      <c r="X1605" s="336"/>
      <c r="Y1605" s="336"/>
      <c r="Z1605" s="72" t="s">
        <v>1038</v>
      </c>
      <c r="AA1605" s="72" t="s">
        <v>3379</v>
      </c>
      <c r="AB1605" s="72" t="s">
        <v>5776</v>
      </c>
      <c r="AC1605" s="336" t="s">
        <v>1792</v>
      </c>
    </row>
    <row r="1606" spans="1:29" ht="60" customHeight="1">
      <c r="A1606" s="336">
        <v>1557</v>
      </c>
      <c r="B1606" s="349">
        <v>45336</v>
      </c>
      <c r="C1606" s="568">
        <v>0.33333333333333331</v>
      </c>
      <c r="D1606" s="63" t="s">
        <v>5957</v>
      </c>
      <c r="E1606" s="64" t="s">
        <v>6163</v>
      </c>
      <c r="F1606" s="336">
        <v>4</v>
      </c>
      <c r="G1606" s="63" t="s">
        <v>3791</v>
      </c>
      <c r="H1606" s="383">
        <v>45357</v>
      </c>
      <c r="I1606" s="65" t="s">
        <v>1083</v>
      </c>
      <c r="J1606" s="65" t="s">
        <v>35</v>
      </c>
      <c r="K1606" s="336">
        <f>IFERROR(VLOOKUP(J1606,Jueces!$A$1:$B$11,2,FALSE),"")</f>
        <v>3</v>
      </c>
      <c r="L1606" s="63" t="s">
        <v>4790</v>
      </c>
      <c r="M1606" s="63" t="s">
        <v>693</v>
      </c>
      <c r="N1606" s="63" t="s">
        <v>6408</v>
      </c>
      <c r="O1606" s="78" t="str">
        <f ca="1">IF(H1606&lt;&gt;"",IF(H1606&lt;=TODAY(),"SI","NO"),"LIMBO")</f>
        <v>SI</v>
      </c>
      <c r="P1606" s="78" t="str">
        <f>IF($P$1=H1606,"DIASOL", "DIANOSOL")</f>
        <v>DIANOSOL</v>
      </c>
      <c r="Q1606" s="63" t="s">
        <v>903</v>
      </c>
      <c r="R1606" s="63" t="str">
        <f>VLOOKUP($Q1606,Resultados!$A$1:$B$49,2,FALSE)</f>
        <v>Juicio Abreviado</v>
      </c>
      <c r="S1606" s="63"/>
      <c r="T1606" s="81" t="str">
        <f>IF(G1606=$J$1,"SI","NO")</f>
        <v>NO</v>
      </c>
      <c r="U1606" s="81"/>
      <c r="V1606" s="7" t="str">
        <f ca="1">IF(color_Celda(E1606)=12106214,"ROSA",IF(color_Celda(E1606)=65535,"AMARILLO",IF(color_Celda(E1606)=5296274,"VERDE",IF(color_Celda(E1606)=16777215,"BLANCO","NO SE"))))</f>
        <v>ROSA</v>
      </c>
      <c r="W1606" s="336"/>
      <c r="X1606" s="336"/>
      <c r="Y1606" s="336"/>
      <c r="Z1606" s="72" t="s">
        <v>743</v>
      </c>
      <c r="AA1606" s="72" t="s">
        <v>3379</v>
      </c>
      <c r="AB1606" s="72" t="s">
        <v>1171</v>
      </c>
      <c r="AC1606" s="336"/>
    </row>
    <row r="1607" spans="1:29" ht="60" customHeight="1">
      <c r="A1607" s="336">
        <v>1598</v>
      </c>
      <c r="B1607" s="349">
        <v>45343</v>
      </c>
      <c r="C1607" s="70" t="s">
        <v>3637</v>
      </c>
      <c r="D1607" s="63" t="s">
        <v>6076</v>
      </c>
      <c r="E1607" s="64" t="s">
        <v>6077</v>
      </c>
      <c r="F1607" s="336">
        <v>4</v>
      </c>
      <c r="G1607" s="336" t="s">
        <v>29</v>
      </c>
      <c r="H1607" s="383">
        <v>45357</v>
      </c>
      <c r="I1607" s="349" t="s">
        <v>1083</v>
      </c>
      <c r="J1607" s="349" t="s">
        <v>1217</v>
      </c>
      <c r="K1607" s="336">
        <f>IFERROR(VLOOKUP(J1607,Jueces!$A$1:$B$11,2,FALSE),"")</f>
        <v>7</v>
      </c>
      <c r="L1607" s="63" t="s">
        <v>4779</v>
      </c>
      <c r="M1607" s="63" t="s">
        <v>695</v>
      </c>
      <c r="N1607" s="63" t="s">
        <v>6405</v>
      </c>
      <c r="O1607" s="78" t="str">
        <f ca="1">IF(H1607&lt;&gt;"",IF(H1607&lt;=TODAY(),"SI","NO"),"LIMBO")</f>
        <v>SI</v>
      </c>
      <c r="P1607" s="78" t="str">
        <f>IF($P$1=H1607,"DIASOL", "DIANOSOL")</f>
        <v>DIANOSOL</v>
      </c>
      <c r="Q1607" s="63" t="s">
        <v>897</v>
      </c>
      <c r="R1607" s="63" t="str">
        <f>VLOOKUP($Q1607,Resultados!$A$1:$B$49,2,FALSE)</f>
        <v>Libertad</v>
      </c>
      <c r="S1607" s="63"/>
      <c r="T1607" s="81" t="str">
        <f>IF(G1607=$J$1,"SI","NO")</f>
        <v>NO</v>
      </c>
      <c r="U1607" s="81"/>
      <c r="V1607" s="7" t="str">
        <f ca="1">IF(color_Celda(E1607)=12106214,"ROSA",IF(color_Celda(E1607)=65535,"AMARILLO",IF(color_Celda(E1607)=5296274,"VERDE",IF(color_Celda(E1607)=16777215,"BLANCO","NO SE"))))</f>
        <v>ROSA</v>
      </c>
      <c r="W1607" s="336"/>
      <c r="X1607" s="336"/>
      <c r="Y1607" s="336"/>
      <c r="Z1607" s="72" t="s">
        <v>748</v>
      </c>
      <c r="AA1607" s="72" t="s">
        <v>1167</v>
      </c>
      <c r="AB1607" s="72" t="s">
        <v>1170</v>
      </c>
      <c r="AC1607" s="336"/>
    </row>
    <row r="1608" spans="1:29" ht="60" customHeight="1">
      <c r="A1608" s="336">
        <v>1614</v>
      </c>
      <c r="B1608" s="349">
        <v>45344</v>
      </c>
      <c r="C1608" s="568">
        <v>0.33333333333333331</v>
      </c>
      <c r="D1608" s="63" t="s">
        <v>6136</v>
      </c>
      <c r="E1608" s="64" t="s">
        <v>6349</v>
      </c>
      <c r="F1608" s="336">
        <v>5</v>
      </c>
      <c r="G1608" s="63" t="s">
        <v>283</v>
      </c>
      <c r="H1608" s="383">
        <v>45357</v>
      </c>
      <c r="I1608" s="65" t="s">
        <v>1083</v>
      </c>
      <c r="J1608" s="65" t="s">
        <v>33</v>
      </c>
      <c r="K1608" s="336">
        <f>IFERROR(VLOOKUP(J1608,Jueces!$A$1:$B$11,2,FALSE),"")</f>
        <v>4</v>
      </c>
      <c r="L1608" s="63" t="s">
        <v>789</v>
      </c>
      <c r="M1608" s="339" t="s">
        <v>6164</v>
      </c>
      <c r="N1608" s="63" t="s">
        <v>4571</v>
      </c>
      <c r="O1608" s="78" t="str">
        <f ca="1">IF(H1608&lt;&gt;"",IF(H1608&lt;=TODAY(),"SI","NO"),"LIMBO")</f>
        <v>SI</v>
      </c>
      <c r="P1608" s="78" t="str">
        <f>IF($P$1=H1608,"DIASOL", "DIANOSOL")</f>
        <v>DIANOSOL</v>
      </c>
      <c r="Q1608" s="63" t="s">
        <v>911</v>
      </c>
      <c r="R1608" s="63" t="str">
        <f>VLOOKUP($Q1608,Resultados!$A$1:$B$49,2,FALSE)</f>
        <v>Prision domiciliaria</v>
      </c>
      <c r="S1608" s="63"/>
      <c r="T1608" s="81" t="str">
        <f>IF(G1608=$J$1,"SI","NO")</f>
        <v>NO</v>
      </c>
      <c r="U1608" s="81"/>
      <c r="V1608" s="7" t="str">
        <f ca="1">IF(color_Celda(E1608)=12106214,"ROSA",IF(color_Celda(E1608)=65535,"AMARILLO",IF(color_Celda(E1608)=5296274,"VERDE",IF(color_Celda(E1608)=16777215,"BLANCO","NO SE"))))</f>
        <v>ROSA</v>
      </c>
      <c r="W1608" s="336"/>
      <c r="X1608" s="336"/>
      <c r="Y1608" s="336"/>
      <c r="Z1608" s="72" t="s">
        <v>770</v>
      </c>
      <c r="AA1608" s="72" t="s">
        <v>2828</v>
      </c>
      <c r="AB1608" s="72" t="s">
        <v>1169</v>
      </c>
      <c r="AC1608" s="336"/>
    </row>
    <row r="1609" spans="1:29" ht="60" customHeight="1">
      <c r="A1609" s="336">
        <v>1620</v>
      </c>
      <c r="B1609" s="349">
        <v>45344</v>
      </c>
      <c r="C1609" s="568">
        <v>0.39097222222222222</v>
      </c>
      <c r="D1609" s="63" t="s">
        <v>6141</v>
      </c>
      <c r="E1609" s="64" t="s">
        <v>6142</v>
      </c>
      <c r="F1609" s="336">
        <v>4</v>
      </c>
      <c r="G1609" s="63" t="s">
        <v>1434</v>
      </c>
      <c r="H1609" s="383">
        <v>45357</v>
      </c>
      <c r="I1609" s="65" t="s">
        <v>1206</v>
      </c>
      <c r="J1609" s="65" t="s">
        <v>4931</v>
      </c>
      <c r="K1609" s="63" t="s">
        <v>3922</v>
      </c>
      <c r="L1609" s="63" t="s">
        <v>4776</v>
      </c>
      <c r="M1609" s="63" t="s">
        <v>694</v>
      </c>
      <c r="N1609" s="63" t="s">
        <v>3186</v>
      </c>
      <c r="O1609" s="78" t="str">
        <f ca="1">IF(H1609&lt;&gt;"",IF(H1609&lt;=TODAY(),"SI","NO"),"LIMBO")</f>
        <v>SI</v>
      </c>
      <c r="P1609" s="78" t="str">
        <f>IF($P$1=H1609,"DIASOL", "DIANOSOL")</f>
        <v>DIANOSOL</v>
      </c>
      <c r="Q1609" s="63" t="s">
        <v>907</v>
      </c>
      <c r="R1609" s="63" t="str">
        <f>VLOOKUP($Q1609,Resultados!$A$1:$B$49,2,FALSE)</f>
        <v>Suspensión de juicio a prueba</v>
      </c>
      <c r="S1609" s="63"/>
      <c r="T1609" s="81" t="str">
        <f>IF(G1609=$J$1,"SI","NO")</f>
        <v>NO</v>
      </c>
      <c r="U1609" s="81"/>
      <c r="V1609" s="7" t="str">
        <f ca="1">IF(color_Celda(E1609)=12106214,"ROSA",IF(color_Celda(E1609)=65535,"AMARILLO",IF(color_Celda(E1609)=5296274,"VERDE",IF(color_Celda(E1609)=16777215,"BLANCO","NO SE"))))</f>
        <v>ROSA</v>
      </c>
      <c r="W1609" s="336"/>
      <c r="X1609" s="336"/>
      <c r="Y1609" s="336"/>
      <c r="Z1609" s="72" t="s">
        <v>770</v>
      </c>
      <c r="AA1609" s="72" t="s">
        <v>2869</v>
      </c>
      <c r="AB1609" s="72" t="s">
        <v>1169</v>
      </c>
      <c r="AC1609" s="336"/>
    </row>
    <row r="1610" spans="1:29" ht="60" customHeight="1">
      <c r="A1610" s="336">
        <v>1633</v>
      </c>
      <c r="B1610" s="349">
        <v>45345</v>
      </c>
      <c r="C1610" s="568">
        <v>0.50486111111111109</v>
      </c>
      <c r="D1610" s="63" t="s">
        <v>6195</v>
      </c>
      <c r="E1610" s="64" t="s">
        <v>6348</v>
      </c>
      <c r="F1610" s="336">
        <v>4</v>
      </c>
      <c r="G1610" s="336" t="s">
        <v>3324</v>
      </c>
      <c r="H1610" s="383">
        <v>45357</v>
      </c>
      <c r="I1610" s="65" t="s">
        <v>3171</v>
      </c>
      <c r="J1610" s="349" t="s">
        <v>33</v>
      </c>
      <c r="K1610" s="63">
        <v>4</v>
      </c>
      <c r="L1610" s="63" t="s">
        <v>4791</v>
      </c>
      <c r="M1610" s="63" t="s">
        <v>694</v>
      </c>
      <c r="N1610" s="118" t="s">
        <v>6406</v>
      </c>
      <c r="O1610" s="78" t="str">
        <f ca="1">IF(H1610&lt;&gt;"",IF(H1610&lt;=TODAY(),"SI","NO"),"LIMBO")</f>
        <v>SI</v>
      </c>
      <c r="P1610" s="78" t="str">
        <f>IF($P$1=H1610,"DIASOL", "DIANOSOL")</f>
        <v>DIANOSOL</v>
      </c>
      <c r="Q1610" s="63" t="s">
        <v>907</v>
      </c>
      <c r="R1610" s="63" t="str">
        <f>VLOOKUP($Q1610,Resultados!$A$1:$B$49,2,FALSE)</f>
        <v>Suspensión de juicio a prueba</v>
      </c>
      <c r="S1610" s="63"/>
      <c r="T1610" s="81" t="str">
        <f>IF(G1610=$J$1,"SI","NO")</f>
        <v>NO</v>
      </c>
      <c r="U1610" s="81"/>
      <c r="V1610" s="7" t="str">
        <f ca="1">IF(color_Celda(E1610)=12106214,"ROSA",IF(color_Celda(E1610)=65535,"AMARILLO",IF(color_Celda(E1610)=5296274,"VERDE",IF(color_Celda(E1610)=16777215,"BLANCO","NO SE"))))</f>
        <v>ROSA</v>
      </c>
      <c r="W1610" s="336"/>
      <c r="X1610" s="336"/>
      <c r="Y1610" s="336"/>
      <c r="Z1610" s="72" t="s">
        <v>3368</v>
      </c>
      <c r="AA1610" s="72" t="s">
        <v>2828</v>
      </c>
      <c r="AB1610" s="72" t="s">
        <v>1171</v>
      </c>
      <c r="AC1610" s="336"/>
    </row>
    <row r="1611" spans="1:29" ht="60" customHeight="1">
      <c r="A1611" s="336">
        <v>1674</v>
      </c>
      <c r="B1611" s="349">
        <v>45337</v>
      </c>
      <c r="C1611" s="568">
        <v>0.33333333333333331</v>
      </c>
      <c r="D1611" s="336" t="s">
        <v>6011</v>
      </c>
      <c r="E1611" s="355" t="s">
        <v>6132</v>
      </c>
      <c r="F1611" s="336">
        <v>4</v>
      </c>
      <c r="G1611" s="63" t="s">
        <v>2815</v>
      </c>
      <c r="H1611" s="383">
        <v>45357</v>
      </c>
      <c r="I1611" s="65" t="s">
        <v>2011</v>
      </c>
      <c r="J1611" s="65" t="s">
        <v>4931</v>
      </c>
      <c r="K1611" s="63" t="s">
        <v>3779</v>
      </c>
      <c r="L1611" s="63" t="s">
        <v>4790</v>
      </c>
      <c r="M1611" s="63" t="s">
        <v>2220</v>
      </c>
      <c r="N1611" s="63" t="s">
        <v>6407</v>
      </c>
      <c r="O1611" s="78" t="str">
        <f ca="1">IF(H1611&lt;&gt;"",IF(H1611&lt;=TODAY(),"SI","NO"),"LIMBO")</f>
        <v>SI</v>
      </c>
      <c r="P1611" s="78" t="str">
        <f>IF($P$1=H1611,"DIASOL", "DIANOSOL")</f>
        <v>DIANOSOL</v>
      </c>
      <c r="Q1611" s="63" t="s">
        <v>902</v>
      </c>
      <c r="R1611" s="63" t="s">
        <v>100</v>
      </c>
      <c r="S1611" s="63"/>
      <c r="T1611" s="81" t="str">
        <f>IF(G1611=$J$1,"SI","NO")</f>
        <v>NO</v>
      </c>
      <c r="U1611" s="81"/>
      <c r="V1611" s="7" t="str">
        <f ca="1">IF(color_Celda(E1611)=12106214,"ROSA",IF(color_Celda(E1611)=65535,"AMARILLO",IF(color_Celda(E1611)=5296274,"VERDE",IF(color_Celda(E1611)=16777215,"BLANCO","NO SE"))))</f>
        <v>ROSA</v>
      </c>
      <c r="W1611" s="336"/>
      <c r="X1611" s="336"/>
      <c r="Y1611" s="336"/>
      <c r="Z1611" s="72" t="s">
        <v>748</v>
      </c>
      <c r="AA1611" s="72" t="s">
        <v>3379</v>
      </c>
      <c r="AB1611" s="72" t="s">
        <v>1173</v>
      </c>
      <c r="AC1611" s="336"/>
    </row>
    <row r="1612" spans="1:29" ht="60" customHeight="1">
      <c r="A1612" s="336">
        <v>1561</v>
      </c>
      <c r="B1612" s="349">
        <v>45336</v>
      </c>
      <c r="C1612" s="568">
        <v>0.42777777777777781</v>
      </c>
      <c r="D1612" s="63" t="s">
        <v>5964</v>
      </c>
      <c r="E1612" s="64" t="s">
        <v>5965</v>
      </c>
      <c r="F1612" s="336">
        <v>4</v>
      </c>
      <c r="G1612" s="63" t="s">
        <v>2766</v>
      </c>
      <c r="H1612" s="383">
        <v>45358</v>
      </c>
      <c r="I1612" s="65" t="s">
        <v>73</v>
      </c>
      <c r="J1612" s="65" t="s">
        <v>4932</v>
      </c>
      <c r="K1612" s="63" t="s">
        <v>3776</v>
      </c>
      <c r="L1612" s="63" t="s">
        <v>2077</v>
      </c>
      <c r="M1612" s="63" t="s">
        <v>725</v>
      </c>
      <c r="N1612" s="63" t="s">
        <v>6409</v>
      </c>
      <c r="O1612" s="78" t="str">
        <f ca="1">IF(H1612&lt;&gt;"",IF(H1612&lt;=TODAY(),"SI","NO"),"LIMBO")</f>
        <v>SI</v>
      </c>
      <c r="P1612" s="78" t="str">
        <f>IF($P$1=H1612,"DIASOL", "DIANOSOL")</f>
        <v>DIANOSOL</v>
      </c>
      <c r="Q1612" s="63" t="s">
        <v>151</v>
      </c>
      <c r="R1612" s="63" t="str">
        <f>VLOOKUP($Q1612,Resultados!$A$1:$B$49,2,FALSE)</f>
        <v>Prisión Preventiva</v>
      </c>
      <c r="S1612" s="63"/>
      <c r="T1612" s="81" t="str">
        <f>IF(G1612=$J$1,"SI","NO")</f>
        <v>NO</v>
      </c>
      <c r="U1612" s="81"/>
      <c r="V1612" s="7" t="str">
        <f ca="1">IF(color_Celda(E1612)=12106214,"ROSA",IF(color_Celda(E1612)=65535,"AMARILLO",IF(color_Celda(E1612)=5296274,"VERDE",IF(color_Celda(E1612)=16777215,"BLANCO","NO SE"))))</f>
        <v>ROSA</v>
      </c>
      <c r="W1612" s="336"/>
      <c r="X1612" s="336"/>
      <c r="Y1612" s="336"/>
      <c r="Z1612" s="63" t="s">
        <v>1038</v>
      </c>
      <c r="AA1612" s="72" t="s">
        <v>1167</v>
      </c>
      <c r="AB1612" s="72" t="s">
        <v>1170</v>
      </c>
      <c r="AC1612" s="336"/>
    </row>
    <row r="1613" spans="1:29" ht="60" customHeight="1">
      <c r="A1613" s="336">
        <v>1594</v>
      </c>
      <c r="B1613" s="349">
        <v>45341</v>
      </c>
      <c r="C1613" s="63" t="s">
        <v>1125</v>
      </c>
      <c r="D1613" s="63" t="s">
        <v>6044</v>
      </c>
      <c r="E1613" s="64" t="s">
        <v>6070</v>
      </c>
      <c r="F1613" s="336">
        <v>4</v>
      </c>
      <c r="G1613" s="336" t="s">
        <v>1434</v>
      </c>
      <c r="H1613" s="383">
        <v>45358</v>
      </c>
      <c r="I1613" s="349" t="s">
        <v>73</v>
      </c>
      <c r="J1613" s="349" t="s">
        <v>1217</v>
      </c>
      <c r="K1613" s="336">
        <f>IFERROR(VLOOKUP(J1613,Jueces!$A$1:$B$11,2,FALSE),"")</f>
        <v>7</v>
      </c>
      <c r="L1613" s="63" t="s">
        <v>4789</v>
      </c>
      <c r="M1613" s="7" t="s">
        <v>695</v>
      </c>
      <c r="N1613" s="63" t="s">
        <v>6411</v>
      </c>
      <c r="O1613" s="78" t="str">
        <f ca="1">IF(H1613&lt;&gt;"",IF(H1613&lt;=TODAY(),"SI","NO"),"LIMBO")</f>
        <v>SI</v>
      </c>
      <c r="P1613" s="78" t="str">
        <f>IF($P$1=H1613,"DIASOL", "DIANOSOL")</f>
        <v>DIANOSOL</v>
      </c>
      <c r="Q1613" s="63" t="s">
        <v>902</v>
      </c>
      <c r="R1613" s="63" t="str">
        <f>VLOOKUP($Q1613,Resultados!$A$1:$B$49,2,FALSE)</f>
        <v>Juicio Abreviado</v>
      </c>
      <c r="S1613" s="63"/>
      <c r="T1613" s="81" t="str">
        <f>IF(G1613=$J$1,"SI","NO")</f>
        <v>NO</v>
      </c>
      <c r="U1613" s="81"/>
      <c r="V1613" s="7" t="str">
        <f ca="1">IF(color_Celda(E1613)=12106214,"ROSA",IF(color_Celda(E1613)=65535,"AMARILLO",IF(color_Celda(E1613)=5296274,"VERDE",IF(color_Celda(E1613)=16777215,"BLANCO","NO SE"))))</f>
        <v>ROSA</v>
      </c>
      <c r="W1613" s="336"/>
      <c r="X1613" s="336"/>
      <c r="Y1613" s="336"/>
      <c r="Z1613" s="63" t="s">
        <v>743</v>
      </c>
      <c r="AA1613" s="72" t="s">
        <v>3379</v>
      </c>
      <c r="AB1613" s="72" t="s">
        <v>1169</v>
      </c>
      <c r="AC1613" s="336"/>
    </row>
    <row r="1614" spans="1:29" ht="60" customHeight="1">
      <c r="A1614" s="336">
        <v>1606</v>
      </c>
      <c r="B1614" s="349">
        <v>45343</v>
      </c>
      <c r="C1614" s="568">
        <v>0.41666666666666669</v>
      </c>
      <c r="D1614" s="63" t="s">
        <v>6093</v>
      </c>
      <c r="E1614" s="64" t="s">
        <v>6094</v>
      </c>
      <c r="F1614" s="336">
        <v>3</v>
      </c>
      <c r="G1614" s="336" t="s">
        <v>2752</v>
      </c>
      <c r="H1614" s="383">
        <v>45358</v>
      </c>
      <c r="I1614" s="349" t="s">
        <v>73</v>
      </c>
      <c r="J1614" s="349" t="s">
        <v>4746</v>
      </c>
      <c r="K1614" s="336" t="s">
        <v>1982</v>
      </c>
      <c r="L1614" s="63" t="s">
        <v>4785</v>
      </c>
      <c r="M1614" s="335" t="s">
        <v>1430</v>
      </c>
      <c r="N1614" s="63" t="s">
        <v>6410</v>
      </c>
      <c r="O1614" s="78" t="str">
        <f ca="1">IF(H1614&lt;&gt;"",IF(H1614&lt;=TODAY(),"SI","NO"),"LIMBO")</f>
        <v>SI</v>
      </c>
      <c r="P1614" s="78" t="str">
        <f>IF($P$1=H1614,"DIASOL", "DIANOSOL")</f>
        <v>DIANOSOL</v>
      </c>
      <c r="Q1614" s="63" t="s">
        <v>151</v>
      </c>
      <c r="R1614" s="63" t="str">
        <f>VLOOKUP($Q1614,Resultados!$A$1:$B$49,2,FALSE)</f>
        <v>Prisión Preventiva</v>
      </c>
      <c r="S1614" s="63"/>
      <c r="T1614" s="81" t="str">
        <f>IF(G1614=$J$1,"SI","NO")</f>
        <v>NO</v>
      </c>
      <c r="U1614" s="81"/>
      <c r="V1614" s="7" t="str">
        <f ca="1">IF(color_Celda(E1614)=12106214,"ROSA",IF(color_Celda(E1614)=65535,"AMARILLO",IF(color_Celda(E1614)=5296274,"VERDE",IF(color_Celda(E1614)=16777215,"BLANCO","NO SE"))))</f>
        <v>ROSA</v>
      </c>
      <c r="W1614" s="336"/>
      <c r="X1614" s="336"/>
      <c r="Y1614" s="336"/>
      <c r="Z1614" s="63" t="s">
        <v>748</v>
      </c>
      <c r="AA1614" s="72" t="s">
        <v>3378</v>
      </c>
      <c r="AB1614" s="72" t="s">
        <v>3258</v>
      </c>
      <c r="AC1614" s="336"/>
    </row>
    <row r="1615" spans="1:29" ht="60" customHeight="1">
      <c r="A1615" s="336">
        <v>1639</v>
      </c>
      <c r="B1615" s="349">
        <v>45348</v>
      </c>
      <c r="C1615" s="568">
        <v>0.4694444444444445</v>
      </c>
      <c r="D1615" s="63" t="s">
        <v>5799</v>
      </c>
      <c r="E1615" s="355" t="s">
        <v>5800</v>
      </c>
      <c r="F1615" s="336">
        <v>3</v>
      </c>
      <c r="G1615" s="63" t="s">
        <v>3323</v>
      </c>
      <c r="H1615" s="383">
        <v>45358</v>
      </c>
      <c r="I1615" s="65" t="s">
        <v>73</v>
      </c>
      <c r="J1615" s="65" t="s">
        <v>33</v>
      </c>
      <c r="K1615" s="336">
        <f>IFERROR(VLOOKUP(J1615,Jueces!$A$1:$B$11,2,FALSE),"")</f>
        <v>4</v>
      </c>
      <c r="L1615" s="63" t="s">
        <v>805</v>
      </c>
      <c r="M1615" s="63" t="s">
        <v>693</v>
      </c>
      <c r="N1615" s="63" t="s">
        <v>6413</v>
      </c>
      <c r="O1615" s="78" t="str">
        <f ca="1">IF(H1615&lt;&gt;"",IF(H1615&lt;=TODAY(),"SI","NO"),"LIMBO")</f>
        <v>SI</v>
      </c>
      <c r="P1615" s="78" t="str">
        <f>IF($P$1=H1615,"DIASOL", "DIANOSOL")</f>
        <v>DIANOSOL</v>
      </c>
      <c r="Q1615" s="63" t="s">
        <v>1010</v>
      </c>
      <c r="R1615" s="63" t="s">
        <v>947</v>
      </c>
      <c r="S1615" s="63"/>
      <c r="T1615" s="81" t="str">
        <f>IF(G1615=$J$1,"SI","NO")</f>
        <v>NO</v>
      </c>
      <c r="U1615" s="81"/>
      <c r="V1615" s="7" t="str">
        <f ca="1">IF(color_Celda(E1615)=12106214,"ROSA",IF(color_Celda(E1615)=65535,"AMARILLO",IF(color_Celda(E1615)=5296274,"VERDE",IF(color_Celda(E1615)=16777215,"BLANCO","NO SE"))))</f>
        <v>ROSA</v>
      </c>
      <c r="W1615" s="336"/>
      <c r="X1615" s="336"/>
      <c r="Y1615" s="336"/>
      <c r="Z1615" s="63" t="s">
        <v>1039</v>
      </c>
      <c r="AA1615" s="72" t="s">
        <v>2869</v>
      </c>
      <c r="AB1615" s="72" t="s">
        <v>1171</v>
      </c>
      <c r="AC1615" s="336"/>
    </row>
    <row r="1616" spans="1:29" ht="60" customHeight="1">
      <c r="A1616" s="336">
        <v>1648</v>
      </c>
      <c r="B1616" s="349">
        <v>45348</v>
      </c>
      <c r="C1616" s="568">
        <v>0.36874999999999997</v>
      </c>
      <c r="D1616" s="63" t="s">
        <v>5837</v>
      </c>
      <c r="E1616" s="64" t="s">
        <v>6273</v>
      </c>
      <c r="F1616" s="336">
        <v>4</v>
      </c>
      <c r="G1616" s="336" t="s">
        <v>3324</v>
      </c>
      <c r="H1616" s="383">
        <v>45358</v>
      </c>
      <c r="I1616" s="65" t="s">
        <v>73</v>
      </c>
      <c r="J1616" s="349" t="s">
        <v>78</v>
      </c>
      <c r="K1616" s="336">
        <f>IFERROR(VLOOKUP(J1616,Jueces!$A$1:$B$11,2,FALSE),"")</f>
        <v>8</v>
      </c>
      <c r="L1616" s="63" t="s">
        <v>802</v>
      </c>
      <c r="M1616" s="63" t="s">
        <v>694</v>
      </c>
      <c r="N1616" s="63" t="s">
        <v>6234</v>
      </c>
      <c r="O1616" s="78" t="str">
        <f ca="1">IF(H1616&lt;&gt;"",IF(H1616&lt;=TODAY(),"SI","NO"),"LIMBO")</f>
        <v>SI</v>
      </c>
      <c r="P1616" s="78" t="str">
        <f>IF($P$1=H1616,"DIASOL", "DIANOSOL")</f>
        <v>DIANOSOL</v>
      </c>
      <c r="Q1616" s="63" t="s">
        <v>910</v>
      </c>
      <c r="R1616" s="63" t="str">
        <f>VLOOKUP($Q1616,Resultados!$A$1:$B$49,2,FALSE)</f>
        <v>Suspendida</v>
      </c>
      <c r="S1616" s="63"/>
      <c r="T1616" s="81" t="str">
        <f>IF(G1616=$J$1,"SI","NO")</f>
        <v>NO</v>
      </c>
      <c r="U1616" s="81"/>
      <c r="V1616" s="7" t="str">
        <f ca="1">IF(color_Celda(E1616)=12106214,"ROSA",IF(color_Celda(E1616)=65535,"AMARILLO",IF(color_Celda(E1616)=5296274,"VERDE",IF(color_Celda(E1616)=16777215,"BLANCO","NO SE"))))</f>
        <v>ROSA</v>
      </c>
      <c r="W1616" s="336"/>
      <c r="X1616" s="336"/>
      <c r="Y1616" s="336"/>
      <c r="Z1616" s="63" t="s">
        <v>3368</v>
      </c>
      <c r="AA1616" s="72" t="s">
        <v>3379</v>
      </c>
      <c r="AB1616" s="72" t="s">
        <v>1173</v>
      </c>
      <c r="AC1616" s="336"/>
    </row>
    <row r="1617" spans="1:29" ht="60" customHeight="1">
      <c r="A1617" s="336">
        <v>1673</v>
      </c>
      <c r="B1617" s="349">
        <v>45355</v>
      </c>
      <c r="C1617" s="568">
        <v>0.50694444444444442</v>
      </c>
      <c r="D1617" s="336" t="s">
        <v>5209</v>
      </c>
      <c r="E1617" s="355" t="s">
        <v>5210</v>
      </c>
      <c r="F1617" s="336">
        <v>2</v>
      </c>
      <c r="G1617" s="63" t="s">
        <v>283</v>
      </c>
      <c r="H1617" s="383">
        <v>45358</v>
      </c>
      <c r="I1617" s="65" t="s">
        <v>73</v>
      </c>
      <c r="J1617" s="65" t="s">
        <v>1216</v>
      </c>
      <c r="K1617" s="63" t="s">
        <v>3890</v>
      </c>
      <c r="L1617" s="63" t="s">
        <v>4791</v>
      </c>
      <c r="M1617" s="63" t="s">
        <v>711</v>
      </c>
      <c r="N1617" s="63" t="s">
        <v>4379</v>
      </c>
      <c r="O1617" s="78" t="str">
        <f ca="1">IF(H1617&lt;&gt;"",IF(H1617&lt;=TODAY(),"SI","NO"),"LIMBO")</f>
        <v>SI</v>
      </c>
      <c r="P1617" s="78" t="str">
        <f>IF($P$1=H1617,"DIASOL", "DIANOSOL")</f>
        <v>DIANOSOL</v>
      </c>
      <c r="Q1617" s="63" t="s">
        <v>897</v>
      </c>
      <c r="R1617" s="63" t="str">
        <f>VLOOKUP($Q1617,Resultados!$A$1:$B$49,2,FALSE)</f>
        <v>Libertad</v>
      </c>
      <c r="S1617" s="63"/>
      <c r="T1617" s="81" t="str">
        <f>IF(G1617=$J$1,"SI","NO")</f>
        <v>NO</v>
      </c>
      <c r="U1617" s="81"/>
      <c r="V1617" s="7" t="str">
        <f ca="1">IF(color_Celda(E1617)=12106214,"ROSA",IF(color_Celda(E1617)=65535,"AMARILLO",IF(color_Celda(E1617)=5296274,"VERDE",IF(color_Celda(E1617)=16777215,"BLANCO","NO SE"))))</f>
        <v>ROSA</v>
      </c>
      <c r="W1617" s="336"/>
      <c r="X1617" s="336"/>
      <c r="Y1617" s="336"/>
      <c r="Z1617" s="63" t="s">
        <v>770</v>
      </c>
      <c r="AA1617" s="72" t="s">
        <v>2869</v>
      </c>
      <c r="AB1617" s="72" t="s">
        <v>1170</v>
      </c>
      <c r="AC1617" s="336"/>
    </row>
    <row r="1618" spans="1:29" ht="60" customHeight="1">
      <c r="A1618" s="336">
        <v>1581</v>
      </c>
      <c r="B1618" s="349">
        <v>45337</v>
      </c>
      <c r="C1618" s="568">
        <v>0.53819444444444442</v>
      </c>
      <c r="D1618" s="63" t="s">
        <v>6006</v>
      </c>
      <c r="E1618" s="64" t="s">
        <v>6089</v>
      </c>
      <c r="F1618" s="336">
        <v>7</v>
      </c>
      <c r="G1618" s="63" t="s">
        <v>283</v>
      </c>
      <c r="H1618" s="383">
        <v>45358</v>
      </c>
      <c r="I1618" s="65" t="s">
        <v>1083</v>
      </c>
      <c r="J1618" s="65" t="s">
        <v>35</v>
      </c>
      <c r="K1618" s="336">
        <f>IFERROR(VLOOKUP(J1618,Jueces!$A$1:$B$11,2,FALSE),"")</f>
        <v>3</v>
      </c>
      <c r="L1618" s="63" t="s">
        <v>2077</v>
      </c>
      <c r="M1618" s="335" t="s">
        <v>6090</v>
      </c>
      <c r="N1618" s="63" t="s">
        <v>6412</v>
      </c>
      <c r="O1618" s="78" t="str">
        <f ca="1">IF(H1618&lt;&gt;"",IF(H1618&lt;=TODAY(),"SI","NO"),"LIMBO")</f>
        <v>SI</v>
      </c>
      <c r="P1618" s="78" t="str">
        <f>IF($P$1=H1618,"DIASOL", "DIANOSOL")</f>
        <v>DIANOSOL</v>
      </c>
      <c r="Q1618" s="63" t="s">
        <v>151</v>
      </c>
      <c r="R1618" s="63" t="str">
        <f>VLOOKUP($Q1618,Resultados!$A$1:$B$49,2,FALSE)</f>
        <v>Prisión Preventiva</v>
      </c>
      <c r="S1618" s="63"/>
      <c r="T1618" s="81" t="str">
        <f>IF(G1618=$J$1,"SI","NO")</f>
        <v>NO</v>
      </c>
      <c r="U1618" s="81"/>
      <c r="V1618" s="7" t="str">
        <f ca="1">IF(color_Celda(E1618)=12106214,"ROSA",IF(color_Celda(E1618)=65535,"AMARILLO",IF(color_Celda(E1618)=5296274,"VERDE",IF(color_Celda(E1618)=16777215,"BLANCO","NO SE"))))</f>
        <v>ROSA</v>
      </c>
      <c r="W1618" s="336"/>
      <c r="X1618" s="336"/>
      <c r="Y1618" s="336"/>
      <c r="Z1618" s="63" t="s">
        <v>770</v>
      </c>
      <c r="AA1618" s="72" t="s">
        <v>2828</v>
      </c>
      <c r="AB1618" s="72" t="s">
        <v>1169</v>
      </c>
      <c r="AC1618" s="336"/>
    </row>
    <row r="1619" spans="1:29" ht="60" customHeight="1">
      <c r="A1619" s="336">
        <v>1609</v>
      </c>
      <c r="B1619" s="349">
        <v>45343</v>
      </c>
      <c r="C1619" s="568">
        <v>0.4777777777777778</v>
      </c>
      <c r="D1619" s="63" t="s">
        <v>6100</v>
      </c>
      <c r="E1619" s="528" t="s">
        <v>6133</v>
      </c>
      <c r="F1619" s="336">
        <v>5</v>
      </c>
      <c r="G1619" s="336" t="s">
        <v>5710</v>
      </c>
      <c r="H1619" s="383">
        <v>45358</v>
      </c>
      <c r="I1619" s="349" t="s">
        <v>1083</v>
      </c>
      <c r="J1619" s="349" t="s">
        <v>4931</v>
      </c>
      <c r="K1619" s="336" t="s">
        <v>1982</v>
      </c>
      <c r="L1619" s="63" t="s">
        <v>4790</v>
      </c>
      <c r="M1619" s="7" t="s">
        <v>695</v>
      </c>
      <c r="N1619" s="63" t="s">
        <v>1151</v>
      </c>
      <c r="O1619" s="78" t="str">
        <f ca="1">IF(H1619&lt;&gt;"",IF(H1619&lt;=TODAY(),"SI","NO"),"LIMBO")</f>
        <v>SI</v>
      </c>
      <c r="P1619" s="78" t="str">
        <f>IF($P$1=H1619,"DIASOL", "DIANOSOL")</f>
        <v>DIANOSOL</v>
      </c>
      <c r="Q1619" s="63" t="s">
        <v>902</v>
      </c>
      <c r="R1619" s="63" t="str">
        <f>VLOOKUP($Q1619,Resultados!$A$1:$B$49,2,FALSE)</f>
        <v>Juicio Abreviado</v>
      </c>
      <c r="S1619" s="63"/>
      <c r="T1619" s="81" t="str">
        <f>IF(G1619=$J$1,"SI","NO")</f>
        <v>NO</v>
      </c>
      <c r="U1619" s="81"/>
      <c r="V1619" s="7" t="str">
        <f ca="1">IF(color_Celda(E1619)=12106214,"ROSA",IF(color_Celda(E1619)=65535,"AMARILLO",IF(color_Celda(E1619)=5296274,"VERDE",IF(color_Celda(E1619)=16777215,"BLANCO","NO SE"))))</f>
        <v>ROSA</v>
      </c>
      <c r="W1619" s="336"/>
      <c r="X1619" s="336"/>
      <c r="Y1619" s="336"/>
      <c r="Z1619" s="63" t="s">
        <v>748</v>
      </c>
      <c r="AA1619" s="72" t="s">
        <v>2828</v>
      </c>
      <c r="AB1619" s="72" t="s">
        <v>3258</v>
      </c>
      <c r="AC1619" s="336"/>
    </row>
    <row r="1620" spans="1:29" ht="60" customHeight="1">
      <c r="A1620" s="336">
        <v>1721</v>
      </c>
      <c r="B1620" s="349">
        <v>45358</v>
      </c>
      <c r="C1620" s="568">
        <v>0.33333333333333331</v>
      </c>
      <c r="D1620" s="336" t="s">
        <v>5599</v>
      </c>
      <c r="E1620" s="355" t="s">
        <v>5600</v>
      </c>
      <c r="F1620" s="336">
        <v>3</v>
      </c>
      <c r="G1620" s="63" t="s">
        <v>1435</v>
      </c>
      <c r="H1620" s="383">
        <v>45358</v>
      </c>
      <c r="I1620" s="65" t="s">
        <v>75</v>
      </c>
      <c r="J1620" s="349" t="s">
        <v>78</v>
      </c>
      <c r="K1620" s="336">
        <f>IFERROR(VLOOKUP(J1620,Jueces!$A$1:$B$11,2,FALSE),"")</f>
        <v>8</v>
      </c>
      <c r="L1620" s="63" t="s">
        <v>4789</v>
      </c>
      <c r="M1620" s="63" t="s">
        <v>692</v>
      </c>
      <c r="N1620" s="336" t="s">
        <v>2100</v>
      </c>
      <c r="O1620" s="63" t="str">
        <f ca="1">IF(H1620&lt;&gt;"",IF(H1620&lt;=TODAY(),"SI","NO"),"LIMBO")</f>
        <v>SI</v>
      </c>
      <c r="P1620" s="63" t="str">
        <f>IF($P$1=H1620,"DIASOL", "DIANOSOL")</f>
        <v>DIANOSOL</v>
      </c>
      <c r="Q1620" s="63" t="s">
        <v>151</v>
      </c>
      <c r="R1620" s="63" t="str">
        <f>VLOOKUP($Q1620,Resultados!$A$1:$B$49,2,FALSE)</f>
        <v>Prisión Preventiva</v>
      </c>
      <c r="S1620" s="63"/>
      <c r="T1620" s="72" t="str">
        <f>IF(G1620=$J$1,"SI","NO")</f>
        <v>SI</v>
      </c>
      <c r="U1620" s="72"/>
      <c r="V1620" s="7" t="str">
        <f ca="1">IF(color_Celda(E1620)=12106214,"ROSA",IF(color_Celda(E1620)=65535,"AMARILLO",IF(color_Celda(E1620)=5296274,"VERDE",IF(color_Celda(E1620)=16777215,"BLANCO","NO SE"))))</f>
        <v>ROSA</v>
      </c>
      <c r="W1620" s="336"/>
      <c r="X1620" s="336"/>
      <c r="Y1620" s="336"/>
      <c r="Z1620" s="336"/>
      <c r="AA1620" s="336"/>
      <c r="AB1620" s="336"/>
      <c r="AC1620" s="336"/>
    </row>
    <row r="1621" spans="1:29" ht="60" customHeight="1">
      <c r="A1621" s="336">
        <v>1574</v>
      </c>
      <c r="B1621" s="349">
        <v>45338</v>
      </c>
      <c r="C1621" s="568">
        <v>0.3888888888888889</v>
      </c>
      <c r="D1621" s="63" t="s">
        <v>5993</v>
      </c>
      <c r="E1621" s="64" t="s">
        <v>5994</v>
      </c>
      <c r="F1621" s="336">
        <v>4</v>
      </c>
      <c r="G1621" s="336" t="s">
        <v>1433</v>
      </c>
      <c r="H1621" s="383">
        <v>45358</v>
      </c>
      <c r="I1621" s="65" t="s">
        <v>547</v>
      </c>
      <c r="J1621" s="349" t="s">
        <v>78</v>
      </c>
      <c r="K1621" s="336">
        <f>IFERROR(VLOOKUP(J1621,Jueces!$A$1:$B$11,2,FALSE),"")</f>
        <v>8</v>
      </c>
      <c r="L1621" s="63" t="s">
        <v>4788</v>
      </c>
      <c r="M1621" s="63" t="s">
        <v>695</v>
      </c>
      <c r="N1621" s="63" t="s">
        <v>6405</v>
      </c>
      <c r="O1621" s="78" t="str">
        <f ca="1">IF(H1621&lt;&gt;"",IF(H1621&lt;=TODAY(),"SI","NO"),"LIMBO")</f>
        <v>SI</v>
      </c>
      <c r="P1621" s="78" t="str">
        <f>IF($P$1=H1621,"DIASOL", "DIANOSOL")</f>
        <v>DIANOSOL</v>
      </c>
      <c r="Q1621" s="63" t="s">
        <v>897</v>
      </c>
      <c r="R1621" s="63" t="str">
        <f>VLOOKUP($Q1621,Resultados!$A$1:$B$49,2,FALSE)</f>
        <v>Libertad</v>
      </c>
      <c r="S1621" s="63"/>
      <c r="T1621" s="81" t="str">
        <f>IF(G1621=$J$1,"SI","NO")</f>
        <v>NO</v>
      </c>
      <c r="U1621" s="81"/>
      <c r="V1621" s="7" t="str">
        <f ca="1">IF(color_Celda(E1621)=12106214,"ROSA",IF(color_Celda(E1621)=65535,"AMARILLO",IF(color_Celda(E1621)=5296274,"VERDE",IF(color_Celda(E1621)=16777215,"BLANCO","NO SE"))))</f>
        <v>ROSA</v>
      </c>
      <c r="W1621" s="336"/>
      <c r="X1621" s="336"/>
      <c r="Y1621" s="336"/>
      <c r="Z1621" s="63" t="s">
        <v>3368</v>
      </c>
      <c r="AA1621" s="72" t="s">
        <v>2869</v>
      </c>
      <c r="AB1621" s="72" t="s">
        <v>1173</v>
      </c>
      <c r="AC1621" s="336"/>
    </row>
    <row r="1622" spans="1:29" ht="60" customHeight="1">
      <c r="A1622" s="336">
        <v>1602</v>
      </c>
      <c r="B1622" s="349">
        <v>45341</v>
      </c>
      <c r="C1622" s="568">
        <v>0.4513888888888889</v>
      </c>
      <c r="D1622" s="63" t="s">
        <v>6083</v>
      </c>
      <c r="E1622" s="355" t="s">
        <v>6084</v>
      </c>
      <c r="F1622" s="336">
        <v>3</v>
      </c>
      <c r="G1622" s="63" t="s">
        <v>2815</v>
      </c>
      <c r="H1622" s="383">
        <v>45358</v>
      </c>
      <c r="I1622" s="349" t="s">
        <v>1554</v>
      </c>
      <c r="J1622" s="349" t="s">
        <v>1216</v>
      </c>
      <c r="K1622" s="63" t="s">
        <v>2324</v>
      </c>
      <c r="L1622" s="63" t="s">
        <v>4788</v>
      </c>
      <c r="M1622" s="63" t="s">
        <v>695</v>
      </c>
      <c r="N1622" s="63" t="s">
        <v>6414</v>
      </c>
      <c r="O1622" s="78" t="str">
        <f ca="1">IF(H1622&lt;&gt;"",IF(H1622&lt;=TODAY(),"SI","NO"),"LIMBO")</f>
        <v>SI</v>
      </c>
      <c r="P1622" s="78" t="str">
        <f>IF($P$1=H1622,"DIASOL", "DIANOSOL")</f>
        <v>DIANOSOL</v>
      </c>
      <c r="Q1622" s="63" t="s">
        <v>902</v>
      </c>
      <c r="R1622" s="63" t="str">
        <f>VLOOKUP($Q1622,Resultados!$A$1:$B$49,2,FALSE)</f>
        <v>Juicio Abreviado</v>
      </c>
      <c r="S1622" s="63"/>
      <c r="T1622" s="81" t="str">
        <f>IF(G1622=$J$1,"SI","NO")</f>
        <v>NO</v>
      </c>
      <c r="U1622" s="81"/>
      <c r="V1622" s="7" t="str">
        <f ca="1">IF(color_Celda(E1622)=12106214,"ROSA",IF(color_Celda(E1622)=65535,"AMARILLO",IF(color_Celda(E1622)=5296274,"VERDE",IF(color_Celda(E1622)=16777215,"BLANCO","NO SE"))))</f>
        <v>ROSA</v>
      </c>
      <c r="W1622" s="336"/>
      <c r="X1622" s="336"/>
      <c r="Y1622" s="336"/>
      <c r="Z1622" s="63" t="s">
        <v>3368</v>
      </c>
      <c r="AA1622" s="72" t="s">
        <v>3378</v>
      </c>
      <c r="AB1622" s="72" t="s">
        <v>1170</v>
      </c>
      <c r="AC1622" s="336"/>
    </row>
    <row r="1623" spans="1:29" ht="60" customHeight="1">
      <c r="A1623" s="336">
        <v>1634</v>
      </c>
      <c r="B1623" s="349">
        <v>45345</v>
      </c>
      <c r="C1623" s="568">
        <v>0.4770833333333333</v>
      </c>
      <c r="D1623" s="63" t="s">
        <v>6181</v>
      </c>
      <c r="E1623" s="64" t="s">
        <v>6182</v>
      </c>
      <c r="F1623" s="336">
        <v>4</v>
      </c>
      <c r="G1623" s="63" t="s">
        <v>568</v>
      </c>
      <c r="H1623" s="383">
        <v>45358</v>
      </c>
      <c r="I1623" s="65" t="s">
        <v>228</v>
      </c>
      <c r="J1623" s="65" t="s">
        <v>33</v>
      </c>
      <c r="K1623" s="63">
        <v>4</v>
      </c>
      <c r="L1623" s="63" t="s">
        <v>4789</v>
      </c>
      <c r="M1623" s="7" t="s">
        <v>695</v>
      </c>
      <c r="N1623" s="63" t="s">
        <v>6377</v>
      </c>
      <c r="O1623" s="63" t="str">
        <f ca="1">IF(H1623&lt;&gt;"",IF(H1623&lt;=TODAY(),"SI","NO"),"LIMBO")</f>
        <v>SI</v>
      </c>
      <c r="P1623" s="63" t="str">
        <f>IF($P$1=H1623,"DIASOL", "DIANOSOL")</f>
        <v>DIANOSOL</v>
      </c>
      <c r="Q1623" s="63" t="s">
        <v>1010</v>
      </c>
      <c r="R1623" s="63" t="str">
        <f>VLOOKUP($Q1623,Resultados!$A$1:$B$49,2,FALSE)</f>
        <v>Suspendida</v>
      </c>
      <c r="S1623" s="63"/>
      <c r="T1623" s="72" t="str">
        <f>IF(G1623=$J$1,"SI","NO")</f>
        <v>NO</v>
      </c>
      <c r="U1623" s="72"/>
      <c r="V1623" s="7" t="str">
        <f ca="1">IF(color_Celda(E1623)=12106214,"ROSA",IF(color_Celda(E1623)=65535,"AMARILLO",IF(color_Celda(E1623)=5296274,"VERDE",IF(color_Celda(E1623)=16777215,"BLANCO","NO SE"))))</f>
        <v>ROSA</v>
      </c>
      <c r="W1623" s="336"/>
      <c r="X1623" s="336"/>
      <c r="Y1623" s="336"/>
      <c r="Z1623" s="63" t="s">
        <v>770</v>
      </c>
      <c r="AA1623" s="72" t="s">
        <v>3379</v>
      </c>
      <c r="AB1623" s="72" t="s">
        <v>1169</v>
      </c>
      <c r="AC1623" s="336"/>
    </row>
    <row r="1624" spans="1:29" ht="60" customHeight="1">
      <c r="A1624" s="336">
        <v>1604</v>
      </c>
      <c r="B1624" s="349">
        <v>45341</v>
      </c>
      <c r="C1624" s="568">
        <v>0.35000000000000003</v>
      </c>
      <c r="D1624" s="63" t="s">
        <v>6087</v>
      </c>
      <c r="E1624" s="355" t="s">
        <v>6088</v>
      </c>
      <c r="F1624" s="336">
        <v>6</v>
      </c>
      <c r="G1624" s="336" t="s">
        <v>1433</v>
      </c>
      <c r="H1624" s="383">
        <v>45359</v>
      </c>
      <c r="I1624" s="349" t="s">
        <v>73</v>
      </c>
      <c r="J1624" s="349" t="s">
        <v>1217</v>
      </c>
      <c r="K1624" s="336">
        <f>IFERROR(VLOOKUP(J1624,Jueces!$A$1:$B$11,2,FALSE),"")</f>
        <v>7</v>
      </c>
      <c r="L1624" s="63" t="s">
        <v>4791</v>
      </c>
      <c r="M1624" s="63" t="s">
        <v>695</v>
      </c>
      <c r="N1624" s="63" t="s">
        <v>6388</v>
      </c>
      <c r="O1624" s="78" t="str">
        <f ca="1">IF(H1624&lt;&gt;"",IF(H1624&lt;=TODAY(),"SI","NO"),"LIMBO")</f>
        <v>SI</v>
      </c>
      <c r="P1624" s="78" t="str">
        <f>IF($P$1=H1624,"DIASOL", "DIANOSOL")</f>
        <v>DIANOSOL</v>
      </c>
      <c r="Q1624" s="63" t="s">
        <v>910</v>
      </c>
      <c r="R1624" s="63" t="str">
        <f>VLOOKUP($Q1624,Resultados!$A$1:$B$49,2,FALSE)</f>
        <v>Suspendida</v>
      </c>
      <c r="S1624" s="63"/>
      <c r="T1624" s="81" t="str">
        <f>IF(G1624=$J$1,"SI","NO")</f>
        <v>NO</v>
      </c>
      <c r="U1624" s="81"/>
      <c r="V1624" s="7" t="str">
        <f ca="1">IF(color_Celda(E1624)=12106214,"ROSA",IF(color_Celda(E1624)=65535,"AMARILLO",IF(color_Celda(E1624)=5296274,"VERDE",IF(color_Celda(E1624)=16777215,"BLANCO","NO SE"))))</f>
        <v>ROSA</v>
      </c>
      <c r="W1624" s="336"/>
      <c r="X1624" s="336"/>
      <c r="Y1624" s="336"/>
      <c r="Z1624" s="63" t="s">
        <v>748</v>
      </c>
      <c r="AA1624" s="63" t="s">
        <v>2828</v>
      </c>
      <c r="AB1624" s="63" t="s">
        <v>3258</v>
      </c>
      <c r="AC1624" s="336"/>
    </row>
    <row r="1625" spans="1:29" ht="60" customHeight="1">
      <c r="A1625" s="336">
        <v>1605</v>
      </c>
      <c r="B1625" s="349">
        <v>45343</v>
      </c>
      <c r="C1625" s="568">
        <v>0.37916666666666665</v>
      </c>
      <c r="D1625" s="63" t="s">
        <v>6092</v>
      </c>
      <c r="E1625" s="64" t="s">
        <v>6196</v>
      </c>
      <c r="F1625" s="336">
        <v>4</v>
      </c>
      <c r="G1625" s="63" t="s">
        <v>568</v>
      </c>
      <c r="H1625" s="383">
        <v>45359</v>
      </c>
      <c r="I1625" s="65" t="s">
        <v>73</v>
      </c>
      <c r="J1625" s="65" t="s">
        <v>78</v>
      </c>
      <c r="K1625" s="336">
        <f>IFERROR(VLOOKUP(J1625,Jueces!$A$1:$B$11,2,FALSE),"")</f>
        <v>8</v>
      </c>
      <c r="L1625" s="63" t="s">
        <v>4786</v>
      </c>
      <c r="M1625" s="356" t="s">
        <v>1378</v>
      </c>
      <c r="N1625" s="63" t="s">
        <v>6419</v>
      </c>
      <c r="O1625" s="78" t="str">
        <f ca="1">IF(H1625&lt;&gt;"",IF(H1625&lt;=TODAY(),"SI","NO"),"LIMBO")</f>
        <v>SI</v>
      </c>
      <c r="P1625" s="78" t="str">
        <f>IF($P$1=H1625,"DIASOL", "DIANOSOL")</f>
        <v>DIANOSOL</v>
      </c>
      <c r="Q1625" s="63" t="s">
        <v>903</v>
      </c>
      <c r="R1625" s="63" t="str">
        <f>VLOOKUP($Q1625,Resultados!$A$1:$B$49,2,FALSE)</f>
        <v>Juicio Abreviado</v>
      </c>
      <c r="S1625" s="63"/>
      <c r="T1625" s="81" t="str">
        <f>IF(G1625=$J$1,"SI","NO")</f>
        <v>NO</v>
      </c>
      <c r="U1625" s="81"/>
      <c r="V1625" s="7" t="str">
        <f ca="1">IF(color_Celda(E1625)=12106214,"ROSA",IF(color_Celda(E1625)=65535,"AMARILLO",IF(color_Celda(E1625)=5296274,"VERDE",IF(color_Celda(E1625)=16777215,"BLANCO","NO SE"))))</f>
        <v>ROSA</v>
      </c>
      <c r="W1625" s="336"/>
      <c r="X1625" s="336"/>
      <c r="Y1625" s="336"/>
      <c r="Z1625" s="63" t="s">
        <v>743</v>
      </c>
      <c r="AA1625" s="63" t="s">
        <v>3379</v>
      </c>
      <c r="AB1625" s="63" t="s">
        <v>1173</v>
      </c>
      <c r="AC1625" s="336"/>
    </row>
    <row r="1626" spans="1:29" ht="60" customHeight="1">
      <c r="A1626" s="336">
        <v>1622</v>
      </c>
      <c r="B1626" s="349">
        <v>45344</v>
      </c>
      <c r="C1626" s="568">
        <v>0.3923611111111111</v>
      </c>
      <c r="D1626" s="63" t="s">
        <v>6144</v>
      </c>
      <c r="E1626" s="355" t="s">
        <v>6145</v>
      </c>
      <c r="F1626" s="336">
        <v>2</v>
      </c>
      <c r="G1626" s="63" t="s">
        <v>2815</v>
      </c>
      <c r="H1626" s="383">
        <v>45359</v>
      </c>
      <c r="I1626" s="65" t="s">
        <v>73</v>
      </c>
      <c r="J1626" s="65" t="s">
        <v>35</v>
      </c>
      <c r="K1626" s="336">
        <f>IFERROR(VLOOKUP(J1626,Jueces!$A$1:$B$11,2,FALSE),"")</f>
        <v>3</v>
      </c>
      <c r="L1626" s="63" t="s">
        <v>2077</v>
      </c>
      <c r="M1626" s="63" t="s">
        <v>711</v>
      </c>
      <c r="N1626" s="63" t="s">
        <v>6389</v>
      </c>
      <c r="O1626" s="78" t="str">
        <f ca="1">IF(H1626&lt;&gt;"",IF(H1626&lt;=TODAY(),"SI","NO"),"LIMBO")</f>
        <v>SI</v>
      </c>
      <c r="P1626" s="78" t="str">
        <f>IF($P$1=H1626,"DIASOL", "DIANOSOL")</f>
        <v>DIANOSOL</v>
      </c>
      <c r="Q1626" s="63" t="s">
        <v>910</v>
      </c>
      <c r="R1626" s="63" t="str">
        <f>VLOOKUP($Q1626,Resultados!$A$1:$B$49,2,FALSE)</f>
        <v>Suspendida</v>
      </c>
      <c r="S1626" s="63"/>
      <c r="T1626" s="81" t="str">
        <f>IF(G1626=$J$1,"SI","NO")</f>
        <v>NO</v>
      </c>
      <c r="U1626" s="81"/>
      <c r="V1626" s="7" t="str">
        <f ca="1">IF(color_Celda(E1626)=12106214,"ROSA",IF(color_Celda(E1626)=65535,"AMARILLO",IF(color_Celda(E1626)=5296274,"VERDE",IF(color_Celda(E1626)=16777215,"BLANCO","NO SE"))))</f>
        <v>ROSA</v>
      </c>
      <c r="W1626" s="336"/>
      <c r="X1626" s="336"/>
      <c r="Y1626" s="336"/>
      <c r="Z1626" s="63" t="s">
        <v>770</v>
      </c>
      <c r="AA1626" s="63" t="s">
        <v>2828</v>
      </c>
      <c r="AB1626" s="63" t="s">
        <v>1170</v>
      </c>
      <c r="AC1626" s="336"/>
    </row>
    <row r="1627" spans="1:29" ht="60" customHeight="1">
      <c r="A1627" s="336">
        <v>1641</v>
      </c>
      <c r="B1627" s="349">
        <v>45345</v>
      </c>
      <c r="C1627" s="568">
        <v>0.33333333333333331</v>
      </c>
      <c r="D1627" s="63" t="s">
        <v>6167</v>
      </c>
      <c r="E1627" s="64" t="s">
        <v>6250</v>
      </c>
      <c r="F1627" s="336">
        <v>4</v>
      </c>
      <c r="G1627" s="63" t="s">
        <v>1435</v>
      </c>
      <c r="H1627" s="383">
        <v>45359</v>
      </c>
      <c r="I1627" s="65" t="s">
        <v>73</v>
      </c>
      <c r="J1627" s="65" t="s">
        <v>33</v>
      </c>
      <c r="K1627" s="336">
        <f>IFERROR(VLOOKUP(J1627,Jueces!$A$1:$B$11,2,FALSE),"")</f>
        <v>4</v>
      </c>
      <c r="L1627" s="63" t="s">
        <v>4789</v>
      </c>
      <c r="M1627" s="335" t="s">
        <v>5626</v>
      </c>
      <c r="N1627" s="63" t="s">
        <v>6416</v>
      </c>
      <c r="O1627" s="78" t="str">
        <f ca="1">IF(H1627&lt;&gt;"",IF(H1627&lt;=TODAY(),"SI","NO"),"LIMBO")</f>
        <v>SI</v>
      </c>
      <c r="P1627" s="78" t="str">
        <f>IF($P$1=H1627,"DIASOL", "DIANOSOL")</f>
        <v>DIANOSOL</v>
      </c>
      <c r="Q1627" s="63" t="s">
        <v>907</v>
      </c>
      <c r="R1627" s="63" t="str">
        <f>VLOOKUP($Q1627,Resultados!$A$1:$B$49,2,FALSE)</f>
        <v>Suspensión de juicio a prueba</v>
      </c>
      <c r="S1627" s="63"/>
      <c r="T1627" s="81" t="str">
        <f>IF(G1627=$J$1,"SI","NO")</f>
        <v>SI</v>
      </c>
      <c r="U1627" s="81"/>
      <c r="V1627" s="7" t="str">
        <f ca="1">IF(color_Celda(E1627)=12106214,"ROSA",IF(color_Celda(E1627)=65535,"AMARILLO",IF(color_Celda(E1627)=5296274,"VERDE",IF(color_Celda(E1627)=16777215,"BLANCO","NO SE"))))</f>
        <v>ROSA</v>
      </c>
      <c r="W1627" s="336"/>
      <c r="X1627" s="336"/>
      <c r="Y1627" s="336"/>
      <c r="Z1627" s="63" t="s">
        <v>3368</v>
      </c>
      <c r="AA1627" s="63" t="s">
        <v>3379</v>
      </c>
      <c r="AB1627" s="63" t="s">
        <v>1169</v>
      </c>
      <c r="AC1627" s="336"/>
    </row>
    <row r="1628" spans="1:29" ht="60" customHeight="1">
      <c r="A1628" s="336">
        <v>1642</v>
      </c>
      <c r="B1628" s="349">
        <v>45348</v>
      </c>
      <c r="C1628" s="568">
        <v>0.51041666666666663</v>
      </c>
      <c r="D1628" s="63" t="s">
        <v>6206</v>
      </c>
      <c r="E1628" s="64" t="s">
        <v>6207</v>
      </c>
      <c r="F1628" s="336">
        <v>4</v>
      </c>
      <c r="G1628" s="63" t="s">
        <v>2766</v>
      </c>
      <c r="H1628" s="383">
        <v>45359</v>
      </c>
      <c r="I1628" s="65" t="s">
        <v>73</v>
      </c>
      <c r="J1628" s="65" t="s">
        <v>1216</v>
      </c>
      <c r="K1628" s="63">
        <v>1</v>
      </c>
      <c r="L1628" s="63" t="s">
        <v>4782</v>
      </c>
      <c r="M1628" s="335" t="s">
        <v>3384</v>
      </c>
      <c r="N1628" s="63" t="s">
        <v>6415</v>
      </c>
      <c r="O1628" s="78" t="str">
        <f ca="1">IF(H1628&lt;&gt;"",IF(H1628&lt;=TODAY(),"SI","NO"),"LIMBO")</f>
        <v>SI</v>
      </c>
      <c r="P1628" s="78" t="str">
        <f>IF($P$1=H1628,"DIASOL", "DIANOSOL")</f>
        <v>DIANOSOL</v>
      </c>
      <c r="Q1628" s="63" t="s">
        <v>151</v>
      </c>
      <c r="R1628" s="63" t="str">
        <f>VLOOKUP($Q1628,Resultados!$A$1:$B$49,2,FALSE)</f>
        <v>Prisión Preventiva</v>
      </c>
      <c r="S1628" s="63"/>
      <c r="T1628" s="81" t="str">
        <f>IF(G1628=$J$1,"SI","NO")</f>
        <v>NO</v>
      </c>
      <c r="U1628" s="81"/>
      <c r="V1628" s="7" t="str">
        <f ca="1">IF(color_Celda(E1628)=12106214,"ROSA",IF(color_Celda(E1628)=65535,"AMARILLO",IF(color_Celda(E1628)=5296274,"VERDE",IF(color_Celda(E1628)=16777215,"BLANCO","NO SE"))))</f>
        <v>ROSA</v>
      </c>
      <c r="W1628" s="336"/>
      <c r="X1628" s="336"/>
      <c r="Y1628" s="336"/>
      <c r="Z1628" s="63" t="s">
        <v>1038</v>
      </c>
      <c r="AA1628" s="63" t="s">
        <v>1167</v>
      </c>
      <c r="AB1628" s="63" t="s">
        <v>3258</v>
      </c>
      <c r="AC1628" s="336"/>
    </row>
    <row r="1629" spans="1:29" ht="60" customHeight="1">
      <c r="A1629" s="336">
        <v>1643</v>
      </c>
      <c r="B1629" s="349">
        <v>45266</v>
      </c>
      <c r="C1629" s="568">
        <v>0.40972222222222227</v>
      </c>
      <c r="D1629" s="336" t="s">
        <v>4457</v>
      </c>
      <c r="E1629" s="355" t="s">
        <v>4458</v>
      </c>
      <c r="F1629" s="336">
        <v>7</v>
      </c>
      <c r="G1629" s="63" t="s">
        <v>3323</v>
      </c>
      <c r="H1629" s="383">
        <v>45359</v>
      </c>
      <c r="I1629" s="65" t="s">
        <v>1083</v>
      </c>
      <c r="J1629" s="65" t="s">
        <v>35</v>
      </c>
      <c r="K1629" s="336">
        <f>IFERROR(VLOOKUP(J1629,Jueces!$A$1:$B$11,2,FALSE),"")</f>
        <v>3</v>
      </c>
      <c r="L1629" s="63" t="s">
        <v>1067</v>
      </c>
      <c r="M1629" s="63" t="s">
        <v>2247</v>
      </c>
      <c r="N1629" s="63" t="s">
        <v>6418</v>
      </c>
      <c r="O1629" s="78" t="str">
        <f ca="1">IF(H1629&lt;&gt;"",IF(H1629&lt;=TODAY(),"SI","NO"),"LIMBO")</f>
        <v>SI</v>
      </c>
      <c r="P1629" s="78" t="str">
        <f>IF($P$1=H1629,"DIASOL", "DIANOSOL")</f>
        <v>DIANOSOL</v>
      </c>
      <c r="Q1629" s="63" t="s">
        <v>151</v>
      </c>
      <c r="R1629" s="63" t="str">
        <f>VLOOKUP($Q1629,Resultados!$A$1:$B$49,2,FALSE)</f>
        <v>Prisión Preventiva</v>
      </c>
      <c r="S1629" s="63"/>
      <c r="T1629" s="81" t="str">
        <f>IF(G1629=$J$1,"SI","NO")</f>
        <v>NO</v>
      </c>
      <c r="U1629" s="81"/>
      <c r="V1629" s="7" t="str">
        <f ca="1">IF(color_Celda(E1629)=12106214,"ROSA",IF(color_Celda(E1629)=65535,"AMARILLO",IF(color_Celda(E1629)=5296274,"VERDE",IF(color_Celda(E1629)=16777215,"BLANCO","NO SE"))))</f>
        <v>ROSA</v>
      </c>
      <c r="W1629" s="336"/>
      <c r="X1629" s="336"/>
      <c r="Y1629" s="336"/>
      <c r="Z1629" s="63" t="s">
        <v>770</v>
      </c>
      <c r="AA1629" s="63" t="s">
        <v>3378</v>
      </c>
      <c r="AB1629" s="63" t="s">
        <v>1173</v>
      </c>
      <c r="AC1629" s="336"/>
    </row>
    <row r="1630" spans="1:29" ht="60" customHeight="1">
      <c r="A1630" s="336">
        <v>1592</v>
      </c>
      <c r="B1630" s="349">
        <v>45341</v>
      </c>
      <c r="C1630" s="63" t="s">
        <v>1524</v>
      </c>
      <c r="D1630" s="63" t="s">
        <v>6043</v>
      </c>
      <c r="E1630" s="64" t="s">
        <v>6071</v>
      </c>
      <c r="F1630" s="336">
        <v>4</v>
      </c>
      <c r="G1630" s="63" t="s">
        <v>283</v>
      </c>
      <c r="H1630" s="383">
        <v>45359</v>
      </c>
      <c r="I1630" s="65" t="s">
        <v>1083</v>
      </c>
      <c r="J1630" s="65" t="s">
        <v>1217</v>
      </c>
      <c r="K1630" s="336">
        <f>IFERROR(VLOOKUP(J1630,Jueces!$A$1:$B$11,2,FALSE),"")</f>
        <v>7</v>
      </c>
      <c r="L1630" s="63" t="s">
        <v>4790</v>
      </c>
      <c r="M1630" s="63" t="s">
        <v>695</v>
      </c>
      <c r="N1630" s="63" t="s">
        <v>6417</v>
      </c>
      <c r="O1630" s="78" t="str">
        <f ca="1">IF(H1630&lt;&gt;"",IF(H1630&lt;=TODAY(),"SI","NO"),"LIMBO")</f>
        <v>SI</v>
      </c>
      <c r="P1630" s="78" t="str">
        <f>IF($P$1=H1630,"DIASOL", "DIANOSOL")</f>
        <v>DIANOSOL</v>
      </c>
      <c r="Q1630" s="63" t="s">
        <v>902</v>
      </c>
      <c r="R1630" s="63" t="str">
        <f>VLOOKUP($Q1630,Resultados!$A$1:$B$49,2,FALSE)</f>
        <v>Juicio Abreviado</v>
      </c>
      <c r="S1630" s="63"/>
      <c r="T1630" s="81" t="str">
        <f>IF(G1630=$J$1,"SI","NO")</f>
        <v>NO</v>
      </c>
      <c r="U1630" s="81"/>
      <c r="V1630" s="7" t="str">
        <f ca="1">IF(color_Celda(E1630)=12106214,"ROSA",IF(color_Celda(E1630)=65535,"AMARILLO",IF(color_Celda(E1630)=5296274,"VERDE",IF(color_Celda(E1630)=16777215,"BLANCO","NO SE"))))</f>
        <v>ROSA</v>
      </c>
      <c r="W1630" s="336"/>
      <c r="X1630" s="336"/>
      <c r="Y1630" s="336"/>
      <c r="Z1630" s="63" t="s">
        <v>748</v>
      </c>
      <c r="AA1630" s="63" t="s">
        <v>2869</v>
      </c>
      <c r="AB1630" s="63" t="s">
        <v>1171</v>
      </c>
      <c r="AC1630" s="336"/>
    </row>
    <row r="1631" spans="1:29" ht="60" customHeight="1">
      <c r="A1631" s="336">
        <v>1651</v>
      </c>
      <c r="B1631" s="349">
        <v>45349</v>
      </c>
      <c r="C1631" s="568" t="s">
        <v>73</v>
      </c>
      <c r="D1631" s="336" t="s">
        <v>5478</v>
      </c>
      <c r="E1631" s="355" t="s">
        <v>6358</v>
      </c>
      <c r="F1631" s="336">
        <v>2</v>
      </c>
      <c r="G1631" s="63" t="s">
        <v>5710</v>
      </c>
      <c r="H1631" s="383">
        <v>45359</v>
      </c>
      <c r="I1631" s="65" t="s">
        <v>1083</v>
      </c>
      <c r="J1631" s="65" t="s">
        <v>78</v>
      </c>
      <c r="K1631" s="336">
        <f>IFERROR(VLOOKUP(J1631,Jueces!$A$1:$B$11,2,FALSE),"")</f>
        <v>8</v>
      </c>
      <c r="L1631" s="63" t="s">
        <v>1693</v>
      </c>
      <c r="M1631" s="7" t="s">
        <v>5508</v>
      </c>
      <c r="N1631" s="63" t="s">
        <v>6424</v>
      </c>
      <c r="O1631" s="78" t="str">
        <f ca="1">IF(H1631&lt;&gt;"",IF(H1631&lt;=TODAY(),"SI","NO"),"LIMBO")</f>
        <v>SI</v>
      </c>
      <c r="P1631" s="78" t="str">
        <f>IF($P$1=H1631,"DIASOL", "DIANOSOL")</f>
        <v>DIANOSOL</v>
      </c>
      <c r="Q1631" s="63" t="s">
        <v>911</v>
      </c>
      <c r="R1631" s="63" t="str">
        <f>VLOOKUP($Q1631,Resultados!$A$1:$B$49,2,FALSE)</f>
        <v>Prision domiciliaria</v>
      </c>
      <c r="S1631" s="63"/>
      <c r="T1631" s="81" t="str">
        <f>IF(G1631=$J$1,"SI","NO")</f>
        <v>NO</v>
      </c>
      <c r="U1631" s="81"/>
      <c r="V1631" s="7" t="str">
        <f ca="1">IF(color_Celda(E1631)=12106214,"ROSA",IF(color_Celda(E1631)=65535,"AMARILLO",IF(color_Celda(E1631)=5296274,"VERDE",IF(color_Celda(E1631)=16777215,"BLANCO","NO SE"))))</f>
        <v>ROSA</v>
      </c>
      <c r="W1631" s="336"/>
      <c r="X1631" s="336"/>
      <c r="Y1631" s="336"/>
      <c r="Z1631" s="63" t="s">
        <v>743</v>
      </c>
      <c r="AA1631" s="63" t="s">
        <v>2869</v>
      </c>
      <c r="AB1631" s="63" t="s">
        <v>1170</v>
      </c>
      <c r="AC1631" s="336"/>
    </row>
    <row r="1632" spans="1:29" ht="60" customHeight="1">
      <c r="A1632" s="336">
        <v>1637</v>
      </c>
      <c r="B1632" s="349">
        <v>45357</v>
      </c>
      <c r="C1632" s="568">
        <v>0.40277777777777773</v>
      </c>
      <c r="D1632" s="63" t="s">
        <v>5812</v>
      </c>
      <c r="E1632" s="355" t="s">
        <v>5813</v>
      </c>
      <c r="F1632" s="336">
        <v>3</v>
      </c>
      <c r="G1632" s="63" t="s">
        <v>3791</v>
      </c>
      <c r="H1632" s="383">
        <v>45359</v>
      </c>
      <c r="I1632" s="65" t="s">
        <v>1083</v>
      </c>
      <c r="J1632" s="65" t="s">
        <v>33</v>
      </c>
      <c r="K1632" s="336">
        <f>IFERROR(VLOOKUP(J1632,Jueces!$A$1:$B$11,2,FALSE),"")</f>
        <v>4</v>
      </c>
      <c r="L1632" s="63" t="s">
        <v>4791</v>
      </c>
      <c r="M1632" s="63" t="s">
        <v>693</v>
      </c>
      <c r="N1632" s="63" t="s">
        <v>5852</v>
      </c>
      <c r="O1632" s="206" t="str">
        <f ca="1">IF(H1632&lt;&gt;"",IF(H1632&lt;=TODAY(),"SI","NO"),"LIMBO")</f>
        <v>SI</v>
      </c>
      <c r="P1632" s="206" t="str">
        <f>IF($P$1=H1632,"DIASOL", "DIANOSOL")</f>
        <v>DIANOSOL</v>
      </c>
      <c r="Q1632" s="63" t="s">
        <v>151</v>
      </c>
      <c r="R1632" s="63" t="s">
        <v>151</v>
      </c>
      <c r="S1632" s="63"/>
      <c r="T1632" s="267" t="str">
        <f>IF(G1632=$J$1,"SI","NO")</f>
        <v>NO</v>
      </c>
      <c r="U1632" s="267"/>
      <c r="V1632" s="7" t="str">
        <f ca="1">IF(color_Celda(E1632)=12106214,"ROSA",IF(color_Celda(E1632)=65535,"AMARILLO",IF(color_Celda(E1632)=5296274,"VERDE",IF(color_Celda(E1632)=16777215,"BLANCO","NO SE"))))</f>
        <v>ROSA</v>
      </c>
      <c r="W1632" s="336"/>
      <c r="X1632" s="336"/>
      <c r="Y1632" s="336"/>
      <c r="Z1632" s="63" t="s">
        <v>3368</v>
      </c>
      <c r="AA1632" s="63" t="s">
        <v>2869</v>
      </c>
      <c r="AB1632" s="63" t="s">
        <v>3258</v>
      </c>
      <c r="AC1632" s="336"/>
    </row>
    <row r="1633" spans="1:29" ht="60" customHeight="1">
      <c r="A1633" s="336">
        <v>1619</v>
      </c>
      <c r="B1633" s="349">
        <v>45344</v>
      </c>
      <c r="C1633" s="568">
        <v>0.34027777777777773</v>
      </c>
      <c r="D1633" s="63" t="s">
        <v>6139</v>
      </c>
      <c r="E1633" s="355" t="s">
        <v>6140</v>
      </c>
      <c r="F1633" s="336">
        <v>3</v>
      </c>
      <c r="G1633" s="63" t="s">
        <v>2752</v>
      </c>
      <c r="H1633" s="383">
        <v>45359</v>
      </c>
      <c r="I1633" s="65" t="s">
        <v>77</v>
      </c>
      <c r="J1633" s="65" t="s">
        <v>33</v>
      </c>
      <c r="K1633" s="336">
        <f>IFERROR(VLOOKUP(J1633,Jueces!$A$1:$B$11,2,FALSE),"")</f>
        <v>4</v>
      </c>
      <c r="L1633" s="63" t="s">
        <v>4783</v>
      </c>
      <c r="M1633" s="337" t="s">
        <v>2103</v>
      </c>
      <c r="N1633" s="63" t="s">
        <v>6420</v>
      </c>
      <c r="O1633" s="78" t="str">
        <f ca="1">IF(H1633&lt;&gt;"",IF(H1633&lt;=TODAY(),"SI","NO"),"LIMBO")</f>
        <v>SI</v>
      </c>
      <c r="P1633" s="78" t="str">
        <f>IF($P$1=H1633,"DIASOL", "DIANOSOL")</f>
        <v>DIANOSOL</v>
      </c>
      <c r="Q1633" s="63" t="s">
        <v>903</v>
      </c>
      <c r="R1633" s="63" t="str">
        <f>VLOOKUP($Q1633,Resultados!$A$1:$B$49,2,FALSE)</f>
        <v>Juicio Abreviado</v>
      </c>
      <c r="S1633" s="63"/>
      <c r="T1633" s="81" t="str">
        <f>IF(G1633=$J$1,"SI","NO")</f>
        <v>NO</v>
      </c>
      <c r="U1633" s="81"/>
      <c r="V1633" s="7" t="str">
        <f ca="1">IF(color_Celda(E1633)=12106214,"ROSA",IF(color_Celda(E1633)=65535,"AMARILLO",IF(color_Celda(E1633)=5296274,"VERDE",IF(color_Celda(E1633)=16777215,"BLANCO","NO SE"))))</f>
        <v>ROSA</v>
      </c>
      <c r="W1633" s="336"/>
      <c r="X1633" s="336"/>
      <c r="Y1633" s="336"/>
      <c r="Z1633" s="387" t="s">
        <v>3368</v>
      </c>
      <c r="AA1633" s="387" t="s">
        <v>3378</v>
      </c>
      <c r="AB1633" s="387" t="s">
        <v>1169</v>
      </c>
      <c r="AC1633" s="336"/>
    </row>
    <row r="1634" spans="1:29" ht="60" customHeight="1">
      <c r="A1634" s="336">
        <v>1626</v>
      </c>
      <c r="B1634" s="349">
        <v>45344</v>
      </c>
      <c r="C1634" s="568">
        <v>0.40069444444444446</v>
      </c>
      <c r="D1634" s="63" t="s">
        <v>6173</v>
      </c>
      <c r="E1634" s="64" t="s">
        <v>6174</v>
      </c>
      <c r="F1634" s="336">
        <v>7</v>
      </c>
      <c r="G1634" s="336" t="s">
        <v>3791</v>
      </c>
      <c r="H1634" s="383">
        <v>45359</v>
      </c>
      <c r="I1634" s="65" t="s">
        <v>2011</v>
      </c>
      <c r="J1634" s="349" t="s">
        <v>1217</v>
      </c>
      <c r="K1634" s="336">
        <f>IFERROR(VLOOKUP(J1634,Jueces!$A$1:$B$11,2,FALSE),"")</f>
        <v>7</v>
      </c>
      <c r="L1634" s="63" t="s">
        <v>4791</v>
      </c>
      <c r="M1634" s="63" t="s">
        <v>693</v>
      </c>
      <c r="N1634" s="63" t="s">
        <v>6421</v>
      </c>
      <c r="O1634" s="78" t="str">
        <f ca="1">IF(H1634&lt;&gt;"",IF(H1634&lt;=TODAY(),"SI","NO"),"LIMBO")</f>
        <v>SI</v>
      </c>
      <c r="P1634" s="78" t="str">
        <f>IF($P$1=H1634,"DIASOL", "DIANOSOL")</f>
        <v>DIANOSOL</v>
      </c>
      <c r="Q1634" s="63" t="s">
        <v>902</v>
      </c>
      <c r="R1634" s="63" t="str">
        <f>VLOOKUP($Q1634,Resultados!$A$1:$B$49,2,FALSE)</f>
        <v>Juicio Abreviado</v>
      </c>
      <c r="S1634" s="63"/>
      <c r="T1634" s="81" t="str">
        <f>IF(G1634=$J$1,"SI","NO")</f>
        <v>NO</v>
      </c>
      <c r="U1634" s="81"/>
      <c r="V1634" s="7" t="str">
        <f ca="1">IF(color_Celda(E1634)=12106214,"ROSA",IF(color_Celda(E1634)=65535,"AMARILLO",IF(color_Celda(E1634)=5296274,"VERDE",IF(color_Celda(E1634)=16777215,"BLANCO","NO SE"))))</f>
        <v>ROSA</v>
      </c>
      <c r="W1634" s="336"/>
      <c r="X1634" s="336"/>
      <c r="Y1634" s="336"/>
      <c r="Z1634" s="387" t="s">
        <v>748</v>
      </c>
      <c r="AA1634" s="387" t="s">
        <v>1167</v>
      </c>
      <c r="AB1634" s="387" t="s">
        <v>1171</v>
      </c>
      <c r="AC1634" s="336"/>
    </row>
    <row r="1635" spans="1:29" ht="60" customHeight="1">
      <c r="A1635" s="336">
        <v>1608</v>
      </c>
      <c r="B1635" s="349">
        <v>45343</v>
      </c>
      <c r="C1635" s="568">
        <v>0.47152777777777777</v>
      </c>
      <c r="D1635" s="63" t="s">
        <v>6098</v>
      </c>
      <c r="E1635" s="64" t="s">
        <v>6099</v>
      </c>
      <c r="F1635" s="336">
        <v>4</v>
      </c>
      <c r="G1635" s="63" t="s">
        <v>2766</v>
      </c>
      <c r="H1635" s="383">
        <v>45362</v>
      </c>
      <c r="I1635" s="65" t="s">
        <v>73</v>
      </c>
      <c r="J1635" s="65" t="s">
        <v>4932</v>
      </c>
      <c r="K1635" s="63" t="s">
        <v>3776</v>
      </c>
      <c r="L1635" s="63" t="s">
        <v>569</v>
      </c>
      <c r="M1635" s="63" t="s">
        <v>695</v>
      </c>
      <c r="N1635" s="63" t="s">
        <v>6429</v>
      </c>
      <c r="O1635" s="63" t="str">
        <f ca="1">IF(H1635&lt;&gt;"",IF(H1635&lt;=TODAY(),"SI","NO"),"LIMBO")</f>
        <v>SI</v>
      </c>
      <c r="P1635" s="63" t="str">
        <f>IF($P$1=H1635,"DIASOL", "DIANOSOL")</f>
        <v>DIANOSOL</v>
      </c>
      <c r="Q1635" s="63" t="s">
        <v>1010</v>
      </c>
      <c r="R1635" s="63" t="str">
        <f>VLOOKUP($Q1635,Resultados!$A$1:$B$49,2,FALSE)</f>
        <v>Suspendida</v>
      </c>
      <c r="S1635" s="63"/>
      <c r="T1635" s="72" t="str">
        <f>IF(G1635=$J$1,"SI","NO")</f>
        <v>NO</v>
      </c>
      <c r="U1635" s="72"/>
      <c r="V1635" s="7" t="str">
        <f ca="1">IF(color_Celda(E1635)=12106214,"ROSA",IF(color_Celda(E1635)=65535,"AMARILLO",IF(color_Celda(E1635)=5296274,"VERDE",IF(color_Celda(E1635)=16777215,"BLANCO","NO SE"))))</f>
        <v>ROSA</v>
      </c>
      <c r="W1635" s="336"/>
      <c r="X1635" s="336"/>
      <c r="Y1635" s="336"/>
      <c r="Z1635" s="63" t="s">
        <v>748</v>
      </c>
      <c r="AA1635" s="336"/>
      <c r="AB1635" s="63" t="s">
        <v>1170</v>
      </c>
      <c r="AC1635" s="336"/>
    </row>
    <row r="1636" spans="1:29" ht="60" customHeight="1">
      <c r="A1636" s="336">
        <v>1618</v>
      </c>
      <c r="B1636" s="349">
        <v>45344</v>
      </c>
      <c r="C1636" s="568">
        <v>0.39305555555555555</v>
      </c>
      <c r="D1636" s="336" t="s">
        <v>3490</v>
      </c>
      <c r="E1636" s="355" t="s">
        <v>3427</v>
      </c>
      <c r="F1636" s="336">
        <v>2</v>
      </c>
      <c r="G1636" s="63" t="s">
        <v>29</v>
      </c>
      <c r="H1636" s="383">
        <v>45362</v>
      </c>
      <c r="I1636" s="65" t="s">
        <v>73</v>
      </c>
      <c r="J1636" s="65" t="s">
        <v>4931</v>
      </c>
      <c r="K1636" s="63" t="s">
        <v>1982</v>
      </c>
      <c r="L1636" s="63" t="s">
        <v>2077</v>
      </c>
      <c r="M1636" s="330" t="s">
        <v>1025</v>
      </c>
      <c r="N1636" s="63" t="s">
        <v>7338</v>
      </c>
      <c r="O1636" s="78" t="str">
        <f ca="1">IF(H1636&lt;&gt;"",IF(H1636&lt;=TODAY(),"SI","NO"),"LIMBO")</f>
        <v>SI</v>
      </c>
      <c r="P1636" s="78" t="str">
        <f>IF($P$1=H1636,"DIASOL", "DIANOSOL")</f>
        <v>DIANOSOL</v>
      </c>
      <c r="Q1636" s="63" t="s">
        <v>909</v>
      </c>
      <c r="R1636" s="63" t="s">
        <v>947</v>
      </c>
      <c r="S1636" s="63" t="s">
        <v>2047</v>
      </c>
      <c r="T1636" s="81" t="str">
        <f>IF(G1636=$J$1,"SI","NO")</f>
        <v>NO</v>
      </c>
      <c r="U1636" s="81"/>
      <c r="V1636" s="7" t="str">
        <f ca="1">IF(color_Celda(E1636)=12106214,"ROSA",IF(color_Celda(E1636)=65535,"AMARILLO",IF(color_Celda(E1636)=5296274,"VERDE",IF(color_Celda(E1636)=16777215,"BLANCO","NO SE"))))</f>
        <v>ROSA</v>
      </c>
      <c r="W1636" s="63" t="s">
        <v>1298</v>
      </c>
      <c r="X1636" s="63" t="s">
        <v>6569</v>
      </c>
      <c r="Y1636" s="336"/>
      <c r="Z1636" s="63" t="s">
        <v>743</v>
      </c>
      <c r="AA1636" s="63" t="s">
        <v>2869</v>
      </c>
      <c r="AB1636" s="63" t="s">
        <v>1169</v>
      </c>
      <c r="AC1636" s="336"/>
    </row>
    <row r="1637" spans="1:29" ht="60" customHeight="1">
      <c r="A1637" s="336">
        <v>1624</v>
      </c>
      <c r="B1637" s="349">
        <v>45344</v>
      </c>
      <c r="C1637" s="568">
        <v>0.47569444444444442</v>
      </c>
      <c r="D1637" s="63" t="s">
        <v>6150</v>
      </c>
      <c r="E1637" s="64" t="s">
        <v>6151</v>
      </c>
      <c r="F1637" s="336">
        <v>4</v>
      </c>
      <c r="G1637" s="63" t="s">
        <v>2815</v>
      </c>
      <c r="H1637" s="383">
        <v>45362</v>
      </c>
      <c r="I1637" s="65" t="s">
        <v>73</v>
      </c>
      <c r="J1637" s="65" t="s">
        <v>31</v>
      </c>
      <c r="K1637" s="336">
        <f>IFERROR(VLOOKUP(J1637,Jueces!$A$1:$B$11,2,FALSE),"")</f>
        <v>2</v>
      </c>
      <c r="L1637" s="63" t="s">
        <v>4779</v>
      </c>
      <c r="M1637" s="63" t="s">
        <v>694</v>
      </c>
      <c r="N1637" s="63" t="s">
        <v>6567</v>
      </c>
      <c r="O1637" s="78" t="str">
        <f ca="1">IF(H1637&lt;&gt;"",IF(H1637&lt;=TODAY(),"SI","NO"),"LIMBO")</f>
        <v>SI</v>
      </c>
      <c r="P1637" s="78" t="str">
        <f>IF($P$1=H1637,"DIASOL", "DIANOSOL")</f>
        <v>DIANOSOL</v>
      </c>
      <c r="Q1637" s="63" t="s">
        <v>903</v>
      </c>
      <c r="R1637" s="63" t="str">
        <f>VLOOKUP($Q1637,Resultados!$A$1:$B$49,2,FALSE)</f>
        <v>Juicio Abreviado</v>
      </c>
      <c r="S1637" s="63" t="s">
        <v>1738</v>
      </c>
      <c r="T1637" s="81" t="str">
        <f>IF(G1637=$J$1,"SI","NO")</f>
        <v>NO</v>
      </c>
      <c r="U1637" s="81"/>
      <c r="V1637" s="7" t="str">
        <f ca="1">IF(color_Celda(E1637)=12106214,"ROSA",IF(color_Celda(E1637)=65535,"AMARILLO",IF(color_Celda(E1637)=5296274,"VERDE",IF(color_Celda(E1637)=16777215,"BLANCO","NO SE"))))</f>
        <v>ROSA</v>
      </c>
      <c r="W1637" s="63" t="s">
        <v>2366</v>
      </c>
      <c r="X1637" s="63" t="s">
        <v>6568</v>
      </c>
      <c r="Y1637" s="336"/>
      <c r="Z1637" s="63" t="s">
        <v>2430</v>
      </c>
      <c r="AA1637" s="63" t="s">
        <v>3378</v>
      </c>
      <c r="AB1637" s="63" t="s">
        <v>3258</v>
      </c>
      <c r="AC1637" s="336"/>
    </row>
    <row r="1638" spans="1:29" ht="60" customHeight="1">
      <c r="A1638" s="336">
        <v>1628</v>
      </c>
      <c r="B1638" s="349">
        <v>45345</v>
      </c>
      <c r="C1638" s="568">
        <v>0.33333333333333331</v>
      </c>
      <c r="D1638" s="336" t="s">
        <v>5722</v>
      </c>
      <c r="E1638" s="355" t="s">
        <v>5723</v>
      </c>
      <c r="F1638" s="336">
        <v>3</v>
      </c>
      <c r="G1638" s="63" t="s">
        <v>3323</v>
      </c>
      <c r="H1638" s="383">
        <v>45362</v>
      </c>
      <c r="I1638" s="65" t="s">
        <v>73</v>
      </c>
      <c r="J1638" s="65" t="s">
        <v>78</v>
      </c>
      <c r="K1638" s="336">
        <f>IFERROR(VLOOKUP(J1638,Jueces!$A$1:$B$11,2,FALSE),"")</f>
        <v>8</v>
      </c>
      <c r="L1638" s="63" t="s">
        <v>4781</v>
      </c>
      <c r="M1638" s="63" t="s">
        <v>2220</v>
      </c>
      <c r="N1638" s="63" t="s">
        <v>6563</v>
      </c>
      <c r="O1638" s="78" t="str">
        <f ca="1">IF(H1638&lt;&gt;"",IF(H1638&lt;=TODAY(),"SI","NO"),"LIMBO")</f>
        <v>SI</v>
      </c>
      <c r="P1638" s="78" t="str">
        <f>IF($P$1=H1638,"DIASOL", "DIANOSOL")</f>
        <v>DIANOSOL</v>
      </c>
      <c r="Q1638" s="63" t="s">
        <v>151</v>
      </c>
      <c r="R1638" s="63" t="str">
        <f>VLOOKUP($Q1638,Resultados!$A$1:$B$49,2,FALSE)</f>
        <v>Prisión Preventiva</v>
      </c>
      <c r="S1638" s="63" t="s">
        <v>1419</v>
      </c>
      <c r="T1638" s="81" t="str">
        <f>IF(G1638=$J$1,"SI","NO")</f>
        <v>NO</v>
      </c>
      <c r="U1638" s="81"/>
      <c r="V1638" s="7" t="str">
        <f ca="1">IF(color_Celda(E1638)=12106214,"ROSA",IF(color_Celda(E1638)=65535,"AMARILLO",IF(color_Celda(E1638)=5296274,"VERDE",IF(color_Celda(E1638)=16777215,"BLANCO","NO SE"))))</f>
        <v>ROSA</v>
      </c>
      <c r="W1638" s="63" t="s">
        <v>2047</v>
      </c>
      <c r="X1638" s="63" t="s">
        <v>6564</v>
      </c>
      <c r="Y1638" s="336"/>
      <c r="Z1638" s="63" t="s">
        <v>3368</v>
      </c>
      <c r="AA1638" s="63" t="s">
        <v>3379</v>
      </c>
      <c r="AB1638" s="63" t="s">
        <v>1171</v>
      </c>
      <c r="AC1638" s="336"/>
    </row>
    <row r="1639" spans="1:29" ht="60" customHeight="1">
      <c r="A1639" s="336">
        <v>1635</v>
      </c>
      <c r="B1639" s="349">
        <v>45345</v>
      </c>
      <c r="C1639" s="568">
        <v>0.39930555555555558</v>
      </c>
      <c r="D1639" s="325" t="s">
        <v>4956</v>
      </c>
      <c r="E1639" s="355" t="s">
        <v>4957</v>
      </c>
      <c r="F1639" s="336">
        <v>7</v>
      </c>
      <c r="G1639" s="63" t="s">
        <v>3324</v>
      </c>
      <c r="H1639" s="383">
        <v>45362</v>
      </c>
      <c r="I1639" s="65" t="s">
        <v>73</v>
      </c>
      <c r="J1639" s="65" t="s">
        <v>35</v>
      </c>
      <c r="K1639" s="336">
        <f>IFERROR(VLOOKUP(J1639,Jueces!$A$1:$B$11,2,FALSE),"")</f>
        <v>3</v>
      </c>
      <c r="L1639" s="63" t="s">
        <v>4780</v>
      </c>
      <c r="M1639" s="335" t="s">
        <v>6169</v>
      </c>
      <c r="N1639" s="63" t="s">
        <v>6565</v>
      </c>
      <c r="O1639" s="78" t="str">
        <f ca="1">IF(H1639&lt;&gt;"",IF(H1639&lt;=TODAY(),"SI","NO"),"LIMBO")</f>
        <v>SI</v>
      </c>
      <c r="P1639" s="78" t="str">
        <f>IF($P$1=H1639,"DIASOL", "DIANOSOL")</f>
        <v>DIANOSOL</v>
      </c>
      <c r="Q1639" s="63" t="s">
        <v>151</v>
      </c>
      <c r="R1639" s="63" t="str">
        <f>VLOOKUP($Q1639,Resultados!$A$1:$B$49,2,FALSE)</f>
        <v>Prisión Preventiva</v>
      </c>
      <c r="S1639" s="63" t="s">
        <v>1130</v>
      </c>
      <c r="T1639" s="81" t="str">
        <f>IF(G1639=$J$1,"SI","NO")</f>
        <v>NO</v>
      </c>
      <c r="U1639" s="81"/>
      <c r="V1639" s="7" t="str">
        <f ca="1">IF(color_Celda(E1639)=12106214,"ROSA",IF(color_Celda(E1639)=65535,"AMARILLO",IF(color_Celda(E1639)=5296274,"VERDE",IF(color_Celda(E1639)=16777215,"BLANCO","NO SE"))))</f>
        <v>ROSA</v>
      </c>
      <c r="W1639" s="63" t="s">
        <v>76</v>
      </c>
      <c r="X1639" s="336"/>
      <c r="Y1639" s="336"/>
      <c r="Z1639" s="63" t="s">
        <v>6422</v>
      </c>
      <c r="AA1639" s="63" t="s">
        <v>3378</v>
      </c>
      <c r="AB1639" s="63" t="s">
        <v>3258</v>
      </c>
      <c r="AC1639" s="336" t="s">
        <v>1792</v>
      </c>
    </row>
    <row r="1640" spans="1:29" ht="60" customHeight="1">
      <c r="A1640" s="336">
        <v>1644</v>
      </c>
      <c r="B1640" s="349">
        <v>45349</v>
      </c>
      <c r="C1640" s="568">
        <v>0.36041666666666666</v>
      </c>
      <c r="D1640" s="336" t="s">
        <v>5054</v>
      </c>
      <c r="E1640" s="355" t="s">
        <v>5055</v>
      </c>
      <c r="F1640" s="336">
        <v>7</v>
      </c>
      <c r="G1640" s="336" t="s">
        <v>1434</v>
      </c>
      <c r="H1640" s="383">
        <v>45362</v>
      </c>
      <c r="I1640" s="65" t="s">
        <v>73</v>
      </c>
      <c r="J1640" s="349" t="s">
        <v>1217</v>
      </c>
      <c r="K1640" s="336">
        <f>IFERROR(VLOOKUP(J1640,Jueces!$A$1:$B$11,2,FALSE),"")</f>
        <v>7</v>
      </c>
      <c r="L1640" s="63" t="s">
        <v>4791</v>
      </c>
      <c r="M1640" s="335" t="s">
        <v>2736</v>
      </c>
      <c r="N1640" s="63" t="s">
        <v>6561</v>
      </c>
      <c r="O1640" s="78" t="str">
        <f ca="1">IF(H1640&lt;&gt;"",IF(H1640&lt;=TODAY(),"SI","NO"),"LIMBO")</f>
        <v>SI</v>
      </c>
      <c r="P1640" s="78" t="str">
        <f>IF($P$1=H1640,"DIASOL", "DIANOSOL")</f>
        <v>DIANOSOL</v>
      </c>
      <c r="Q1640" s="63" t="s">
        <v>911</v>
      </c>
      <c r="R1640" s="63" t="str">
        <f>VLOOKUP($Q1640,Resultados!$A$1:$B$49,2,FALSE)</f>
        <v>Prision domiciliaria</v>
      </c>
      <c r="S1640" s="63" t="s">
        <v>1641</v>
      </c>
      <c r="T1640" s="81" t="str">
        <f>IF(G1640=$J$1,"SI","NO")</f>
        <v>NO</v>
      </c>
      <c r="U1640" s="81"/>
      <c r="V1640" s="7" t="str">
        <f ca="1">IF(color_Celda(E1640)=12106214,"ROSA",IF(color_Celda(E1640)=65535,"AMARILLO",IF(color_Celda(E1640)=5296274,"VERDE",IF(color_Celda(E1640)=16777215,"BLANCO","NO SE"))))</f>
        <v>ROSA</v>
      </c>
      <c r="W1640" s="63" t="s">
        <v>1083</v>
      </c>
      <c r="X1640" s="63" t="s">
        <v>6562</v>
      </c>
      <c r="Y1640" s="336"/>
      <c r="Z1640" s="63" t="s">
        <v>770</v>
      </c>
      <c r="AA1640" s="63" t="s">
        <v>2828</v>
      </c>
      <c r="AB1640" s="63" t="s">
        <v>1169</v>
      </c>
      <c r="AC1640" s="336"/>
    </row>
    <row r="1641" spans="1:29" ht="60" customHeight="1">
      <c r="A1641" s="336">
        <v>1646</v>
      </c>
      <c r="B1641" s="349">
        <v>45349</v>
      </c>
      <c r="C1641" s="568">
        <v>0.33333333333333331</v>
      </c>
      <c r="D1641" s="63" t="s">
        <v>6210</v>
      </c>
      <c r="E1641" s="64" t="s">
        <v>6211</v>
      </c>
      <c r="F1641" s="336">
        <v>4</v>
      </c>
      <c r="G1641" s="63" t="s">
        <v>3791</v>
      </c>
      <c r="H1641" s="383">
        <v>45362</v>
      </c>
      <c r="I1641" s="65" t="s">
        <v>73</v>
      </c>
      <c r="J1641" s="65" t="s">
        <v>33</v>
      </c>
      <c r="K1641" s="336">
        <f>IFERROR(VLOOKUP(J1641,Jueces!$A$1:$B$11,2,FALSE),"")</f>
        <v>4</v>
      </c>
      <c r="L1641" s="63" t="s">
        <v>4790</v>
      </c>
      <c r="M1641" s="63" t="s">
        <v>3755</v>
      </c>
      <c r="N1641" s="63" t="s">
        <v>4964</v>
      </c>
      <c r="O1641" s="63" t="str">
        <f ca="1">IF(H1641&lt;&gt;"",IF(H1641&lt;=TODAY(),"SI","NO"),"LIMBO")</f>
        <v>SI</v>
      </c>
      <c r="P1641" s="63" t="str">
        <f>IF($P$1=H1641,"DIASOL", "DIANOSOL")</f>
        <v>DIANOSOL</v>
      </c>
      <c r="Q1641" s="63" t="s">
        <v>902</v>
      </c>
      <c r="R1641" s="63" t="str">
        <f>VLOOKUP($Q1641,Resultados!$A$1:$B$49,2,FALSE)</f>
        <v>Juicio Abreviado</v>
      </c>
      <c r="S1641" s="63"/>
      <c r="T1641" s="72" t="str">
        <f>IF(G1641=$J$1,"SI","NO")</f>
        <v>NO</v>
      </c>
      <c r="U1641" s="72"/>
      <c r="V1641" s="7" t="str">
        <f ca="1">IF(color_Celda(E1641)=12106214,"ROSA",IF(color_Celda(E1641)=65535,"AMARILLO",IF(color_Celda(E1641)=5296274,"VERDE",IF(color_Celda(E1641)=16777215,"BLANCO","NO SE"))))</f>
        <v>ROSA</v>
      </c>
      <c r="W1641" s="336"/>
      <c r="X1641" s="336"/>
      <c r="Y1641" s="336"/>
      <c r="Z1641" s="63" t="s">
        <v>6423</v>
      </c>
      <c r="AA1641" s="63" t="s">
        <v>2828</v>
      </c>
      <c r="AB1641" s="63" t="s">
        <v>1170</v>
      </c>
      <c r="AC1641" s="336"/>
    </row>
    <row r="1642" spans="1:29" ht="60" customHeight="1">
      <c r="A1642" s="336">
        <v>1595</v>
      </c>
      <c r="B1642" s="65">
        <v>45341</v>
      </c>
      <c r="C1642" s="568">
        <v>0.51458333333333328</v>
      </c>
      <c r="D1642" s="63" t="s">
        <v>6065</v>
      </c>
      <c r="E1642" s="64" t="s">
        <v>6066</v>
      </c>
      <c r="F1642" s="336">
        <v>4</v>
      </c>
      <c r="G1642" s="63" t="s">
        <v>5710</v>
      </c>
      <c r="H1642" s="383">
        <v>45362</v>
      </c>
      <c r="I1642" s="65" t="s">
        <v>1083</v>
      </c>
      <c r="J1642" s="65" t="s">
        <v>1217</v>
      </c>
      <c r="K1642" s="336">
        <v>7</v>
      </c>
      <c r="L1642" s="63" t="s">
        <v>582</v>
      </c>
      <c r="M1642" s="63" t="s">
        <v>694</v>
      </c>
      <c r="N1642" s="205" t="s">
        <v>6566</v>
      </c>
      <c r="O1642" s="78" t="str">
        <f ca="1">IF(H1642&lt;&gt;"",IF(H1642&lt;=TODAY(),"SI","NO"),"LIMBO")</f>
        <v>SI</v>
      </c>
      <c r="P1642" s="78" t="str">
        <f>IF($P$1=H1642,"DIASOL", "DIANOSOL")</f>
        <v>DIANOSOL</v>
      </c>
      <c r="Q1642" s="63" t="s">
        <v>902</v>
      </c>
      <c r="R1642" s="63" t="str">
        <f>VLOOKUP($Q1642,Resultados!$A$1:$B$49,2,FALSE)</f>
        <v>Juicio Abreviado</v>
      </c>
      <c r="S1642" s="63" t="s">
        <v>1121</v>
      </c>
      <c r="T1642" s="81" t="str">
        <f>IF(G1642=$J$1,"SI","NO")</f>
        <v>NO</v>
      </c>
      <c r="U1642" s="81"/>
      <c r="V1642" s="7" t="str">
        <f ca="1">IF(color_Celda(E1642)=12106214,"ROSA",IF(color_Celda(E1642)=65535,"AMARILLO",IF(color_Celda(E1642)=5296274,"VERDE",IF(color_Celda(E1642)=16777215,"BLANCO","NO SE"))))</f>
        <v>ROSA</v>
      </c>
      <c r="W1642" s="63" t="s">
        <v>1442</v>
      </c>
      <c r="X1642" s="63" t="s">
        <v>4163</v>
      </c>
      <c r="Y1642" s="336"/>
      <c r="Z1642" s="63" t="s">
        <v>770</v>
      </c>
      <c r="AA1642" s="336"/>
      <c r="AB1642" s="63" t="s">
        <v>1169</v>
      </c>
      <c r="AC1642" s="336"/>
    </row>
    <row r="1643" spans="1:29" ht="60" customHeight="1">
      <c r="A1643" s="336">
        <v>1654</v>
      </c>
      <c r="B1643" s="349">
        <v>45349</v>
      </c>
      <c r="C1643" s="568">
        <v>0.54166666666666663</v>
      </c>
      <c r="D1643" s="63" t="s">
        <v>6248</v>
      </c>
      <c r="E1643" s="64" t="s">
        <v>6390</v>
      </c>
      <c r="F1643" s="336">
        <v>4</v>
      </c>
      <c r="G1643" s="63" t="s">
        <v>568</v>
      </c>
      <c r="H1643" s="349">
        <v>45362</v>
      </c>
      <c r="I1643" s="65" t="s">
        <v>1083</v>
      </c>
      <c r="J1643" s="65" t="s">
        <v>78</v>
      </c>
      <c r="K1643" s="336">
        <f>IFERROR(VLOOKUP(J1643,Jueces!$A$1:$B$11,2,FALSE),"")</f>
        <v>8</v>
      </c>
      <c r="L1643" s="63" t="s">
        <v>4780</v>
      </c>
      <c r="M1643" s="63" t="s">
        <v>695</v>
      </c>
      <c r="N1643" s="72" t="s">
        <v>6570</v>
      </c>
      <c r="O1643" s="78" t="str">
        <f ca="1">IF(H1643&lt;&gt;"",IF(H1643&lt;=TODAY(),"SI","NO"),"LIMBO")</f>
        <v>SI</v>
      </c>
      <c r="P1643" s="78" t="str">
        <f>IF($P$1=H1643,"DIASOL", "DIANOSOL")</f>
        <v>DIANOSOL</v>
      </c>
      <c r="Q1643" s="63" t="s">
        <v>909</v>
      </c>
      <c r="R1643" s="63" t="str">
        <f>VLOOKUP($Q1643,Resultados!$A$1:$B$49,2,FALSE)</f>
        <v>Suspendida</v>
      </c>
      <c r="S1643" s="70">
        <v>0.38750000000000001</v>
      </c>
      <c r="T1643" s="81" t="str">
        <f>IF(G1643=$J$1,"SI","NO")</f>
        <v>NO</v>
      </c>
      <c r="U1643" s="81"/>
      <c r="V1643" s="7" t="str">
        <f ca="1">IF(color_Celda(E1643)=12106214,"ROSA",IF(color_Celda(E1643)=65535,"AMARILLO",IF(color_Celda(E1643)=5296274,"VERDE",IF(color_Celda(E1643)=16777215,"BLANCO","NO SE"))))</f>
        <v>ROSA</v>
      </c>
      <c r="W1643" s="63" t="s">
        <v>2595</v>
      </c>
      <c r="X1643" s="63" t="s">
        <v>6571</v>
      </c>
      <c r="Y1643" s="63" t="s">
        <v>6443</v>
      </c>
      <c r="Z1643" s="63" t="s">
        <v>3368</v>
      </c>
      <c r="AA1643" s="63" t="s">
        <v>3379</v>
      </c>
      <c r="AB1643" s="63" t="s">
        <v>3258</v>
      </c>
      <c r="AC1643" s="336"/>
    </row>
    <row r="1644" spans="1:29" ht="60" customHeight="1">
      <c r="A1644" s="336">
        <v>1645</v>
      </c>
      <c r="B1644" s="349">
        <v>45349</v>
      </c>
      <c r="C1644" s="63" t="s">
        <v>73</v>
      </c>
      <c r="D1644" s="63" t="s">
        <v>6209</v>
      </c>
      <c r="E1644" s="64" t="s">
        <v>6249</v>
      </c>
      <c r="F1644" s="336">
        <v>4</v>
      </c>
      <c r="G1644" s="336" t="s">
        <v>283</v>
      </c>
      <c r="H1644" s="383">
        <v>45362</v>
      </c>
      <c r="I1644" s="65" t="s">
        <v>77</v>
      </c>
      <c r="J1644" s="349" t="s">
        <v>33</v>
      </c>
      <c r="K1644" s="336">
        <v>4</v>
      </c>
      <c r="L1644" s="63" t="s">
        <v>4789</v>
      </c>
      <c r="M1644" s="7" t="s">
        <v>695</v>
      </c>
      <c r="N1644" s="63" t="s">
        <v>6701</v>
      </c>
      <c r="O1644" s="63" t="str">
        <f ca="1">IF(H1644&lt;&gt;"",IF(H1644&lt;=TODAY(),"SI","NO"),"LIMBO")</f>
        <v>SI</v>
      </c>
      <c r="P1644" s="63" t="str">
        <f>IF($P$1=H1644,"DIASOL", "DIANOSOL")</f>
        <v>DIANOSOL</v>
      </c>
      <c r="Q1644" s="63" t="s">
        <v>903</v>
      </c>
      <c r="R1644" s="63" t="str">
        <f>VLOOKUP($Q1644,Resultados!$A$1:$B$49,2,FALSE)</f>
        <v>Juicio Abreviado</v>
      </c>
      <c r="S1644" s="63" t="s">
        <v>2624</v>
      </c>
      <c r="T1644" s="72" t="str">
        <f>IF(G1644=$J$1,"SI","NO")</f>
        <v>NO</v>
      </c>
      <c r="U1644" s="72"/>
      <c r="V1644" s="7" t="str">
        <f ca="1">IF(color_Celda(E1644)=12106214,"ROSA",IF(color_Celda(E1644)=65535,"AMARILLO",IF(color_Celda(E1644)=5296274,"VERDE",IF(color_Celda(E1644)=16777215,"BLANCO","NO SE"))))</f>
        <v>ROSA</v>
      </c>
      <c r="W1644" s="63" t="s">
        <v>3437</v>
      </c>
      <c r="X1644" s="336"/>
      <c r="Y1644" s="336"/>
      <c r="Z1644" s="63" t="s">
        <v>748</v>
      </c>
      <c r="AA1644" s="63" t="s">
        <v>2869</v>
      </c>
      <c r="AB1644" s="63" t="s">
        <v>1169</v>
      </c>
      <c r="AC1644" s="336"/>
    </row>
    <row r="1645" spans="1:29" ht="60" customHeight="1">
      <c r="A1645" s="336">
        <v>1703</v>
      </c>
      <c r="B1645" s="349">
        <v>45356</v>
      </c>
      <c r="C1645" s="568">
        <v>0.48958333333333331</v>
      </c>
      <c r="D1645" s="63" t="s">
        <v>4587</v>
      </c>
      <c r="E1645" s="64" t="s">
        <v>4588</v>
      </c>
      <c r="F1645" s="336">
        <v>3</v>
      </c>
      <c r="G1645" s="336" t="s">
        <v>1434</v>
      </c>
      <c r="H1645" s="383">
        <v>45362</v>
      </c>
      <c r="I1645" s="65" t="s">
        <v>77</v>
      </c>
      <c r="J1645" s="349" t="s">
        <v>35</v>
      </c>
      <c r="K1645" s="336">
        <f>IFERROR(VLOOKUP(J1645,Jueces!$A$1:$B$11,2,FALSE),"")</f>
        <v>3</v>
      </c>
      <c r="L1645" s="63" t="s">
        <v>192</v>
      </c>
      <c r="M1645" s="63" t="s">
        <v>725</v>
      </c>
      <c r="N1645" s="63" t="s">
        <v>7048</v>
      </c>
      <c r="O1645" s="78" t="str">
        <f ca="1">IF(H1645&lt;&gt;"",IF(H1645&lt;=TODAY(),"SI","NO"),"LIMBO")</f>
        <v>SI</v>
      </c>
      <c r="P1645" s="78" t="str">
        <f>IF($P$1=H1645,"DIASOL", "DIANOSOL")</f>
        <v>DIANOSOL</v>
      </c>
      <c r="Q1645" s="63" t="s">
        <v>151</v>
      </c>
      <c r="R1645" s="63" t="str">
        <f>VLOOKUP($Q1645,Resultados!$A$1:$B$49,2,FALSE)</f>
        <v>Prisión Preventiva</v>
      </c>
      <c r="S1645" s="63"/>
      <c r="T1645" s="81" t="str">
        <f>IF(G1645=$J$1,"SI","NO")</f>
        <v>NO</v>
      </c>
      <c r="U1645" s="81"/>
      <c r="V1645" s="7" t="str">
        <f ca="1">IF(color_Celda(E1645)=12106214,"ROSA",IF(color_Celda(E1645)=65535,"AMARILLO",IF(color_Celda(E1645)=5296274,"VERDE",IF(color_Celda(E1645)=16777215,"BLANCO","NO SE"))))</f>
        <v>ROSA</v>
      </c>
      <c r="W1645" s="336"/>
      <c r="X1645" s="336"/>
      <c r="Y1645" s="336"/>
      <c r="Z1645" s="63" t="s">
        <v>3368</v>
      </c>
      <c r="AA1645" s="63" t="s">
        <v>2828</v>
      </c>
      <c r="AB1645" s="63" t="s">
        <v>1171</v>
      </c>
      <c r="AC1645" s="336"/>
    </row>
    <row r="1646" spans="1:29" ht="60" customHeight="1">
      <c r="A1646" s="336">
        <v>1706</v>
      </c>
      <c r="B1646" s="349">
        <v>45358</v>
      </c>
      <c r="C1646" s="568">
        <v>0.4770833333333333</v>
      </c>
      <c r="D1646" s="336" t="s">
        <v>6181</v>
      </c>
      <c r="E1646" s="355" t="s">
        <v>6182</v>
      </c>
      <c r="F1646" s="336">
        <v>4</v>
      </c>
      <c r="G1646" s="336" t="s">
        <v>568</v>
      </c>
      <c r="H1646" s="383">
        <v>45362</v>
      </c>
      <c r="I1646" s="65" t="s">
        <v>2011</v>
      </c>
      <c r="J1646" s="349" t="s">
        <v>31</v>
      </c>
      <c r="K1646" s="336">
        <v>2</v>
      </c>
      <c r="L1646" s="63" t="s">
        <v>4789</v>
      </c>
      <c r="M1646" s="63" t="s">
        <v>695</v>
      </c>
      <c r="N1646" s="63" t="s">
        <v>1744</v>
      </c>
      <c r="O1646" s="63" t="str">
        <f ca="1">IF(H1646&lt;&gt;"",IF(H1646&lt;=TODAY(),"SI","NO"),"LIMBO")</f>
        <v>SI</v>
      </c>
      <c r="P1646" s="63" t="str">
        <f>IF($P$1=H1646,"DIASOL", "DIANOSOL")</f>
        <v>DIANOSOL</v>
      </c>
      <c r="Q1646" s="63" t="s">
        <v>151</v>
      </c>
      <c r="R1646" s="63" t="str">
        <f>VLOOKUP($Q1646,Resultados!$A$1:$B$49,2,FALSE)</f>
        <v>Prisión Preventiva</v>
      </c>
      <c r="S1646" s="63"/>
      <c r="T1646" s="72" t="str">
        <f>IF(G1646=$J$1,"SI","NO")</f>
        <v>NO</v>
      </c>
      <c r="U1646" s="72"/>
      <c r="V1646" s="7" t="str">
        <f ca="1">IF(color_Celda(E1646)=12106214,"ROSA",IF(color_Celda(E1646)=65535,"AMARILLO",IF(color_Celda(E1646)=5296274,"VERDE",IF(color_Celda(E1646)=16777215,"BLANCO","NO SE"))))</f>
        <v>ROSA</v>
      </c>
      <c r="W1646" s="336"/>
      <c r="X1646" s="336"/>
      <c r="Y1646" s="336"/>
      <c r="Z1646" s="63" t="s">
        <v>770</v>
      </c>
      <c r="AA1646" s="63" t="s">
        <v>1165</v>
      </c>
      <c r="AB1646" s="63" t="s">
        <v>1170</v>
      </c>
      <c r="AC1646" s="336"/>
    </row>
    <row r="1647" spans="1:29" ht="60" customHeight="1">
      <c r="A1647" s="63">
        <v>1588</v>
      </c>
      <c r="B1647" s="349">
        <v>45337</v>
      </c>
      <c r="C1647" s="63" t="s">
        <v>228</v>
      </c>
      <c r="D1647" s="63" t="s">
        <v>6048</v>
      </c>
      <c r="E1647" s="64" t="s">
        <v>6214</v>
      </c>
      <c r="F1647" s="336">
        <v>4</v>
      </c>
      <c r="G1647" s="63" t="s">
        <v>3323</v>
      </c>
      <c r="H1647" s="383">
        <v>45363</v>
      </c>
      <c r="I1647" s="349" t="s">
        <v>73</v>
      </c>
      <c r="J1647" s="65" t="s">
        <v>1217</v>
      </c>
      <c r="K1647" s="336">
        <v>7</v>
      </c>
      <c r="L1647" s="63" t="s">
        <v>2077</v>
      </c>
      <c r="M1647" s="63" t="s">
        <v>694</v>
      </c>
      <c r="N1647" s="63" t="s">
        <v>4990</v>
      </c>
      <c r="O1647" s="63" t="str">
        <f ca="1">IF(H1647&lt;&gt;"",IF(H1647&lt;=TODAY(),"SI","NO"),"LIMBO")</f>
        <v>SI</v>
      </c>
      <c r="P1647" s="63" t="str">
        <f>IF($P$1=H1647,"DIASOL", "DIANOSOL")</f>
        <v>DIANOSOL</v>
      </c>
      <c r="Q1647" s="63" t="s">
        <v>911</v>
      </c>
      <c r="R1647" s="63" t="str">
        <f>VLOOKUP($Q1647,Resultados!$A$1:$B$49,2,FALSE)</f>
        <v>Prision domiciliaria</v>
      </c>
      <c r="S1647" s="63" t="s">
        <v>1234</v>
      </c>
      <c r="T1647" s="72" t="str">
        <f>IF(G1647=$J$1,"SI","NO")</f>
        <v>NO</v>
      </c>
      <c r="U1647" s="72"/>
      <c r="V1647" s="7" t="str">
        <f ca="1">IF(color_Celda(E1647)=12106214,"ROSA",IF(color_Celda(E1647)=65535,"AMARILLO",IF(color_Celda(E1647)=5296274,"VERDE",IF(color_Celda(E1647)=16777215,"BLANCO","NO SE"))))</f>
        <v>ROSA</v>
      </c>
      <c r="W1647" s="63" t="s">
        <v>1298</v>
      </c>
      <c r="X1647" s="336"/>
      <c r="Y1647" s="336"/>
      <c r="Z1647" s="63" t="s">
        <v>1039</v>
      </c>
      <c r="AA1647" s="63" t="s">
        <v>3378</v>
      </c>
      <c r="AB1647" s="63" t="s">
        <v>1169</v>
      </c>
      <c r="AC1647" s="336"/>
    </row>
    <row r="1648" spans="1:29" ht="60" customHeight="1">
      <c r="A1648" s="336">
        <v>1636</v>
      </c>
      <c r="B1648" s="349">
        <v>45344</v>
      </c>
      <c r="C1648" s="568">
        <v>0.52777777777777779</v>
      </c>
      <c r="D1648" s="336" t="s">
        <v>5402</v>
      </c>
      <c r="E1648" s="64" t="s">
        <v>6166</v>
      </c>
      <c r="F1648" s="336">
        <v>2</v>
      </c>
      <c r="G1648" s="63" t="s">
        <v>1434</v>
      </c>
      <c r="H1648" s="383">
        <v>45363</v>
      </c>
      <c r="I1648" s="65" t="s">
        <v>73</v>
      </c>
      <c r="J1648" s="65" t="s">
        <v>31</v>
      </c>
      <c r="K1648" s="336">
        <f>IFERROR(VLOOKUP(J1648,Jueces!$A$1:$B$11,2,FALSE),"")</f>
        <v>2</v>
      </c>
      <c r="L1648" s="63" t="s">
        <v>4790</v>
      </c>
      <c r="M1648" s="335" t="s">
        <v>783</v>
      </c>
      <c r="N1648" s="63" t="s">
        <v>6444</v>
      </c>
      <c r="O1648" s="63" t="str">
        <f ca="1">IF(H1648&lt;&gt;"",IF(H1648&lt;=TODAY(),"SI","NO"),"LIMBO")</f>
        <v>SI</v>
      </c>
      <c r="P1648" s="63" t="str">
        <f>IF($P$1=H1648,"DIASOL", "DIANOSOL")</f>
        <v>DIANOSOL</v>
      </c>
      <c r="Q1648" s="63" t="s">
        <v>910</v>
      </c>
      <c r="R1648" s="63" t="s">
        <v>947</v>
      </c>
      <c r="S1648" s="63"/>
      <c r="T1648" s="72" t="str">
        <f>IF(G1648=$J$1,"SI","NO")</f>
        <v>NO</v>
      </c>
      <c r="U1648" s="72"/>
      <c r="V1648" s="7" t="str">
        <f ca="1">IF(color_Celda(E1648)=12106214,"ROSA",IF(color_Celda(E1648)=65535,"AMARILLO",IF(color_Celda(E1648)=5296274,"VERDE",IF(color_Celda(E1648)=16777215,"BLANCO","NO SE"))))</f>
        <v>ROSA</v>
      </c>
      <c r="W1648" s="336"/>
      <c r="X1648" s="336"/>
      <c r="Y1648" s="336"/>
      <c r="Z1648" s="63" t="s">
        <v>3368</v>
      </c>
      <c r="AA1648" s="63" t="s">
        <v>2869</v>
      </c>
      <c r="AB1648" s="63" t="s">
        <v>3258</v>
      </c>
      <c r="AC1648" s="336"/>
    </row>
    <row r="1649" spans="1:29" ht="60" customHeight="1">
      <c r="A1649" s="336">
        <v>1640</v>
      </c>
      <c r="B1649" s="349">
        <v>45348</v>
      </c>
      <c r="C1649" s="568">
        <v>0.51041666666666663</v>
      </c>
      <c r="D1649" s="63" t="s">
        <v>6204</v>
      </c>
      <c r="E1649" s="64" t="s">
        <v>6205</v>
      </c>
      <c r="F1649" s="336">
        <v>4</v>
      </c>
      <c r="G1649" s="63" t="s">
        <v>5710</v>
      </c>
      <c r="H1649" s="383">
        <v>45363</v>
      </c>
      <c r="I1649" s="65" t="s">
        <v>73</v>
      </c>
      <c r="J1649" s="65" t="s">
        <v>4746</v>
      </c>
      <c r="K1649" s="63" t="s">
        <v>1982</v>
      </c>
      <c r="L1649" s="63" t="s">
        <v>4779</v>
      </c>
      <c r="M1649" s="63" t="s">
        <v>695</v>
      </c>
      <c r="N1649" s="63" t="s">
        <v>6700</v>
      </c>
      <c r="O1649" s="63" t="str">
        <f ca="1">IF(H1649&lt;&gt;"",IF(H1649&lt;=TODAY(),"SI","NO"),"LIMBO")</f>
        <v>SI</v>
      </c>
      <c r="P1649" s="63" t="str">
        <f>IF($P$1=H1649,"DIASOL", "DIANOSOL")</f>
        <v>DIANOSOL</v>
      </c>
      <c r="Q1649" s="63" t="s">
        <v>902</v>
      </c>
      <c r="R1649" s="63" t="str">
        <f>VLOOKUP($Q1649,Resultados!$A$1:$B$49,2,FALSE)</f>
        <v>Juicio Abreviado</v>
      </c>
      <c r="S1649" s="63" t="s">
        <v>1291</v>
      </c>
      <c r="T1649" s="72" t="str">
        <f>IF(G1649=$J$1,"SI","NO")</f>
        <v>NO</v>
      </c>
      <c r="U1649" s="72"/>
      <c r="V1649" s="7" t="str">
        <f ca="1">IF(color_Celda(E1649)=12106214,"ROSA",IF(color_Celda(E1649)=65535,"AMARILLO",IF(color_Celda(E1649)=5296274,"VERDE",IF(color_Celda(E1649)=16777215,"BLANCO","NO SE"))))</f>
        <v>ROSA</v>
      </c>
      <c r="W1649" s="63" t="s">
        <v>1119</v>
      </c>
      <c r="X1649" s="336"/>
      <c r="Y1649" s="336"/>
      <c r="Z1649" s="63" t="s">
        <v>1038</v>
      </c>
      <c r="AA1649" s="63" t="s">
        <v>3378</v>
      </c>
      <c r="AB1649" s="63" t="s">
        <v>1171</v>
      </c>
      <c r="AC1649" s="336"/>
    </row>
    <row r="1650" spans="1:29" ht="60" customHeight="1">
      <c r="A1650" s="336">
        <v>1742</v>
      </c>
      <c r="B1650" s="349">
        <v>45351</v>
      </c>
      <c r="C1650" s="568">
        <v>0.52222222222222225</v>
      </c>
      <c r="D1650" s="63" t="s">
        <v>6260</v>
      </c>
      <c r="E1650" s="355" t="s">
        <v>6259</v>
      </c>
      <c r="F1650" s="336">
        <v>5</v>
      </c>
      <c r="G1650" s="63" t="s">
        <v>2752</v>
      </c>
      <c r="H1650" s="349">
        <v>45363</v>
      </c>
      <c r="I1650" s="65" t="s">
        <v>73</v>
      </c>
      <c r="J1650" s="65" t="s">
        <v>33</v>
      </c>
      <c r="K1650" s="336">
        <f>IFERROR(VLOOKUP(J1650,Jueces!$A$1:$B$11,2,FALSE),"")</f>
        <v>4</v>
      </c>
      <c r="L1650" s="63" t="s">
        <v>4789</v>
      </c>
      <c r="M1650" s="63" t="s">
        <v>3755</v>
      </c>
      <c r="N1650" s="63" t="s">
        <v>1744</v>
      </c>
      <c r="O1650" s="63" t="str">
        <f ca="1">IF(H1650&lt;&gt;"",IF(H1650&lt;=TODAY(),"SI","NO"),"LIMBO")</f>
        <v>SI</v>
      </c>
      <c r="P1650" s="63" t="str">
        <f>IF($P$1=H1650,"DIASOL", "DIANOSOL")</f>
        <v>DIANOSOL</v>
      </c>
      <c r="Q1650" s="63" t="s">
        <v>151</v>
      </c>
      <c r="R1650" s="63" t="str">
        <f>VLOOKUP($Q1650,Resultados!$A$1:$B$49,2,FALSE)</f>
        <v>Prisión Preventiva</v>
      </c>
      <c r="S1650" s="63" t="s">
        <v>1061</v>
      </c>
      <c r="T1650" s="72" t="str">
        <f>IF(G1650=$J$1,"SI","NO")</f>
        <v>NO</v>
      </c>
      <c r="U1650" s="72"/>
      <c r="V1650" s="7" t="str">
        <f ca="1">IF(color_Celda(E1650)=12106214,"ROSA",IF(color_Celda(E1650)=65535,"AMARILLO",IF(color_Celda(E1650)=5296274,"VERDE",IF(color_Celda(E1650)=16777215,"BLANCO","NO SE"))))</f>
        <v>ROSA</v>
      </c>
      <c r="W1650" s="63" t="s">
        <v>1421</v>
      </c>
      <c r="X1650" s="336"/>
      <c r="Y1650" s="336"/>
      <c r="Z1650" s="63" t="s">
        <v>743</v>
      </c>
      <c r="AA1650" s="63" t="s">
        <v>2828</v>
      </c>
      <c r="AB1650" s="63" t="s">
        <v>1173</v>
      </c>
      <c r="AC1650" s="336"/>
    </row>
    <row r="1651" spans="1:29" ht="60" customHeight="1">
      <c r="A1651" s="336">
        <v>1660</v>
      </c>
      <c r="B1651" s="349">
        <v>45352</v>
      </c>
      <c r="C1651" s="568">
        <v>0.48541666666666666</v>
      </c>
      <c r="D1651" s="336" t="s">
        <v>5940</v>
      </c>
      <c r="E1651" s="355" t="s">
        <v>5941</v>
      </c>
      <c r="F1651" s="336">
        <v>3</v>
      </c>
      <c r="G1651" s="336" t="s">
        <v>1435</v>
      </c>
      <c r="H1651" s="383">
        <v>45363</v>
      </c>
      <c r="I1651" s="65" t="s">
        <v>73</v>
      </c>
      <c r="J1651" s="349" t="s">
        <v>35</v>
      </c>
      <c r="K1651" s="336">
        <v>3</v>
      </c>
      <c r="L1651" s="63" t="s">
        <v>569</v>
      </c>
      <c r="M1651" s="7" t="s">
        <v>693</v>
      </c>
      <c r="N1651" s="63" t="s">
        <v>1744</v>
      </c>
      <c r="O1651" s="63" t="str">
        <f ca="1">IF(H1651&lt;&gt;"",IF(H1651&lt;=TODAY(),"SI","NO"),"LIMBO")</f>
        <v>SI</v>
      </c>
      <c r="P1651" s="63" t="str">
        <f>IF($P$1=H1651,"DIASOL", "DIANOSOL")</f>
        <v>DIANOSOL</v>
      </c>
      <c r="Q1651" s="63" t="s">
        <v>151</v>
      </c>
      <c r="R1651" s="63" t="str">
        <f>VLOOKUP($Q1651,Resultados!$A$1:$B$49,2,FALSE)</f>
        <v>Prisión Preventiva</v>
      </c>
      <c r="S1651" s="63" t="s">
        <v>749</v>
      </c>
      <c r="T1651" s="72" t="str">
        <f>IF(G1651=$J$1,"SI","NO")</f>
        <v>SI</v>
      </c>
      <c r="U1651" s="72"/>
      <c r="V1651" s="7" t="str">
        <f ca="1">IF(color_Celda(E1651)=12106214,"ROSA",IF(color_Celda(E1651)=65535,"AMARILLO",IF(color_Celda(E1651)=5296274,"VERDE",IF(color_Celda(E1651)=16777215,"BLANCO","NO SE"))))</f>
        <v>ROSA</v>
      </c>
      <c r="W1651" s="63" t="s">
        <v>2047</v>
      </c>
      <c r="X1651" s="336"/>
      <c r="Y1651" s="336"/>
      <c r="Z1651" s="63" t="s">
        <v>770</v>
      </c>
      <c r="AA1651" s="63"/>
      <c r="AB1651" s="63" t="s">
        <v>1170</v>
      </c>
      <c r="AC1651" s="336"/>
    </row>
    <row r="1652" spans="1:29" ht="60" customHeight="1">
      <c r="A1652" s="336">
        <v>1638</v>
      </c>
      <c r="B1652" s="349">
        <v>45348</v>
      </c>
      <c r="C1652" s="568">
        <v>0.50694444444444442</v>
      </c>
      <c r="D1652" s="63" t="s">
        <v>6200</v>
      </c>
      <c r="E1652" s="64" t="s">
        <v>6201</v>
      </c>
      <c r="F1652" s="336">
        <v>4</v>
      </c>
      <c r="G1652" s="63" t="s">
        <v>283</v>
      </c>
      <c r="H1652" s="383">
        <v>45363</v>
      </c>
      <c r="I1652" s="65" t="s">
        <v>1083</v>
      </c>
      <c r="J1652" s="65" t="s">
        <v>4931</v>
      </c>
      <c r="K1652" s="63" t="s">
        <v>3890</v>
      </c>
      <c r="L1652" s="63" t="s">
        <v>4779</v>
      </c>
      <c r="M1652" s="389" t="s">
        <v>1754</v>
      </c>
      <c r="N1652" s="63" t="s">
        <v>1744</v>
      </c>
      <c r="O1652" s="63" t="str">
        <f ca="1">IF(H1652&lt;&gt;"",IF(H1652&lt;=TODAY(),"SI","NO"),"LIMBO")</f>
        <v>SI</v>
      </c>
      <c r="P1652" s="63" t="str">
        <f>IF($P$1=H1652,"DIASOL", "DIANOSOL")</f>
        <v>DIANOSOL</v>
      </c>
      <c r="Q1652" s="63" t="s">
        <v>151</v>
      </c>
      <c r="R1652" s="63" t="str">
        <f>VLOOKUP($Q1652,Resultados!$A$1:$B$49,2,FALSE)</f>
        <v>Prisión Preventiva</v>
      </c>
      <c r="S1652" s="63" t="s">
        <v>1189</v>
      </c>
      <c r="T1652" s="72" t="str">
        <f>IF(G1652=$J$1,"SI","NO")</f>
        <v>NO</v>
      </c>
      <c r="U1652" s="72"/>
      <c r="V1652" s="7" t="str">
        <f ca="1">IF(color_Celda(E1652)=12106214,"ROSA",IF(color_Celda(E1652)=65535,"AMARILLO",IF(color_Celda(E1652)=5296274,"VERDE",IF(color_Celda(E1652)=16777215,"BLANCO","NO SE"))))</f>
        <v>ROSA</v>
      </c>
      <c r="W1652" s="63" t="s">
        <v>77</v>
      </c>
      <c r="X1652" s="336"/>
      <c r="Y1652" s="336"/>
      <c r="Z1652" s="63" t="s">
        <v>770</v>
      </c>
      <c r="AA1652" s="63" t="s">
        <v>2828</v>
      </c>
      <c r="AB1652" s="63" t="s">
        <v>1169</v>
      </c>
      <c r="AC1652" s="336"/>
    </row>
    <row r="1653" spans="1:29" ht="60" customHeight="1">
      <c r="A1653" s="336">
        <v>1647</v>
      </c>
      <c r="B1653" s="349">
        <v>45349</v>
      </c>
      <c r="C1653" s="568">
        <v>0.4145833333333333</v>
      </c>
      <c r="D1653" s="63" t="s">
        <v>6230</v>
      </c>
      <c r="E1653" s="355" t="s">
        <v>6231</v>
      </c>
      <c r="F1653" s="336">
        <v>5</v>
      </c>
      <c r="G1653" s="63" t="s">
        <v>29</v>
      </c>
      <c r="H1653" s="349">
        <v>45363</v>
      </c>
      <c r="I1653" s="65" t="s">
        <v>1083</v>
      </c>
      <c r="J1653" s="65" t="s">
        <v>1216</v>
      </c>
      <c r="K1653" s="336">
        <f>IFERROR(VLOOKUP(J1653,Jueces!$A$1:$B$11,2,FALSE),"")</f>
        <v>1</v>
      </c>
      <c r="L1653" s="63" t="s">
        <v>789</v>
      </c>
      <c r="M1653" s="63" t="s">
        <v>695</v>
      </c>
      <c r="N1653" s="63" t="s">
        <v>6699</v>
      </c>
      <c r="O1653" s="63" t="str">
        <f ca="1">IF(H1653&lt;&gt;"",IF(H1653&lt;=TODAY(),"SI","NO"),"LIMBO")</f>
        <v>SI</v>
      </c>
      <c r="P1653" s="63" t="str">
        <f>IF($P$1=H1653,"DIASOL", "DIANOSOL")</f>
        <v>DIANOSOL</v>
      </c>
      <c r="Q1653" s="63" t="s">
        <v>902</v>
      </c>
      <c r="R1653" s="63" t="str">
        <f>VLOOKUP($Q1653,Resultados!$A$1:$B$49,2,FALSE)</f>
        <v>Juicio Abreviado</v>
      </c>
      <c r="S1653" s="63" t="s">
        <v>1033</v>
      </c>
      <c r="T1653" s="72" t="str">
        <f>IF(G1653=$J$1,"SI","NO")</f>
        <v>NO</v>
      </c>
      <c r="U1653" s="72"/>
      <c r="V1653" s="7" t="str">
        <f ca="1">IF(color_Celda(E1653)=12106214,"ROSA",IF(color_Celda(E1653)=65535,"AMARILLO",IF(color_Celda(E1653)=5296274,"VERDE",IF(color_Celda(E1653)=16777215,"BLANCO","NO SE"))))</f>
        <v>ROSA</v>
      </c>
      <c r="W1653" s="63" t="s">
        <v>1332</v>
      </c>
      <c r="X1653" s="336"/>
      <c r="Y1653" s="336"/>
      <c r="Z1653" s="63" t="s">
        <v>748</v>
      </c>
      <c r="AA1653" s="63" t="s">
        <v>1167</v>
      </c>
      <c r="AB1653" s="63" t="s">
        <v>3258</v>
      </c>
      <c r="AC1653" s="336"/>
    </row>
    <row r="1654" spans="1:29" ht="60" customHeight="1">
      <c r="A1654" s="336">
        <v>1652</v>
      </c>
      <c r="B1654" s="349">
        <v>45350</v>
      </c>
      <c r="C1654" s="568">
        <v>0.48402777777777778</v>
      </c>
      <c r="D1654" s="63" t="s">
        <v>6246</v>
      </c>
      <c r="E1654" s="64" t="s">
        <v>6391</v>
      </c>
      <c r="F1654" s="336">
        <v>5</v>
      </c>
      <c r="G1654" s="63" t="s">
        <v>1433</v>
      </c>
      <c r="H1654" s="349">
        <v>45363</v>
      </c>
      <c r="I1654" s="65" t="s">
        <v>76</v>
      </c>
      <c r="J1654" s="65" t="s">
        <v>1216</v>
      </c>
      <c r="K1654" s="336">
        <v>1</v>
      </c>
      <c r="L1654" s="63" t="s">
        <v>4781</v>
      </c>
      <c r="M1654" s="63" t="s">
        <v>3755</v>
      </c>
      <c r="N1654" s="63" t="s">
        <v>6697</v>
      </c>
      <c r="O1654" s="63" t="str">
        <f ca="1">IF(H1654&lt;&gt;"",IF(H1654&lt;=TODAY(),"SI","NO"),"LIMBO")</f>
        <v>SI</v>
      </c>
      <c r="P1654" s="63" t="str">
        <f>IF($P$1=H1654,"DIASOL", "DIANOSOL")</f>
        <v>DIANOSOL</v>
      </c>
      <c r="Q1654" s="63" t="s">
        <v>907</v>
      </c>
      <c r="R1654" s="63" t="str">
        <f>VLOOKUP($Q1654,Resultados!$A$1:$B$49,2,FALSE)</f>
        <v>Suspensión de juicio a prueba</v>
      </c>
      <c r="S1654" s="63" t="s">
        <v>5329</v>
      </c>
      <c r="T1654" s="72" t="str">
        <f>IF(G1654=$J$1,"SI","NO")</f>
        <v>NO</v>
      </c>
      <c r="U1654" s="72"/>
      <c r="V1654" s="7" t="str">
        <f ca="1">IF(color_Celda(E1654)=12106214,"ROSA",IF(color_Celda(E1654)=65535,"AMARILLO",IF(color_Celda(E1654)=5296274,"VERDE",IF(color_Celda(E1654)=16777215,"BLANCO","NO SE"))))</f>
        <v>ROSA</v>
      </c>
      <c r="W1654" s="63" t="s">
        <v>1633</v>
      </c>
      <c r="X1654" s="336"/>
      <c r="Y1654" s="336"/>
      <c r="Z1654" s="63" t="s">
        <v>748</v>
      </c>
      <c r="AA1654" s="63" t="s">
        <v>3378</v>
      </c>
      <c r="AB1654" s="63" t="s">
        <v>1171</v>
      </c>
      <c r="AC1654" s="336"/>
    </row>
    <row r="1655" spans="1:29" ht="60" customHeight="1">
      <c r="A1655" s="336">
        <v>1667</v>
      </c>
      <c r="B1655" s="349">
        <v>45352</v>
      </c>
      <c r="C1655" s="568">
        <v>0.43402777777777773</v>
      </c>
      <c r="D1655" s="336" t="s">
        <v>5966</v>
      </c>
      <c r="E1655" s="355" t="s">
        <v>5967</v>
      </c>
      <c r="F1655" s="336">
        <v>8</v>
      </c>
      <c r="G1655" s="63" t="s">
        <v>3791</v>
      </c>
      <c r="H1655" s="383">
        <v>45363</v>
      </c>
      <c r="I1655" s="65" t="s">
        <v>1206</v>
      </c>
      <c r="J1655" s="65" t="s">
        <v>1216</v>
      </c>
      <c r="K1655" s="63" t="s">
        <v>5762</v>
      </c>
      <c r="L1655" s="63" t="s">
        <v>802</v>
      </c>
      <c r="M1655" s="63" t="s">
        <v>1426</v>
      </c>
      <c r="N1655" s="63" t="s">
        <v>6698</v>
      </c>
      <c r="O1655" s="63" t="str">
        <f ca="1">IF(H1655&lt;&gt;"",IF(H1655&lt;=TODAY(),"SI","NO"),"LIMBO")</f>
        <v>SI</v>
      </c>
      <c r="P1655" s="63" t="str">
        <f>IF($P$1=H1655,"DIASOL", "DIANOSOL")</f>
        <v>DIANOSOL</v>
      </c>
      <c r="Q1655" s="63" t="s">
        <v>897</v>
      </c>
      <c r="R1655" s="63" t="str">
        <f>VLOOKUP($Q1655,Resultados!$A$1:$B$49,2,FALSE)</f>
        <v>Libertad</v>
      </c>
      <c r="S1655" s="63" t="s">
        <v>1774</v>
      </c>
      <c r="T1655" s="72" t="str">
        <f>IF(G1655=$J$1,"SI","NO")</f>
        <v>NO</v>
      </c>
      <c r="U1655" s="72"/>
      <c r="V1655" s="7" t="str">
        <f ca="1">IF(color_Celda(E1655)=12106214,"ROSA",IF(color_Celda(E1655)=65535,"AMARILLO",IF(color_Celda(E1655)=5296274,"VERDE",IF(color_Celda(E1655)=16777215,"BLANCO","NO SE"))))</f>
        <v>ROSA</v>
      </c>
      <c r="W1655" s="63" t="s">
        <v>1755</v>
      </c>
      <c r="X1655" s="336"/>
      <c r="Y1655" s="336"/>
      <c r="Z1655" s="63" t="s">
        <v>748</v>
      </c>
      <c r="AA1655" s="63" t="s">
        <v>3379</v>
      </c>
      <c r="AB1655" s="63" t="s">
        <v>1171</v>
      </c>
      <c r="AC1655" s="336"/>
    </row>
    <row r="1656" spans="1:29" ht="60" customHeight="1">
      <c r="A1656" s="336">
        <v>1656</v>
      </c>
      <c r="B1656" s="349">
        <v>45327</v>
      </c>
      <c r="C1656" s="568">
        <v>0.40625</v>
      </c>
      <c r="D1656" s="63" t="s">
        <v>5753</v>
      </c>
      <c r="E1656" s="355" t="s">
        <v>5752</v>
      </c>
      <c r="F1656" s="336">
        <v>3</v>
      </c>
      <c r="G1656" s="336" t="s">
        <v>3324</v>
      </c>
      <c r="H1656" s="383">
        <v>45363</v>
      </c>
      <c r="I1656" s="65" t="s">
        <v>547</v>
      </c>
      <c r="J1656" s="349" t="s">
        <v>1217</v>
      </c>
      <c r="K1656" s="63" t="s">
        <v>4733</v>
      </c>
      <c r="L1656" s="63" t="s">
        <v>4790</v>
      </c>
      <c r="M1656" s="63" t="s">
        <v>4512</v>
      </c>
      <c r="N1656" s="63" t="s">
        <v>7339</v>
      </c>
      <c r="O1656" s="78" t="str">
        <f ca="1">IF(H1656&lt;&gt;"",IF(H1656&lt;=TODAY(),"SI","NO"),"LIMBO")</f>
        <v>SI</v>
      </c>
      <c r="P1656" s="78" t="str">
        <f>IF($P$1=H1656,"DIASOL", "DIANOSOL")</f>
        <v>DIANOSOL</v>
      </c>
      <c r="Q1656" s="63" t="s">
        <v>910</v>
      </c>
      <c r="R1656" s="63" t="s">
        <v>947</v>
      </c>
      <c r="S1656" s="63"/>
      <c r="T1656" s="81" t="str">
        <f>IF(G1656=$J$1,"SI","NO")</f>
        <v>NO</v>
      </c>
      <c r="U1656" s="81"/>
      <c r="V1656" s="7" t="str">
        <f ca="1">IF(color_Celda(E1656)=12106214,"ROSA",IF(color_Celda(E1656)=65535,"AMARILLO",IF(color_Celda(E1656)=5296274,"VERDE",IF(color_Celda(E1656)=16777215,"BLANCO","NO SE"))))</f>
        <v>ROSA</v>
      </c>
      <c r="W1656" s="336"/>
      <c r="X1656" s="336"/>
      <c r="Y1656" s="336"/>
      <c r="Z1656" s="63" t="s">
        <v>743</v>
      </c>
      <c r="AA1656" s="63" t="s">
        <v>1167</v>
      </c>
      <c r="AB1656" s="63" t="s">
        <v>1170</v>
      </c>
      <c r="AC1656" s="336"/>
    </row>
    <row r="1657" spans="1:29" s="509" customFormat="1" ht="60" customHeight="1">
      <c r="A1657" s="336">
        <v>1676</v>
      </c>
      <c r="B1657" s="349">
        <v>45355</v>
      </c>
      <c r="C1657" s="568">
        <v>0.51736111111111105</v>
      </c>
      <c r="D1657" s="63" t="s">
        <v>4516</v>
      </c>
      <c r="E1657" s="355" t="s">
        <v>4517</v>
      </c>
      <c r="F1657" s="336">
        <v>6</v>
      </c>
      <c r="G1657" s="336" t="s">
        <v>1433</v>
      </c>
      <c r="H1657" s="383">
        <v>45363</v>
      </c>
      <c r="I1657" s="65" t="s">
        <v>547</v>
      </c>
      <c r="J1657" s="349" t="s">
        <v>31</v>
      </c>
      <c r="K1657" s="63" t="s">
        <v>1483</v>
      </c>
      <c r="L1657" s="63" t="s">
        <v>4778</v>
      </c>
      <c r="M1657" s="63" t="s">
        <v>2124</v>
      </c>
      <c r="N1657" s="63" t="s">
        <v>6442</v>
      </c>
      <c r="O1657" s="63" t="str">
        <f ca="1">IF(H1657&lt;&gt;"",IF(H1657&lt;=TODAY(),"SI","NO"),"LIMBO")</f>
        <v>SI</v>
      </c>
      <c r="P1657" s="63" t="str">
        <f>IF($P$1=H1657,"DIASOL", "DIANOSOL")</f>
        <v>DIANOSOL</v>
      </c>
      <c r="Q1657" s="63" t="s">
        <v>909</v>
      </c>
      <c r="R1657" s="63" t="str">
        <f>VLOOKUP($Q1657,Resultados!$A$1:$B$49,2,FALSE)</f>
        <v>Suspendida</v>
      </c>
      <c r="S1657" s="63"/>
      <c r="T1657" s="72" t="str">
        <f>IF(G1657=$J$1,"SI","NO")</f>
        <v>NO</v>
      </c>
      <c r="U1657" s="72"/>
      <c r="V1657" s="7" t="str">
        <f ca="1">IF(color_Celda(E1657)=12106214,"ROSA",IF(color_Celda(E1657)=65535,"AMARILLO",IF(color_Celda(E1657)=5296274,"VERDE",IF(color_Celda(E1657)=16777215,"BLANCO","NO SE"))))</f>
        <v>ROSA</v>
      </c>
      <c r="W1657" s="336"/>
      <c r="X1657" s="336"/>
      <c r="Y1657" s="336"/>
      <c r="Z1657" s="63" t="s">
        <v>3368</v>
      </c>
      <c r="AA1657" s="63" t="s">
        <v>3378</v>
      </c>
      <c r="AB1657" s="63" t="s">
        <v>1169</v>
      </c>
      <c r="AC1657" s="336"/>
    </row>
    <row r="1658" spans="1:29" ht="60" customHeight="1">
      <c r="A1658" s="336">
        <v>1621</v>
      </c>
      <c r="B1658" s="349">
        <v>45344</v>
      </c>
      <c r="C1658" s="568">
        <v>0.38750000000000001</v>
      </c>
      <c r="D1658" s="63" t="s">
        <v>6143</v>
      </c>
      <c r="E1658" s="64" t="s">
        <v>6208</v>
      </c>
      <c r="F1658" s="336">
        <v>5</v>
      </c>
      <c r="G1658" s="63" t="s">
        <v>568</v>
      </c>
      <c r="H1658" s="383">
        <v>45363</v>
      </c>
      <c r="I1658" s="65" t="s">
        <v>987</v>
      </c>
      <c r="J1658" s="65" t="s">
        <v>78</v>
      </c>
      <c r="K1658" s="336">
        <f>IFERROR(VLOOKUP(J1658,Jueces!$A$1:$B$11,2,FALSE),"")</f>
        <v>8</v>
      </c>
      <c r="L1658" s="63" t="s">
        <v>4788</v>
      </c>
      <c r="M1658" s="63" t="s">
        <v>695</v>
      </c>
      <c r="N1658" s="205" t="s">
        <v>6658</v>
      </c>
      <c r="O1658" s="63" t="str">
        <f ca="1">IF(H1658&lt;&gt;"",IF(H1658&lt;=TODAY(),"SI","NO"),"LIMBO")</f>
        <v>SI</v>
      </c>
      <c r="P1658" s="63" t="str">
        <f>IF($P$1=H1658,"DIASOL", "DIANOSOL")</f>
        <v>DIANOSOL</v>
      </c>
      <c r="Q1658" s="63" t="s">
        <v>902</v>
      </c>
      <c r="R1658" s="63" t="str">
        <f>VLOOKUP($Q1658,Resultados!$A$1:$B$49,2,FALSE)</f>
        <v>Juicio Abreviado</v>
      </c>
      <c r="S1658" s="63" t="s">
        <v>228</v>
      </c>
      <c r="T1658" s="72" t="str">
        <f>IF(G1658=$J$1,"SI","NO")</f>
        <v>NO</v>
      </c>
      <c r="U1658" s="72"/>
      <c r="V1658" s="7" t="str">
        <f ca="1">IF(color_Celda(E1658)=12106214,"ROSA",IF(color_Celda(E1658)=65535,"AMARILLO",IF(color_Celda(E1658)=5296274,"VERDE",IF(color_Celda(E1658)=16777215,"BLANCO","NO SE"))))</f>
        <v>ROSA</v>
      </c>
      <c r="W1658" s="63" t="s">
        <v>5337</v>
      </c>
      <c r="X1658" s="336"/>
      <c r="Y1658" s="336"/>
      <c r="Z1658" s="63" t="s">
        <v>770</v>
      </c>
      <c r="AA1658" s="63" t="s">
        <v>3379</v>
      </c>
      <c r="AB1658" s="63" t="s">
        <v>3258</v>
      </c>
      <c r="AC1658" s="336"/>
    </row>
    <row r="1659" spans="1:29" ht="60" customHeight="1">
      <c r="A1659" s="336">
        <v>1623</v>
      </c>
      <c r="B1659" s="349">
        <v>45344</v>
      </c>
      <c r="C1659" s="568">
        <v>0.47430555555555554</v>
      </c>
      <c r="D1659" s="63" t="s">
        <v>6148</v>
      </c>
      <c r="E1659" s="64" t="s">
        <v>6149</v>
      </c>
      <c r="F1659" s="336">
        <v>4</v>
      </c>
      <c r="G1659" s="63" t="s">
        <v>1433</v>
      </c>
      <c r="H1659" s="383">
        <v>45364</v>
      </c>
      <c r="I1659" s="65" t="s">
        <v>73</v>
      </c>
      <c r="J1659" s="65" t="s">
        <v>31</v>
      </c>
      <c r="K1659" s="336">
        <f>IFERROR(VLOOKUP(J1659,Jueces!$A$1:$B$11,2,FALSE),"")</f>
        <v>2</v>
      </c>
      <c r="L1659" s="63" t="s">
        <v>4766</v>
      </c>
      <c r="M1659" s="335" t="s">
        <v>6194</v>
      </c>
      <c r="N1659" s="63" t="s">
        <v>6694</v>
      </c>
      <c r="O1659" s="63" t="str">
        <f ca="1">IF(H1659&lt;&gt;"",IF(H1659&lt;=TODAY(),"SI","NO"),"LIMBO")</f>
        <v>SI</v>
      </c>
      <c r="P1659" s="63" t="str">
        <f>IF($P$1=H1659,"DIASOL", "DIANOSOL")</f>
        <v>DIANOSOL</v>
      </c>
      <c r="Q1659" s="63" t="s">
        <v>903</v>
      </c>
      <c r="R1659" s="63" t="str">
        <f>VLOOKUP($Q1659,Resultados!$A$1:$B$49,2,FALSE)</f>
        <v>Juicio Abreviado</v>
      </c>
      <c r="S1659" s="63" t="s">
        <v>1125</v>
      </c>
      <c r="T1659" s="72" t="str">
        <f>IF(G1659=$J$1,"SI","NO")</f>
        <v>NO</v>
      </c>
      <c r="U1659" s="72"/>
      <c r="V1659" s="7" t="str">
        <f ca="1">IF(color_Celda(E1659)=12106214,"ROSA",IF(color_Celda(E1659)=65535,"AMARILLO",IF(color_Celda(E1659)=5296274,"VERDE",IF(color_Celda(E1659)=16777215,"BLANCO","NO SE"))))</f>
        <v>ROSA</v>
      </c>
      <c r="W1659" s="63" t="s">
        <v>1120</v>
      </c>
      <c r="X1659" s="336"/>
      <c r="Y1659" s="336"/>
      <c r="Z1659" s="63" t="s">
        <v>748</v>
      </c>
      <c r="AA1659" s="63" t="s">
        <v>1167</v>
      </c>
      <c r="AB1659" s="63" t="s">
        <v>1171</v>
      </c>
      <c r="AC1659" s="336"/>
    </row>
    <row r="1660" spans="1:29" ht="60" customHeight="1">
      <c r="A1660" s="336">
        <v>1653</v>
      </c>
      <c r="B1660" s="349">
        <v>45350</v>
      </c>
      <c r="C1660" s="568">
        <v>0.43263888888888885</v>
      </c>
      <c r="D1660" s="63" t="s">
        <v>6244</v>
      </c>
      <c r="E1660" s="64" t="s">
        <v>6245</v>
      </c>
      <c r="F1660" s="336">
        <v>7</v>
      </c>
      <c r="G1660" s="63" t="s">
        <v>283</v>
      </c>
      <c r="H1660" s="349">
        <v>45364</v>
      </c>
      <c r="I1660" s="65" t="s">
        <v>73</v>
      </c>
      <c r="J1660" s="65" t="s">
        <v>4746</v>
      </c>
      <c r="K1660" s="63" t="s">
        <v>3776</v>
      </c>
      <c r="L1660" s="63" t="s">
        <v>4779</v>
      </c>
      <c r="M1660" s="63" t="s">
        <v>695</v>
      </c>
      <c r="N1660" s="63" t="s">
        <v>6695</v>
      </c>
      <c r="O1660" s="63" t="str">
        <f ca="1">IF(H1660&lt;&gt;"",IF(H1660&lt;=TODAY(),"SI","NO"),"LIMBO")</f>
        <v>SI</v>
      </c>
      <c r="P1660" s="63" t="str">
        <f>IF($P$1=H1660,"DIASOL", "DIANOSOL")</f>
        <v>DIANOSOL</v>
      </c>
      <c r="Q1660" s="63" t="s">
        <v>897</v>
      </c>
      <c r="R1660" s="63" t="str">
        <f>VLOOKUP($Q1660,Resultados!$A$1:$B$49,2,FALSE)</f>
        <v>Libertad</v>
      </c>
      <c r="S1660" s="63" t="s">
        <v>1015</v>
      </c>
      <c r="T1660" s="72" t="str">
        <f>IF(G1660=$J$1,"SI","NO")</f>
        <v>NO</v>
      </c>
      <c r="U1660" s="72"/>
      <c r="V1660" s="7" t="str">
        <f ca="1">IF(color_Celda(E1660)=12106214,"ROSA",IF(color_Celda(E1660)=65535,"AMARILLO",IF(color_Celda(E1660)=5296274,"VERDE",IF(color_Celda(E1660)=16777215,"BLANCO","NO SE"))))</f>
        <v>ROSA</v>
      </c>
      <c r="W1660" s="63" t="s">
        <v>1489</v>
      </c>
      <c r="X1660" s="336"/>
      <c r="Y1660" s="336"/>
      <c r="Z1660" s="63" t="s">
        <v>770</v>
      </c>
      <c r="AA1660" s="63" t="s">
        <v>3379</v>
      </c>
      <c r="AB1660" s="63" t="s">
        <v>1170</v>
      </c>
      <c r="AC1660" s="336"/>
    </row>
    <row r="1661" spans="1:29" ht="60" customHeight="1">
      <c r="A1661" s="336">
        <v>1659</v>
      </c>
      <c r="B1661" s="349">
        <v>45351</v>
      </c>
      <c r="C1661" s="568">
        <v>0.47500000000000003</v>
      </c>
      <c r="D1661" s="63" t="s">
        <v>6256</v>
      </c>
      <c r="E1661" s="355" t="s">
        <v>6257</v>
      </c>
      <c r="F1661" s="336">
        <v>5</v>
      </c>
      <c r="G1661" s="63" t="s">
        <v>1434</v>
      </c>
      <c r="H1661" s="349">
        <v>45364</v>
      </c>
      <c r="I1661" s="65" t="s">
        <v>73</v>
      </c>
      <c r="J1661" s="65" t="s">
        <v>4932</v>
      </c>
      <c r="K1661" s="63" t="s">
        <v>1982</v>
      </c>
      <c r="L1661" s="63" t="s">
        <v>4790</v>
      </c>
      <c r="M1661" s="63" t="s">
        <v>3755</v>
      </c>
      <c r="N1661" s="63" t="s">
        <v>6696</v>
      </c>
      <c r="O1661" s="63" t="str">
        <f ca="1">IF(H1661&lt;&gt;"",IF(H1661&lt;=TODAY(),"SI","NO"),"LIMBO")</f>
        <v>SI</v>
      </c>
      <c r="P1661" s="63" t="str">
        <f>IF($P$1=H1661,"DIASOL", "DIANOSOL")</f>
        <v>DIANOSOL</v>
      </c>
      <c r="Q1661" s="63" t="s">
        <v>903</v>
      </c>
      <c r="R1661" s="63" t="str">
        <f>VLOOKUP($Q1661,Resultados!$A$1:$B$49,2,FALSE)</f>
        <v>Juicio Abreviado</v>
      </c>
      <c r="S1661" s="63" t="s">
        <v>1604</v>
      </c>
      <c r="T1661" s="72" t="str">
        <f>IF(G1661=$J$1,"SI","NO")</f>
        <v>NO</v>
      </c>
      <c r="U1661" s="72"/>
      <c r="V1661" s="7" t="str">
        <f ca="1">IF(color_Celda(E1661)=12106214,"ROSA",IF(color_Celda(E1661)=65535,"AMARILLO",IF(color_Celda(E1661)=5296274,"VERDE",IF(color_Celda(E1661)=16777215,"BLANCO","NO SE"))))</f>
        <v>ROSA</v>
      </c>
      <c r="W1661" s="63" t="s">
        <v>1291</v>
      </c>
      <c r="X1661" s="336"/>
      <c r="Y1661" s="336"/>
      <c r="Z1661" s="63" t="s">
        <v>1039</v>
      </c>
      <c r="AA1661" s="63" t="s">
        <v>2869</v>
      </c>
      <c r="AB1661" s="63" t="s">
        <v>1173</v>
      </c>
      <c r="AC1661" s="336"/>
    </row>
    <row r="1662" spans="1:29" ht="60" customHeight="1">
      <c r="A1662" s="336">
        <v>1671</v>
      </c>
      <c r="B1662" s="349">
        <v>45355</v>
      </c>
      <c r="C1662" s="568">
        <v>0.4375</v>
      </c>
      <c r="D1662" s="63" t="s">
        <v>6305</v>
      </c>
      <c r="E1662" s="64" t="s">
        <v>6306</v>
      </c>
      <c r="F1662" s="336">
        <v>5</v>
      </c>
      <c r="G1662" s="336" t="s">
        <v>5710</v>
      </c>
      <c r="H1662" s="349">
        <v>45364</v>
      </c>
      <c r="I1662" s="65" t="s">
        <v>73</v>
      </c>
      <c r="J1662" s="65" t="s">
        <v>1217</v>
      </c>
      <c r="K1662" s="63">
        <v>7</v>
      </c>
      <c r="L1662" s="63" t="s">
        <v>4783</v>
      </c>
      <c r="M1662" s="63" t="s">
        <v>1866</v>
      </c>
      <c r="N1662" s="205" t="s">
        <v>1744</v>
      </c>
      <c r="O1662" s="63" t="str">
        <f ca="1">IF(H1662&lt;&gt;"",IF(H1662&lt;=TODAY(),"SI","NO"),"LIMBO")</f>
        <v>SI</v>
      </c>
      <c r="P1662" s="63" t="str">
        <f>IF($P$1=H1662,"DIASOL", "DIANOSOL")</f>
        <v>DIANOSOL</v>
      </c>
      <c r="Q1662" s="63" t="s">
        <v>151</v>
      </c>
      <c r="R1662" s="63" t="str">
        <f>VLOOKUP($Q1662,Resultados!$A$1:$B$49,2,FALSE)</f>
        <v>Prisión Preventiva</v>
      </c>
      <c r="S1662" s="63" t="s">
        <v>2659</v>
      </c>
      <c r="T1662" s="72" t="str">
        <f>IF(G1662=$J$1,"SI","NO")</f>
        <v>NO</v>
      </c>
      <c r="U1662" s="72"/>
      <c r="V1662" s="7" t="str">
        <f ca="1">IF(color_Celda(E1662)=12106214,"ROSA",IF(color_Celda(E1662)=65535,"AMARILLO",IF(color_Celda(E1662)=5296274,"VERDE",IF(color_Celda(E1662)=16777215,"BLANCO","NO SE"))))</f>
        <v>ROSA</v>
      </c>
      <c r="W1662" s="63" t="s">
        <v>1007</v>
      </c>
      <c r="X1662" s="336"/>
      <c r="Y1662" s="336"/>
      <c r="Z1662" s="63" t="s">
        <v>3368</v>
      </c>
      <c r="AA1662" s="63" t="s">
        <v>1167</v>
      </c>
      <c r="AB1662" s="63" t="s">
        <v>1169</v>
      </c>
      <c r="AC1662" s="336"/>
    </row>
    <row r="1663" spans="1:29" ht="60" customHeight="1">
      <c r="A1663" s="336">
        <v>1661</v>
      </c>
      <c r="B1663" s="349">
        <v>45352</v>
      </c>
      <c r="C1663" s="568">
        <v>0.4201388888888889</v>
      </c>
      <c r="D1663" s="63" t="s">
        <v>6290</v>
      </c>
      <c r="E1663" s="355" t="s">
        <v>6291</v>
      </c>
      <c r="F1663" s="336">
        <v>5</v>
      </c>
      <c r="G1663" s="63" t="s">
        <v>3324</v>
      </c>
      <c r="H1663" s="349">
        <v>45364</v>
      </c>
      <c r="I1663" s="65" t="s">
        <v>686</v>
      </c>
      <c r="J1663" s="65" t="s">
        <v>33</v>
      </c>
      <c r="K1663" s="336">
        <f>IFERROR(VLOOKUP(J1663,Jueces!$A$1:$B$11,2,FALSE),"")</f>
        <v>4</v>
      </c>
      <c r="L1663" s="63" t="s">
        <v>6461</v>
      </c>
      <c r="M1663" s="63" t="s">
        <v>6462</v>
      </c>
      <c r="N1663" s="205" t="s">
        <v>6693</v>
      </c>
      <c r="O1663" s="63" t="str">
        <f ca="1">IF(H1663&lt;&gt;"",IF(H1663&lt;=TODAY(),"SI","NO"),"LIMBO")</f>
        <v>SI</v>
      </c>
      <c r="P1663" s="63" t="str">
        <f>IF($P$1=H1663,"DIASOL", "DIANOSOL")</f>
        <v>DIANOSOL</v>
      </c>
      <c r="Q1663" s="63" t="s">
        <v>903</v>
      </c>
      <c r="R1663" s="63" t="str">
        <f>VLOOKUP($Q1663,Resultados!$A$1:$B$49,2,FALSE)</f>
        <v>Juicio Abreviado</v>
      </c>
      <c r="S1663" s="63" t="s">
        <v>1134</v>
      </c>
      <c r="T1663" s="72" t="str">
        <f>IF(G1663=$J$1,"SI","NO")</f>
        <v>NO</v>
      </c>
      <c r="U1663" s="72"/>
      <c r="V1663" s="7" t="str">
        <f ca="1">IF(color_Celda(E1663)=12106214,"ROSA",IF(color_Celda(E1663)=65535,"AMARILLO",IF(color_Celda(E1663)=5296274,"VERDE",IF(color_Celda(E1663)=16777215,"BLANCO","NO SE"))))</f>
        <v>ROSA</v>
      </c>
      <c r="W1663" s="63" t="s">
        <v>1126</v>
      </c>
      <c r="X1663" s="336"/>
      <c r="Y1663" s="336"/>
      <c r="Z1663" s="63" t="s">
        <v>1038</v>
      </c>
      <c r="AA1663" s="63" t="s">
        <v>3378</v>
      </c>
      <c r="AB1663" s="63" t="s">
        <v>3258</v>
      </c>
      <c r="AC1663" s="336"/>
    </row>
    <row r="1664" spans="1:29" ht="60" customHeight="1">
      <c r="A1664" s="336">
        <v>1662</v>
      </c>
      <c r="B1664" s="349">
        <v>45352</v>
      </c>
      <c r="C1664" s="568">
        <v>0.42777777777777781</v>
      </c>
      <c r="D1664" s="63" t="s">
        <v>6292</v>
      </c>
      <c r="E1664" s="64" t="s">
        <v>6293</v>
      </c>
      <c r="F1664" s="336">
        <v>5</v>
      </c>
      <c r="G1664" s="63" t="s">
        <v>1435</v>
      </c>
      <c r="H1664" s="349">
        <v>45364</v>
      </c>
      <c r="I1664" s="65" t="s">
        <v>1083</v>
      </c>
      <c r="J1664" s="65" t="s">
        <v>78</v>
      </c>
      <c r="K1664" s="336">
        <f>IFERROR(VLOOKUP(J1664,Jueces!$A$1:$B$11,2,FALSE),"")</f>
        <v>8</v>
      </c>
      <c r="L1664" s="63" t="s">
        <v>4790</v>
      </c>
      <c r="M1664" s="7" t="s">
        <v>2961</v>
      </c>
      <c r="N1664" s="205" t="s">
        <v>6692</v>
      </c>
      <c r="O1664" s="63" t="str">
        <f ca="1">IF(H1664&lt;&gt;"",IF(H1664&lt;=TODAY(),"SI","NO"),"LIMBO")</f>
        <v>SI</v>
      </c>
      <c r="P1664" s="63" t="str">
        <f>IF($P$1=H1664,"DIASOL", "DIANOSOL")</f>
        <v>DIANOSOL</v>
      </c>
      <c r="Q1664" s="63" t="s">
        <v>151</v>
      </c>
      <c r="R1664" s="63" t="str">
        <f>VLOOKUP($Q1664,Resultados!$A$1:$B$49,2,FALSE)</f>
        <v>Prisión Preventiva</v>
      </c>
      <c r="S1664" s="63" t="s">
        <v>76</v>
      </c>
      <c r="T1664" s="72" t="str">
        <f>IF(G1664=$J$1,"SI","NO")</f>
        <v>SI</v>
      </c>
      <c r="U1664" s="72"/>
      <c r="V1664" s="7" t="str">
        <f ca="1">IF(color_Celda(E1664)=12106214,"ROSA",IF(color_Celda(E1664)=65535,"AMARILLO",IF(color_Celda(E1664)=5296274,"VERDE",IF(color_Celda(E1664)=16777215,"BLANCO","NO SE"))))</f>
        <v>ROSA</v>
      </c>
      <c r="W1664" s="63" t="s">
        <v>1332</v>
      </c>
      <c r="X1664" s="336"/>
      <c r="Y1664" s="336"/>
      <c r="Z1664" s="63" t="s">
        <v>743</v>
      </c>
      <c r="AA1664" s="63" t="s">
        <v>2828</v>
      </c>
      <c r="AB1664" s="63" t="s">
        <v>1173</v>
      </c>
      <c r="AC1664" s="336"/>
    </row>
    <row r="1665" spans="1:29" ht="60" customHeight="1">
      <c r="A1665" s="336">
        <v>1663</v>
      </c>
      <c r="B1665" s="349">
        <v>45352</v>
      </c>
      <c r="C1665" s="568">
        <v>0.4368055555555555</v>
      </c>
      <c r="D1665" s="63" t="s">
        <v>6294</v>
      </c>
      <c r="E1665" s="64" t="s">
        <v>6295</v>
      </c>
      <c r="F1665" s="336">
        <v>5</v>
      </c>
      <c r="G1665" s="63" t="s">
        <v>568</v>
      </c>
      <c r="H1665" s="65">
        <v>45364</v>
      </c>
      <c r="I1665" s="65" t="s">
        <v>1083</v>
      </c>
      <c r="J1665" s="65" t="s">
        <v>4931</v>
      </c>
      <c r="K1665" s="63" t="s">
        <v>3941</v>
      </c>
      <c r="L1665" s="63" t="s">
        <v>4767</v>
      </c>
      <c r="M1665" s="335" t="s">
        <v>5090</v>
      </c>
      <c r="N1665" s="63" t="s">
        <v>4994</v>
      </c>
      <c r="O1665" s="63" t="str">
        <f ca="1">IF(H1665&lt;&gt;"",IF(H1665&lt;=TODAY(),"SI","NO"),"LIMBO")</f>
        <v>SI</v>
      </c>
      <c r="P1665" s="63" t="str">
        <f>IF($P$1=H1665,"DIASOL", "DIANOSOL")</f>
        <v>DIANOSOL</v>
      </c>
      <c r="Q1665" s="63" t="s">
        <v>911</v>
      </c>
      <c r="R1665" s="63" t="str">
        <f>VLOOKUP($Q1665,Resultados!$A$1:$B$49,2,FALSE)</f>
        <v>Prision domiciliaria</v>
      </c>
      <c r="S1665" s="63" t="s">
        <v>1081</v>
      </c>
      <c r="T1665" s="72" t="str">
        <f>IF(G1665=$J$1,"SI","NO")</f>
        <v>NO</v>
      </c>
      <c r="U1665" s="72"/>
      <c r="V1665" s="7" t="str">
        <f ca="1">IF(color_Celda(E1665)=12106214,"ROSA",IF(color_Celda(E1665)=65535,"AMARILLO",IF(color_Celda(E1665)=5296274,"VERDE",IF(color_Celda(E1665)=16777215,"BLANCO","NO SE"))))</f>
        <v>ROSA</v>
      </c>
      <c r="W1665" s="63" t="s">
        <v>3158</v>
      </c>
      <c r="X1665" s="63" t="s">
        <v>6689</v>
      </c>
      <c r="Y1665" s="336"/>
      <c r="Z1665" s="63" t="s">
        <v>748</v>
      </c>
      <c r="AA1665" s="63" t="s">
        <v>3379</v>
      </c>
      <c r="AB1665" s="63" t="s">
        <v>1171</v>
      </c>
      <c r="AC1665" s="336"/>
    </row>
    <row r="1666" spans="1:29" ht="60" customHeight="1">
      <c r="A1666" s="336">
        <v>1686</v>
      </c>
      <c r="B1666" s="349">
        <v>45352</v>
      </c>
      <c r="C1666" s="568">
        <v>0.46597222222222223</v>
      </c>
      <c r="D1666" s="336" t="s">
        <v>6000</v>
      </c>
      <c r="E1666" s="355" t="s">
        <v>6338</v>
      </c>
      <c r="F1666" s="336">
        <v>1</v>
      </c>
      <c r="G1666" s="336" t="s">
        <v>29</v>
      </c>
      <c r="H1666" s="383">
        <v>45364</v>
      </c>
      <c r="I1666" s="65" t="s">
        <v>1083</v>
      </c>
      <c r="J1666" s="349" t="s">
        <v>1216</v>
      </c>
      <c r="K1666" s="336">
        <f>IFERROR(VLOOKUP(J1666,Jueces!$A$1:$B$11,2,FALSE),"")</f>
        <v>1</v>
      </c>
      <c r="L1666" s="63" t="s">
        <v>789</v>
      </c>
      <c r="M1666" s="63" t="s">
        <v>694</v>
      </c>
      <c r="N1666" s="63" t="s">
        <v>6690</v>
      </c>
      <c r="O1666" s="63" t="str">
        <f ca="1">IF(H1666&lt;&gt;"",IF(H1666&lt;=TODAY(),"SI","NO"),"LIMBO")</f>
        <v>SI</v>
      </c>
      <c r="P1666" s="63" t="str">
        <f>IF($P$1=H1666,"DIASOL", "DIANOSOL")</f>
        <v>DIANOSOL</v>
      </c>
      <c r="Q1666" s="63" t="s">
        <v>902</v>
      </c>
      <c r="R1666" s="63" t="str">
        <f>VLOOKUP($Q1666,Resultados!$A$1:$B$49,2,FALSE)</f>
        <v>Juicio Abreviado</v>
      </c>
      <c r="S1666" s="63" t="s">
        <v>2662</v>
      </c>
      <c r="T1666" s="72" t="str">
        <f>IF(G1666=$J$1,"SI","NO")</f>
        <v>NO</v>
      </c>
      <c r="U1666" s="72"/>
      <c r="V1666" s="7" t="str">
        <f ca="1">IF(color_Celda(E1666)=12106214,"ROSA",IF(color_Celda(E1666)=65535,"AMARILLO",IF(color_Celda(E1666)=5296274,"VERDE",IF(color_Celda(E1666)=16777215,"BLANCO","NO SE"))))</f>
        <v>ROSA</v>
      </c>
      <c r="W1666" s="63" t="s">
        <v>3171</v>
      </c>
      <c r="X1666" s="336"/>
      <c r="Y1666" s="336"/>
      <c r="Z1666" s="63" t="s">
        <v>770</v>
      </c>
      <c r="AA1666" s="63" t="s">
        <v>2869</v>
      </c>
      <c r="AB1666" s="63" t="s">
        <v>1170</v>
      </c>
      <c r="AC1666" s="336"/>
    </row>
    <row r="1667" spans="1:29" ht="60" customHeight="1">
      <c r="A1667" s="336">
        <v>1669</v>
      </c>
      <c r="B1667" s="349">
        <v>45355</v>
      </c>
      <c r="C1667" s="568">
        <v>0.4284722222222222</v>
      </c>
      <c r="D1667" s="63" t="s">
        <v>6303</v>
      </c>
      <c r="E1667" s="64" t="s">
        <v>6460</v>
      </c>
      <c r="F1667" s="336">
        <v>5</v>
      </c>
      <c r="G1667" s="336" t="s">
        <v>2815</v>
      </c>
      <c r="H1667" s="349">
        <v>45364</v>
      </c>
      <c r="I1667" s="65" t="s">
        <v>1083</v>
      </c>
      <c r="J1667" s="349" t="s">
        <v>1217</v>
      </c>
      <c r="K1667" s="336">
        <f>IFERROR(VLOOKUP(J1667,Jueces!$A$1:$B$11,2,FALSE),"")</f>
        <v>7</v>
      </c>
      <c r="L1667" s="63" t="s">
        <v>4789</v>
      </c>
      <c r="M1667" s="63" t="s">
        <v>1866</v>
      </c>
      <c r="N1667" s="63" t="s">
        <v>6691</v>
      </c>
      <c r="O1667" s="63" t="str">
        <f ca="1">IF(H1667&lt;&gt;"",IF(H1667&lt;=TODAY(),"SI","NO"),"LIMBO")</f>
        <v>SI</v>
      </c>
      <c r="P1667" s="63" t="str">
        <f>IF($P$1=H1667,"DIASOL", "DIANOSOL")</f>
        <v>DIANOSOL</v>
      </c>
      <c r="Q1667" s="63" t="s">
        <v>902</v>
      </c>
      <c r="R1667" s="63" t="str">
        <f>VLOOKUP($Q1667,Resultados!$A$1:$B$49,2,FALSE)</f>
        <v>Juicio Abreviado</v>
      </c>
      <c r="S1667" s="63" t="s">
        <v>1501</v>
      </c>
      <c r="T1667" s="72" t="str">
        <f>IF(G1667=$J$1,"SI","NO")</f>
        <v>NO</v>
      </c>
      <c r="U1667" s="72"/>
      <c r="V1667" s="7" t="str">
        <f ca="1">IF(color_Celda(E1667)=12106214,"ROSA",IF(color_Celda(E1667)=65535,"AMARILLO",IF(color_Celda(E1667)=5296274,"VERDE",IF(color_Celda(E1667)=16777215,"BLANCO","NO SE"))))</f>
        <v>ROSA</v>
      </c>
      <c r="W1667" s="63" t="s">
        <v>1437</v>
      </c>
      <c r="X1667" s="336"/>
      <c r="Y1667" s="336"/>
      <c r="Z1667" s="63" t="s">
        <v>3368</v>
      </c>
      <c r="AA1667" s="63" t="s">
        <v>2828</v>
      </c>
      <c r="AB1667" s="63" t="s">
        <v>1169</v>
      </c>
      <c r="AC1667" s="336"/>
    </row>
    <row r="1668" spans="1:29" ht="60" customHeight="1">
      <c r="A1668" s="336">
        <v>1670</v>
      </c>
      <c r="B1668" s="349">
        <v>45355</v>
      </c>
      <c r="C1668" s="568">
        <v>0.43472222222222223</v>
      </c>
      <c r="D1668" s="63" t="s">
        <v>6304</v>
      </c>
      <c r="E1668" s="64" t="s">
        <v>6317</v>
      </c>
      <c r="F1668" s="336">
        <v>5</v>
      </c>
      <c r="G1668" s="336" t="s">
        <v>2752</v>
      </c>
      <c r="H1668" s="349">
        <v>45364</v>
      </c>
      <c r="I1668" s="65" t="s">
        <v>1206</v>
      </c>
      <c r="J1668" s="349" t="s">
        <v>78</v>
      </c>
      <c r="K1668" s="336">
        <f>IFERROR(VLOOKUP(J1668,Jueces!$A$1:$B$11,2,FALSE),"")</f>
        <v>8</v>
      </c>
      <c r="L1668" s="63" t="s">
        <v>2219</v>
      </c>
      <c r="M1668" s="63" t="s">
        <v>3755</v>
      </c>
      <c r="N1668" s="63" t="s">
        <v>6686</v>
      </c>
      <c r="O1668" s="63" t="str">
        <f ca="1">IF(H1668&lt;&gt;"",IF(H1668&lt;=TODAY(),"SI","NO"),"LIMBO")</f>
        <v>SI</v>
      </c>
      <c r="P1668" s="63" t="str">
        <f>IF($P$1=H1668,"DIASOL", "DIANOSOL")</f>
        <v>DIANOSOL</v>
      </c>
      <c r="Q1668" s="63" t="s">
        <v>902</v>
      </c>
      <c r="R1668" s="63" t="str">
        <f>VLOOKUP($Q1668,Resultados!$A$1:$B$49,2,FALSE)</f>
        <v>Juicio Abreviado</v>
      </c>
      <c r="S1668" s="63" t="s">
        <v>3158</v>
      </c>
      <c r="T1668" s="72" t="str">
        <f>IF(G1668=$J$1,"SI","NO")</f>
        <v>NO</v>
      </c>
      <c r="U1668" s="72"/>
      <c r="V1668" s="7" t="str">
        <f ca="1">IF(color_Celda(E1668)=12106214,"ROSA",IF(color_Celda(E1668)=65535,"AMARILLO",IF(color_Celda(E1668)=5296274,"VERDE",IF(color_Celda(E1668)=16777215,"BLANCO","NO SE"))))</f>
        <v>ROSA</v>
      </c>
      <c r="W1668" s="63" t="s">
        <v>4349</v>
      </c>
      <c r="X1668" s="63" t="s">
        <v>1306</v>
      </c>
      <c r="Y1668" s="336"/>
      <c r="Z1668" s="63" t="s">
        <v>743</v>
      </c>
      <c r="AA1668" s="63" t="s">
        <v>3378</v>
      </c>
      <c r="AB1668" s="63" t="s">
        <v>3258</v>
      </c>
      <c r="AC1668" s="336"/>
    </row>
    <row r="1669" spans="1:29" ht="60" customHeight="1">
      <c r="A1669" s="336">
        <v>1682</v>
      </c>
      <c r="B1669" s="349">
        <v>45356</v>
      </c>
      <c r="C1669" s="568">
        <v>0.47430555555555554</v>
      </c>
      <c r="D1669" s="63" t="s">
        <v>6321</v>
      </c>
      <c r="E1669" s="64" t="s">
        <v>6393</v>
      </c>
      <c r="F1669" s="336">
        <v>6</v>
      </c>
      <c r="G1669" s="336" t="s">
        <v>2766</v>
      </c>
      <c r="H1669" s="349">
        <v>45364</v>
      </c>
      <c r="I1669" s="349" t="s">
        <v>1206</v>
      </c>
      <c r="J1669" s="349" t="s">
        <v>1216</v>
      </c>
      <c r="K1669" s="336">
        <f>IFERROR(VLOOKUP(J1669,Jueces!$A$1:$B$11,2,FALSE),"")</f>
        <v>1</v>
      </c>
      <c r="L1669" s="63" t="s">
        <v>791</v>
      </c>
      <c r="M1669" s="63" t="s">
        <v>1956</v>
      </c>
      <c r="N1669" s="205" t="s">
        <v>6687</v>
      </c>
      <c r="O1669" s="63" t="str">
        <f ca="1">IF(H1669&lt;&gt;"",IF(H1669&lt;=TODAY(),"SI","NO"),"LIMBO")</f>
        <v>SI</v>
      </c>
      <c r="P1669" s="63" t="str">
        <f>IF($P$1=H1669,"DIASOL", "DIANOSOL")</f>
        <v>DIANOSOL</v>
      </c>
      <c r="Q1669" s="63" t="s">
        <v>903</v>
      </c>
      <c r="R1669" s="63" t="str">
        <f>VLOOKUP($Q1669,Resultados!$A$1:$B$49,2,FALSE)</f>
        <v>Juicio Abreviado</v>
      </c>
      <c r="S1669" s="63" t="s">
        <v>1270</v>
      </c>
      <c r="T1669" s="72" t="str">
        <f>IF(G1669=$J$1,"SI","NO")</f>
        <v>NO</v>
      </c>
      <c r="U1669" s="72"/>
      <c r="V1669" s="7" t="str">
        <f ca="1">IF(color_Celda(E1669)=12106214,"ROSA",IF(color_Celda(E1669)=65535,"AMARILLO",IF(color_Celda(E1669)=5296274,"VERDE",IF(color_Celda(E1669)=16777215,"BLANCO","NO SE"))))</f>
        <v>ROSA</v>
      </c>
      <c r="W1669" s="63" t="s">
        <v>5861</v>
      </c>
      <c r="X1669" s="63" t="s">
        <v>6688</v>
      </c>
      <c r="Y1669" s="336"/>
      <c r="Z1669" s="63" t="s">
        <v>770</v>
      </c>
      <c r="AA1669" s="63" t="s">
        <v>3379</v>
      </c>
      <c r="AB1669" s="63" t="s">
        <v>1171</v>
      </c>
      <c r="AC1669" s="336"/>
    </row>
    <row r="1670" spans="1:29" ht="60" customHeight="1">
      <c r="A1670" s="336">
        <v>1607</v>
      </c>
      <c r="B1670" s="349">
        <v>45343</v>
      </c>
      <c r="C1670" s="63" t="s">
        <v>6095</v>
      </c>
      <c r="D1670" s="63" t="s">
        <v>6096</v>
      </c>
      <c r="E1670" s="64" t="s">
        <v>6097</v>
      </c>
      <c r="F1670" s="336">
        <v>4</v>
      </c>
      <c r="G1670" s="63" t="s">
        <v>3791</v>
      </c>
      <c r="H1670" s="383">
        <v>45364</v>
      </c>
      <c r="I1670" s="65" t="s">
        <v>2011</v>
      </c>
      <c r="J1670" s="65" t="s">
        <v>31</v>
      </c>
      <c r="K1670" s="336">
        <f>IFERROR(VLOOKUP(J1670,Jueces!$A$1:$B$11,2,FALSE),"")</f>
        <v>2</v>
      </c>
      <c r="L1670" s="63" t="s">
        <v>805</v>
      </c>
      <c r="M1670" s="63" t="s">
        <v>4772</v>
      </c>
      <c r="N1670" s="63" t="s">
        <v>2243</v>
      </c>
      <c r="O1670" s="63" t="str">
        <f ca="1">IF(H1670&lt;&gt;"",IF(H1670&lt;=TODAY(),"SI","NO"),"LIMBO")</f>
        <v>SI</v>
      </c>
      <c r="P1670" s="63" t="str">
        <f>IF($P$1=H1670,"DIASOL", "DIANOSOL")</f>
        <v>DIANOSOL</v>
      </c>
      <c r="Q1670" s="63" t="s">
        <v>897</v>
      </c>
      <c r="R1670" s="63" t="str">
        <f>VLOOKUP($Q1670,Resultados!$A$1:$B$49,2,FALSE)</f>
        <v>Libertad</v>
      </c>
      <c r="S1670" s="63" t="s">
        <v>1766</v>
      </c>
      <c r="T1670" s="72" t="str">
        <f>IF(G1670=$J$1,"SI","NO")</f>
        <v>NO</v>
      </c>
      <c r="U1670" s="72"/>
      <c r="V1670" s="7" t="str">
        <f ca="1">IF(color_Celda(E1670)=12106214,"ROSA",IF(color_Celda(E1670)=65535,"AMARILLO",IF(color_Celda(E1670)=5296274,"VERDE",IF(color_Celda(E1670)=16777215,"BLANCO","NO SE"))))</f>
        <v>ROSA</v>
      </c>
      <c r="W1670" s="63" t="s">
        <v>5065</v>
      </c>
      <c r="X1670" s="63" t="s">
        <v>6672</v>
      </c>
      <c r="Y1670" s="336"/>
      <c r="Z1670" s="63" t="s">
        <v>748</v>
      </c>
      <c r="AA1670" s="63" t="s">
        <v>1167</v>
      </c>
      <c r="AB1670" s="63" t="s">
        <v>1173</v>
      </c>
      <c r="AC1670" s="336"/>
    </row>
    <row r="1671" spans="1:29" ht="60" customHeight="1">
      <c r="A1671" s="336">
        <v>1615</v>
      </c>
      <c r="B1671" s="349">
        <v>45344</v>
      </c>
      <c r="C1671" s="63" t="s">
        <v>73</v>
      </c>
      <c r="D1671" s="63" t="s">
        <v>6137</v>
      </c>
      <c r="E1671" s="64" t="s">
        <v>6302</v>
      </c>
      <c r="F1671" s="336">
        <v>7</v>
      </c>
      <c r="G1671" s="63" t="s">
        <v>2766</v>
      </c>
      <c r="H1671" s="383">
        <v>45364</v>
      </c>
      <c r="I1671" s="65" t="s">
        <v>2011</v>
      </c>
      <c r="J1671" s="65" t="s">
        <v>1216</v>
      </c>
      <c r="K1671" s="63">
        <v>1</v>
      </c>
      <c r="L1671" s="63" t="s">
        <v>582</v>
      </c>
      <c r="M1671" s="335" t="s">
        <v>3381</v>
      </c>
      <c r="N1671" s="63" t="s">
        <v>6879</v>
      </c>
      <c r="O1671" s="63" t="str">
        <f ca="1">IF(H1671&lt;&gt;"",IF(H1671&lt;=TODAY(),"SI","NO"),"LIMBO")</f>
        <v>SI</v>
      </c>
      <c r="P1671" s="63" t="str">
        <f>IF($P$1=H1671,"DIASOL", "DIANOSOL")</f>
        <v>DIANOSOL</v>
      </c>
      <c r="Q1671" s="63" t="s">
        <v>902</v>
      </c>
      <c r="R1671" s="63" t="str">
        <f>VLOOKUP($Q1671,Resultados!$A$1:$B$49,2,FALSE)</f>
        <v>Juicio Abreviado</v>
      </c>
      <c r="S1671" s="63"/>
      <c r="T1671" s="72" t="str">
        <f>IF(G1671=$J$1,"SI","NO")</f>
        <v>NO</v>
      </c>
      <c r="U1671" s="72"/>
      <c r="V1671" s="7" t="str">
        <f ca="1">IF(color_Celda(E1671)=12106214,"ROSA",IF(color_Celda(E1671)=65535,"AMARILLO",IF(color_Celda(E1671)=5296274,"VERDE",IF(color_Celda(E1671)=16777215,"BLANCO","NO SE"))))</f>
        <v>ROSA</v>
      </c>
      <c r="W1671" s="336"/>
      <c r="X1671" s="336"/>
      <c r="Y1671" s="336"/>
      <c r="Z1671" s="63" t="s">
        <v>748</v>
      </c>
      <c r="AA1671" s="336"/>
      <c r="AB1671" s="63" t="s">
        <v>1173</v>
      </c>
      <c r="AC1671" s="336"/>
    </row>
    <row r="1672" spans="1:29" ht="60" customHeight="1">
      <c r="A1672" s="336">
        <v>1650</v>
      </c>
      <c r="B1672" s="349">
        <v>45349</v>
      </c>
      <c r="C1672" s="568">
        <v>0.54166666666666663</v>
      </c>
      <c r="D1672" s="63" t="s">
        <v>6237</v>
      </c>
      <c r="E1672" s="64" t="s">
        <v>6361</v>
      </c>
      <c r="F1672" s="336">
        <v>4</v>
      </c>
      <c r="G1672" s="63" t="s">
        <v>3791</v>
      </c>
      <c r="H1672" s="349">
        <v>45365</v>
      </c>
      <c r="I1672" s="65" t="s">
        <v>73</v>
      </c>
      <c r="J1672" s="65" t="s">
        <v>4932</v>
      </c>
      <c r="K1672" s="63" t="s">
        <v>3922</v>
      </c>
      <c r="L1672" s="63" t="s">
        <v>2077</v>
      </c>
      <c r="M1672" s="335" t="s">
        <v>1144</v>
      </c>
      <c r="N1672" s="63" t="s">
        <v>7340</v>
      </c>
      <c r="O1672" s="63" t="str">
        <f ca="1">IF(H1672&lt;&gt;"",IF(H1672&lt;=TODAY(),"SI","NO"),"LIMBO")</f>
        <v>SI</v>
      </c>
      <c r="P1672" s="63" t="str">
        <f>IF($P$1=H1672,"DIASOL", "DIANOSOL")</f>
        <v>DIANOSOL</v>
      </c>
      <c r="Q1672" s="63" t="s">
        <v>909</v>
      </c>
      <c r="R1672" s="63" t="str">
        <f>VLOOKUP($Q1672,Resultados!$A$1:$B$49,2,FALSE)</f>
        <v>Suspendida</v>
      </c>
      <c r="S1672" s="63"/>
      <c r="T1672" s="72" t="str">
        <f>IF(G1672=$J$1,"SI","NO")</f>
        <v>NO</v>
      </c>
      <c r="U1672" s="72"/>
      <c r="V1672" s="7" t="str">
        <f ca="1">IF(color_Celda(E1672)=12106214,"ROSA",IF(color_Celda(E1672)=65535,"AMARILLO",IF(color_Celda(E1672)=5296274,"VERDE",IF(color_Celda(E1672)=16777215,"BLANCO","NO SE"))))</f>
        <v>ROSA</v>
      </c>
      <c r="W1672" s="336"/>
      <c r="X1672" s="336"/>
      <c r="Y1672" s="336"/>
      <c r="Z1672" s="336" t="s">
        <v>3368</v>
      </c>
      <c r="AA1672" s="63" t="s">
        <v>1167</v>
      </c>
      <c r="AB1672" s="63" t="s">
        <v>1170</v>
      </c>
      <c r="AC1672" s="336"/>
    </row>
    <row r="1673" spans="1:29" ht="60" customHeight="1">
      <c r="A1673" s="336">
        <v>1657</v>
      </c>
      <c r="B1673" s="349">
        <v>45351</v>
      </c>
      <c r="C1673" s="568">
        <v>0.3666666666666667</v>
      </c>
      <c r="D1673" s="63" t="s">
        <v>6252</v>
      </c>
      <c r="E1673" s="64" t="s">
        <v>6373</v>
      </c>
      <c r="F1673" s="336">
        <v>5</v>
      </c>
      <c r="G1673" s="63" t="s">
        <v>283</v>
      </c>
      <c r="H1673" s="349">
        <v>45365</v>
      </c>
      <c r="I1673" s="65" t="s">
        <v>73</v>
      </c>
      <c r="J1673" s="65" t="s">
        <v>1217</v>
      </c>
      <c r="K1673" s="63">
        <v>7</v>
      </c>
      <c r="L1673" s="63" t="s">
        <v>791</v>
      </c>
      <c r="M1673" s="63" t="s">
        <v>695</v>
      </c>
      <c r="N1673" s="205" t="s">
        <v>1744</v>
      </c>
      <c r="O1673" s="63" t="str">
        <f ca="1">IF(H1673&lt;&gt;"",IF(H1673&lt;=TODAY(),"SI","NO"),"LIMBO")</f>
        <v>SI</v>
      </c>
      <c r="P1673" s="63" t="str">
        <f>IF($P$1=H1673,"DIASOL", "DIANOSOL")</f>
        <v>DIANOSOL</v>
      </c>
      <c r="Q1673" s="63" t="s">
        <v>151</v>
      </c>
      <c r="R1673" s="63" t="str">
        <f>VLOOKUP($Q1673,Resultados!$A$1:$B$49,2,FALSE)</f>
        <v>Prisión Preventiva</v>
      </c>
      <c r="S1673" s="63" t="s">
        <v>1130</v>
      </c>
      <c r="T1673" s="72" t="str">
        <f>IF(G1673=$J$1,"SI","NO")</f>
        <v>NO</v>
      </c>
      <c r="U1673" s="72"/>
      <c r="V1673" s="7" t="str">
        <f ca="1">IF(color_Celda(E1673)=12106214,"ROSA",IF(color_Celda(E1673)=65535,"AMARILLO",IF(color_Celda(E1673)=5296274,"VERDE",IF(color_Celda(E1673)=16777215,"BLANCO","NO SE"))))</f>
        <v>ROSA</v>
      </c>
      <c r="W1673" s="63" t="s">
        <v>1384</v>
      </c>
      <c r="X1673" s="63" t="s">
        <v>6683</v>
      </c>
      <c r="Y1673" s="336"/>
      <c r="Z1673" s="336" t="s">
        <v>743</v>
      </c>
      <c r="AA1673" s="63" t="s">
        <v>3379</v>
      </c>
      <c r="AB1673" s="63" t="s">
        <v>1169</v>
      </c>
      <c r="AC1673" s="336"/>
    </row>
    <row r="1674" spans="1:29" ht="60" customHeight="1">
      <c r="A1674" s="336">
        <v>1666</v>
      </c>
      <c r="B1674" s="349">
        <v>45352</v>
      </c>
      <c r="C1674" s="568">
        <v>0.47222222222222227</v>
      </c>
      <c r="D1674" s="63" t="s">
        <v>6298</v>
      </c>
      <c r="E1674" s="355" t="s">
        <v>6299</v>
      </c>
      <c r="F1674" s="336">
        <v>2</v>
      </c>
      <c r="G1674" s="63" t="s">
        <v>5710</v>
      </c>
      <c r="H1674" s="349">
        <v>45365</v>
      </c>
      <c r="I1674" s="65" t="s">
        <v>73</v>
      </c>
      <c r="J1674" s="65" t="s">
        <v>35</v>
      </c>
      <c r="K1674" s="336">
        <f>IFERROR(VLOOKUP(J1674,Jueces!$A$1:$B$11,2,FALSE),"")</f>
        <v>3</v>
      </c>
      <c r="L1674" s="63" t="s">
        <v>4790</v>
      </c>
      <c r="M1674" s="63" t="s">
        <v>711</v>
      </c>
      <c r="N1674" s="63" t="s">
        <v>2243</v>
      </c>
      <c r="O1674" s="63" t="str">
        <f ca="1">IF(H1674&lt;&gt;"",IF(H1674&lt;=TODAY(),"SI","NO"),"LIMBO")</f>
        <v>SI</v>
      </c>
      <c r="P1674" s="63" t="str">
        <f>IF($P$1=H1674,"DIASOL", "DIANOSOL")</f>
        <v>DIANOSOL</v>
      </c>
      <c r="Q1674" s="63" t="s">
        <v>897</v>
      </c>
      <c r="R1674" s="63" t="str">
        <f>VLOOKUP($Q1674,Resultados!$A$1:$B$49,2,FALSE)</f>
        <v>Libertad</v>
      </c>
      <c r="S1674" s="63" t="s">
        <v>1370</v>
      </c>
      <c r="T1674" s="72" t="str">
        <f>IF(G1674=$J$1,"SI","NO")</f>
        <v>NO</v>
      </c>
      <c r="U1674" s="72"/>
      <c r="V1674" s="7" t="str">
        <f ca="1">IF(color_Celda(E1674)=12106214,"ROSA",IF(color_Celda(E1674)=65535,"AMARILLO",IF(color_Celda(E1674)=5296274,"VERDE",IF(color_Celda(E1674)=16777215,"BLANCO","NO SE"))))</f>
        <v>ROSA</v>
      </c>
      <c r="W1674" s="63" t="s">
        <v>1120</v>
      </c>
      <c r="X1674" s="63" t="s">
        <v>6684</v>
      </c>
      <c r="Y1674" s="336"/>
      <c r="Z1674" s="336" t="s">
        <v>6484</v>
      </c>
      <c r="AA1674" s="63" t="s">
        <v>2869</v>
      </c>
      <c r="AB1674" s="63" t="s">
        <v>3258</v>
      </c>
      <c r="AC1674" s="336"/>
    </row>
    <row r="1675" spans="1:29" ht="60" customHeight="1">
      <c r="A1675" s="336">
        <v>1668</v>
      </c>
      <c r="B1675" s="349">
        <v>45352</v>
      </c>
      <c r="C1675" s="568">
        <v>0.53680555555555554</v>
      </c>
      <c r="D1675" s="63" t="s">
        <v>6300</v>
      </c>
      <c r="E1675" s="64" t="s">
        <v>6301</v>
      </c>
      <c r="F1675" s="336">
        <v>4</v>
      </c>
      <c r="G1675" s="336" t="s">
        <v>3324</v>
      </c>
      <c r="H1675" s="349">
        <v>45365</v>
      </c>
      <c r="I1675" s="65" t="s">
        <v>73</v>
      </c>
      <c r="J1675" s="349" t="s">
        <v>4931</v>
      </c>
      <c r="K1675" s="336">
        <v>2</v>
      </c>
      <c r="L1675" s="63" t="s">
        <v>4780</v>
      </c>
      <c r="M1675" s="63" t="s">
        <v>4771</v>
      </c>
      <c r="N1675" s="63" t="s">
        <v>7341</v>
      </c>
      <c r="O1675" s="63" t="str">
        <f ca="1">IF(H1675&lt;&gt;"",IF(H1675&lt;=TODAY(),"SI","NO"),"LIMBO")</f>
        <v>SI</v>
      </c>
      <c r="P1675" s="63" t="str">
        <f>IF($P$1=H1675,"DIASOL", "DIANOSOL")</f>
        <v>DIANOSOL</v>
      </c>
      <c r="Q1675" s="63" t="s">
        <v>910</v>
      </c>
      <c r="R1675" s="63" t="s">
        <v>947</v>
      </c>
      <c r="S1675" s="63" t="s">
        <v>1125</v>
      </c>
      <c r="T1675" s="72" t="str">
        <f>IF(G1675=$J$1,"SI","NO")</f>
        <v>NO</v>
      </c>
      <c r="U1675" s="72"/>
      <c r="V1675" s="7" t="str">
        <f ca="1">IF(color_Celda(E1675)=12106214,"ROSA",IF(color_Celda(E1675)=65535,"AMARILLO",IF(color_Celda(E1675)=5296274,"VERDE",IF(color_Celda(E1675)=16777215,"BLANCO","NO SE"))))</f>
        <v>ROSA</v>
      </c>
      <c r="W1675" s="63" t="s">
        <v>1570</v>
      </c>
      <c r="X1675" s="336"/>
      <c r="Y1675" s="336"/>
      <c r="Z1675" s="336" t="s">
        <v>770</v>
      </c>
      <c r="AA1675" s="63" t="s">
        <v>2869</v>
      </c>
      <c r="AB1675" s="63" t="s">
        <v>1171</v>
      </c>
      <c r="AC1675" s="336"/>
    </row>
    <row r="1676" spans="1:29" ht="60" customHeight="1">
      <c r="A1676" s="336">
        <v>1683</v>
      </c>
      <c r="B1676" s="349">
        <v>45356</v>
      </c>
      <c r="C1676" s="568">
        <v>0.48402777777777778</v>
      </c>
      <c r="D1676" s="63" t="s">
        <v>6322</v>
      </c>
      <c r="E1676" s="355" t="s">
        <v>6323</v>
      </c>
      <c r="F1676" s="336">
        <v>6</v>
      </c>
      <c r="G1676" s="336" t="s">
        <v>2752</v>
      </c>
      <c r="H1676" s="349">
        <v>45365</v>
      </c>
      <c r="I1676" s="65" t="s">
        <v>73</v>
      </c>
      <c r="J1676" s="349" t="s">
        <v>33</v>
      </c>
      <c r="K1676" s="336">
        <f>IFERROR(VLOOKUP(J1676,Jueces!$A$1:$B$11,2,FALSE),"")</f>
        <v>4</v>
      </c>
      <c r="L1676" s="63" t="s">
        <v>4788</v>
      </c>
      <c r="M1676" s="63" t="s">
        <v>1866</v>
      </c>
      <c r="N1676" s="63" t="s">
        <v>6658</v>
      </c>
      <c r="O1676" s="63" t="str">
        <f ca="1">IF(H1676&lt;&gt;"",IF(H1676&lt;=TODAY(),"SI","NO"),"LIMBO")</f>
        <v>SI</v>
      </c>
      <c r="P1676" s="63" t="str">
        <f>IF($P$1=H1676,"DIASOL", "DIANOSOL")</f>
        <v>DIANOSOL</v>
      </c>
      <c r="Q1676" s="63" t="s">
        <v>902</v>
      </c>
      <c r="R1676" s="63" t="str">
        <f>VLOOKUP($Q1676,Resultados!$A$1:$B$49,2,FALSE)</f>
        <v>Juicio Abreviado</v>
      </c>
      <c r="S1676" s="63" t="s">
        <v>749</v>
      </c>
      <c r="T1676" s="72" t="str">
        <f>IF(G1676=$J$1,"SI","NO")</f>
        <v>NO</v>
      </c>
      <c r="U1676" s="72"/>
      <c r="V1676" s="7" t="str">
        <f ca="1">IF(color_Celda(E1676)=12106214,"ROSA",IF(color_Celda(E1676)=65535,"AMARILLO",IF(color_Celda(E1676)=5296274,"VERDE",IF(color_Celda(E1676)=16777215,"BLANCO","NO SE"))))</f>
        <v>ROSA</v>
      </c>
      <c r="W1676" s="63" t="s">
        <v>1419</v>
      </c>
      <c r="X1676" s="63" t="s">
        <v>6685</v>
      </c>
      <c r="Y1676" s="336"/>
      <c r="Z1676" s="336" t="s">
        <v>748</v>
      </c>
      <c r="AA1676" s="63" t="s">
        <v>1167</v>
      </c>
      <c r="AB1676" s="63" t="s">
        <v>1173</v>
      </c>
      <c r="AC1676" s="336"/>
    </row>
    <row r="1677" spans="1:29" ht="60" customHeight="1">
      <c r="A1677" s="336">
        <v>1573</v>
      </c>
      <c r="B1677" s="349">
        <v>45336</v>
      </c>
      <c r="C1677" s="63" t="s">
        <v>3309</v>
      </c>
      <c r="D1677" s="63" t="s">
        <v>5989</v>
      </c>
      <c r="E1677" s="355" t="s">
        <v>5990</v>
      </c>
      <c r="F1677" s="336">
        <v>4</v>
      </c>
      <c r="G1677" s="63" t="s">
        <v>2766</v>
      </c>
      <c r="H1677" s="383">
        <v>45365</v>
      </c>
      <c r="I1677" s="65" t="s">
        <v>1083</v>
      </c>
      <c r="J1677" s="65" t="s">
        <v>31</v>
      </c>
      <c r="K1677" s="336">
        <f>IFERROR(VLOOKUP(J1677,Jueces!$A$1:$B$11,2,FALSE),"")</f>
        <v>2</v>
      </c>
      <c r="L1677" s="63" t="s">
        <v>805</v>
      </c>
      <c r="M1677" s="63" t="s">
        <v>694</v>
      </c>
      <c r="N1677" s="63" t="s">
        <v>6682</v>
      </c>
      <c r="O1677" s="63" t="str">
        <f ca="1">IF(H1677&lt;&gt;"",IF(H1677&lt;=TODAY(),"SI","NO"),"LIMBO")</f>
        <v>SI</v>
      </c>
      <c r="P1677" s="63" t="str">
        <f>IF($P$1=H1677,"DIASOL", "DIANOSOL")</f>
        <v>DIANOSOL</v>
      </c>
      <c r="Q1677" s="63" t="s">
        <v>902</v>
      </c>
      <c r="R1677" s="63" t="str">
        <f>VLOOKUP($Q1677,Resultados!$A$1:$B$49,2,FALSE)</f>
        <v>Juicio Abreviado</v>
      </c>
      <c r="S1677" s="63" t="s">
        <v>1248</v>
      </c>
      <c r="T1677" s="72" t="str">
        <f>IF(G1677=$J$1,"SI","NO")</f>
        <v>NO</v>
      </c>
      <c r="U1677" s="72"/>
      <c r="V1677" s="7" t="str">
        <f ca="1">IF(color_Celda(E1677)=12106214,"ROSA",IF(color_Celda(E1677)=65535,"AMARILLO",IF(color_Celda(E1677)=5296274,"VERDE",IF(color_Celda(E1677)=16777215,"BLANCO","NO SE"))))</f>
        <v>ROSA</v>
      </c>
      <c r="W1677" s="63" t="s">
        <v>1225</v>
      </c>
      <c r="X1677" s="336"/>
      <c r="Y1677" s="336"/>
      <c r="Z1677" s="118" t="s">
        <v>770</v>
      </c>
      <c r="AA1677" s="118" t="s">
        <v>2828</v>
      </c>
      <c r="AB1677" s="63" t="s">
        <v>3258</v>
      </c>
      <c r="AC1677" s="336"/>
    </row>
    <row r="1678" spans="1:29" ht="60" customHeight="1">
      <c r="A1678" s="336">
        <v>1658</v>
      </c>
      <c r="B1678" s="349">
        <v>45351</v>
      </c>
      <c r="C1678" s="568">
        <v>0.39930555555555558</v>
      </c>
      <c r="D1678" s="63" t="s">
        <v>6253</v>
      </c>
      <c r="E1678" s="355" t="s">
        <v>6254</v>
      </c>
      <c r="F1678" s="336">
        <v>5</v>
      </c>
      <c r="G1678" s="63" t="s">
        <v>3323</v>
      </c>
      <c r="H1678" s="349">
        <v>45365</v>
      </c>
      <c r="I1678" s="65" t="s">
        <v>1083</v>
      </c>
      <c r="J1678" s="65" t="s">
        <v>1217</v>
      </c>
      <c r="K1678" s="336">
        <f>IFERROR(VLOOKUP(J1678,Jueces!$A$1:$B$11,2,FALSE),"")</f>
        <v>7</v>
      </c>
      <c r="L1678" s="63" t="s">
        <v>4790</v>
      </c>
      <c r="M1678" s="63" t="s">
        <v>3755</v>
      </c>
      <c r="N1678" s="63" t="s">
        <v>5147</v>
      </c>
      <c r="O1678" s="63" t="str">
        <f ca="1">IF(H1678&lt;&gt;"",IF(H1678&lt;=TODAY(),"SI","NO"),"LIMBO")</f>
        <v>SI</v>
      </c>
      <c r="P1678" s="63" t="str">
        <f>IF($P$1=H1678,"DIASOL", "DIANOSOL")</f>
        <v>DIANOSOL</v>
      </c>
      <c r="Q1678" s="63" t="s">
        <v>911</v>
      </c>
      <c r="R1678" s="63" t="str">
        <f>VLOOKUP($Q1678,Resultados!$A$1:$B$49,2,FALSE)</f>
        <v>Prision domiciliaria</v>
      </c>
      <c r="S1678" s="63" t="s">
        <v>1528</v>
      </c>
      <c r="T1678" s="72" t="str">
        <f>IF(G1678=$J$1,"SI","NO")</f>
        <v>NO</v>
      </c>
      <c r="U1678" s="72"/>
      <c r="V1678" s="7" t="str">
        <f ca="1">IF(color_Celda(E1678)=12106214,"ROSA",IF(color_Celda(E1678)=65535,"AMARILLO",IF(color_Celda(E1678)=5296274,"VERDE",IF(color_Celda(E1678)=16777215,"BLANCO","NO SE"))))</f>
        <v>ROSA</v>
      </c>
      <c r="W1678" s="63" t="s">
        <v>3158</v>
      </c>
      <c r="X1678" s="63" t="s">
        <v>6650</v>
      </c>
      <c r="Y1678" s="336"/>
      <c r="Z1678" s="336" t="s">
        <v>743</v>
      </c>
      <c r="AA1678" s="63" t="s">
        <v>3378</v>
      </c>
      <c r="AB1678" s="63" t="s">
        <v>1170</v>
      </c>
      <c r="AC1678" s="336"/>
    </row>
    <row r="1679" spans="1:29" ht="60" customHeight="1">
      <c r="A1679" s="336">
        <v>1681</v>
      </c>
      <c r="B1679" s="349">
        <v>45356</v>
      </c>
      <c r="C1679" s="568">
        <v>0.46319444444444446</v>
      </c>
      <c r="D1679" s="63" t="s">
        <v>6319</v>
      </c>
      <c r="E1679" s="64" t="s">
        <v>6320</v>
      </c>
      <c r="F1679" s="336">
        <v>6</v>
      </c>
      <c r="G1679" s="336" t="s">
        <v>568</v>
      </c>
      <c r="H1679" s="349">
        <v>45365</v>
      </c>
      <c r="I1679" s="349" t="s">
        <v>1083</v>
      </c>
      <c r="J1679" s="349" t="s">
        <v>33</v>
      </c>
      <c r="K1679" s="336">
        <f>IFERROR(VLOOKUP(J1679,Jueces!$A$1:$B$11,2,FALSE),"")</f>
        <v>4</v>
      </c>
      <c r="L1679" s="63" t="s">
        <v>4791</v>
      </c>
      <c r="M1679" s="63" t="s">
        <v>1866</v>
      </c>
      <c r="N1679" s="205" t="s">
        <v>6643</v>
      </c>
      <c r="O1679" s="63" t="str">
        <f ca="1">IF(H1679&lt;&gt;"",IF(H1679&lt;=TODAY(),"SI","NO"),"LIMBO")</f>
        <v>SI</v>
      </c>
      <c r="P1679" s="63" t="str">
        <f>IF($P$1=H1679,"DIASOL", "DIANOSOL")</f>
        <v>DIANOSOL</v>
      </c>
      <c r="Q1679" s="63" t="s">
        <v>151</v>
      </c>
      <c r="R1679" s="63" t="str">
        <f>VLOOKUP($Q1679,Resultados!$A$1:$B$49,2,FALSE)</f>
        <v>Prisión Preventiva</v>
      </c>
      <c r="S1679" s="63" t="s">
        <v>1489</v>
      </c>
      <c r="T1679" s="72" t="str">
        <f>IF(G1679=$J$1,"SI","NO")</f>
        <v>NO</v>
      </c>
      <c r="U1679" s="72"/>
      <c r="V1679" s="7" t="str">
        <f ca="1">IF(color_Celda(E1679)=12106214,"ROSA",IF(color_Celda(E1679)=65535,"AMARILLO",IF(color_Celda(E1679)=5296274,"VERDE",IF(color_Celda(E1679)=16777215,"BLANCO","NO SE"))))</f>
        <v>ROSA</v>
      </c>
      <c r="W1679" s="63" t="s">
        <v>1002</v>
      </c>
      <c r="X1679" s="336"/>
      <c r="Y1679" s="336"/>
      <c r="Z1679" s="336" t="s">
        <v>748</v>
      </c>
      <c r="AA1679" s="63" t="s">
        <v>3379</v>
      </c>
      <c r="AB1679" s="63" t="s">
        <v>3258</v>
      </c>
      <c r="AC1679" s="336"/>
    </row>
    <row r="1680" spans="1:29" ht="60" customHeight="1">
      <c r="A1680" s="336">
        <v>1704</v>
      </c>
      <c r="B1680" s="349">
        <v>45348</v>
      </c>
      <c r="C1680" s="568">
        <v>0.4694444444444445</v>
      </c>
      <c r="D1680" s="336" t="s">
        <v>5799</v>
      </c>
      <c r="E1680" s="355" t="s">
        <v>5800</v>
      </c>
      <c r="F1680" s="336">
        <v>3</v>
      </c>
      <c r="G1680" s="63" t="s">
        <v>1435</v>
      </c>
      <c r="H1680" s="383">
        <v>45365</v>
      </c>
      <c r="I1680" s="65" t="s">
        <v>1206</v>
      </c>
      <c r="J1680" s="65" t="s">
        <v>4746</v>
      </c>
      <c r="K1680" s="63" t="s">
        <v>6374</v>
      </c>
      <c r="L1680" s="63" t="s">
        <v>805</v>
      </c>
      <c r="M1680" s="63" t="s">
        <v>3381</v>
      </c>
      <c r="N1680" s="63" t="s">
        <v>6680</v>
      </c>
      <c r="O1680" s="63" t="str">
        <f ca="1">IF(H1680&lt;&gt;"",IF(H1680&lt;=TODAY(),"SI","NO"),"LIMBO")</f>
        <v>SI</v>
      </c>
      <c r="P1680" s="63" t="str">
        <f>IF($P$1=H1680,"DIASOL", "DIANOSOL")</f>
        <v>DIANOSOL</v>
      </c>
      <c r="Q1680" s="63" t="s">
        <v>151</v>
      </c>
      <c r="R1680" s="63" t="str">
        <f>VLOOKUP($Q1680,Resultados!$A$1:$B$49,2,FALSE)</f>
        <v>Prisión Preventiva</v>
      </c>
      <c r="S1680" s="63" t="s">
        <v>3171</v>
      </c>
      <c r="T1680" s="72" t="str">
        <f>IF(G1680=$J$1,"SI","NO")</f>
        <v>SI</v>
      </c>
      <c r="U1680" s="72"/>
      <c r="V1680" s="7" t="str">
        <f ca="1">IF(color_Celda(E1680)=12106214,"ROSA",IF(color_Celda(E1680)=65535,"AMARILLO",IF(color_Celda(E1680)=5296274,"VERDE",IF(color_Celda(E1680)=16777215,"BLANCO","NO SE"))))</f>
        <v>ROSA</v>
      </c>
      <c r="W1680" s="63" t="s">
        <v>1755</v>
      </c>
      <c r="X1680" s="63" t="s">
        <v>6681</v>
      </c>
      <c r="Y1680" s="336"/>
      <c r="Z1680" s="336" t="s">
        <v>770</v>
      </c>
      <c r="AA1680" s="63" t="s">
        <v>2869</v>
      </c>
      <c r="AB1680" s="63" t="s">
        <v>1171</v>
      </c>
      <c r="AC1680" s="336"/>
    </row>
    <row r="1681" spans="1:29" ht="60" customHeight="1">
      <c r="A1681" s="336">
        <v>1632</v>
      </c>
      <c r="B1681" s="349">
        <v>45345</v>
      </c>
      <c r="C1681" s="568">
        <v>0.47430555555555554</v>
      </c>
      <c r="D1681" s="63" t="s">
        <v>6179</v>
      </c>
      <c r="E1681" s="64" t="s">
        <v>6180</v>
      </c>
      <c r="F1681" s="336">
        <v>4</v>
      </c>
      <c r="G1681" s="63" t="s">
        <v>1434</v>
      </c>
      <c r="H1681" s="383">
        <v>45365</v>
      </c>
      <c r="I1681" s="65" t="s">
        <v>547</v>
      </c>
      <c r="J1681" s="65" t="s">
        <v>31</v>
      </c>
      <c r="K1681" s="63">
        <v>2</v>
      </c>
      <c r="L1681" s="63" t="s">
        <v>1825</v>
      </c>
      <c r="M1681" s="7" t="s">
        <v>4771</v>
      </c>
      <c r="N1681" s="205" t="s">
        <v>6603</v>
      </c>
      <c r="O1681" s="63" t="str">
        <f ca="1">IF(H1681&lt;&gt;"",IF(H1681&lt;=TODAY(),"SI","NO"),"LIMBO")</f>
        <v>SI</v>
      </c>
      <c r="P1681" s="63" t="str">
        <f>IF($P$1=H1681,"DIASOL", "DIANOSOL")</f>
        <v>DIANOSOL</v>
      </c>
      <c r="Q1681" s="63" t="s">
        <v>902</v>
      </c>
      <c r="R1681" s="63" t="str">
        <f>VLOOKUP($Q1681,Resultados!$A$1:$B$49,2,FALSE)</f>
        <v>Juicio Abreviado</v>
      </c>
      <c r="S1681" s="63" t="s">
        <v>1240</v>
      </c>
      <c r="T1681" s="72" t="str">
        <f>IF(G1681=$J$1,"SI","NO")</f>
        <v>NO</v>
      </c>
      <c r="U1681" s="72"/>
      <c r="V1681" s="7" t="str">
        <f ca="1">IF(color_Celda(E1681)=12106214,"ROSA",IF(color_Celda(E1681)=65535,"AMARILLO",IF(color_Celda(E1681)=5296274,"VERDE",IF(color_Celda(E1681)=16777215,"BLANCO","NO SE"))))</f>
        <v>ROSA</v>
      </c>
      <c r="W1681" s="63" t="s">
        <v>3565</v>
      </c>
      <c r="X1681" s="63" t="s">
        <v>6672</v>
      </c>
      <c r="Y1681" s="336"/>
      <c r="Z1681" s="336" t="s">
        <v>748</v>
      </c>
      <c r="AA1681" s="63" t="s">
        <v>2828</v>
      </c>
      <c r="AB1681" s="63" t="s">
        <v>1173</v>
      </c>
      <c r="AC1681" s="336"/>
    </row>
    <row r="1682" spans="1:29" ht="60" customHeight="1">
      <c r="A1682" s="336">
        <v>1718</v>
      </c>
      <c r="B1682" s="349">
        <v>45341</v>
      </c>
      <c r="C1682" s="568">
        <v>0.35000000000000003</v>
      </c>
      <c r="D1682" s="336" t="s">
        <v>6087</v>
      </c>
      <c r="E1682" s="355" t="s">
        <v>6088</v>
      </c>
      <c r="F1682" s="336">
        <v>6</v>
      </c>
      <c r="G1682" s="336" t="s">
        <v>1433</v>
      </c>
      <c r="H1682" s="383">
        <v>45365</v>
      </c>
      <c r="I1682" s="65" t="s">
        <v>2011</v>
      </c>
      <c r="J1682" s="349" t="s">
        <v>31</v>
      </c>
      <c r="K1682" s="336">
        <f>IFERROR(VLOOKUP(J1682,Jueces!$A$1:$B$11,2,FALSE),"")</f>
        <v>2</v>
      </c>
      <c r="L1682" s="63" t="s">
        <v>4791</v>
      </c>
      <c r="M1682" s="63" t="s">
        <v>4772</v>
      </c>
      <c r="N1682" s="63" t="s">
        <v>6679</v>
      </c>
      <c r="O1682" s="63" t="str">
        <f ca="1">IF(H1682&lt;&gt;"",IF(H1682&lt;=TODAY(),"SI","NO"),"LIMBO")</f>
        <v>SI</v>
      </c>
      <c r="P1682" s="63" t="str">
        <f>IF($P$1=H1682,"DIASOL", "DIANOSOL")</f>
        <v>DIANOSOL</v>
      </c>
      <c r="Q1682" s="63" t="s">
        <v>902</v>
      </c>
      <c r="R1682" s="63" t="str">
        <f>VLOOKUP($Q1682,Resultados!$A$1:$B$49,2,FALSE)</f>
        <v>Juicio Abreviado</v>
      </c>
      <c r="S1682" s="63" t="s">
        <v>5577</v>
      </c>
      <c r="T1682" s="72" t="str">
        <f>IF(G1682=$J$1,"SI","NO")</f>
        <v>NO</v>
      </c>
      <c r="U1682" s="72"/>
      <c r="V1682" s="7" t="str">
        <f ca="1">IF(color_Celda(E1682)=12106214,"ROSA",IF(color_Celda(E1682)=65535,"AMARILLO",IF(color_Celda(E1682)=5296274,"VERDE",IF(color_Celda(E1682)=16777215,"BLANCO","NO SE"))))</f>
        <v>ROSA</v>
      </c>
      <c r="W1682" s="63" t="s">
        <v>3265</v>
      </c>
      <c r="X1682" s="336"/>
      <c r="Y1682" s="336"/>
      <c r="Z1682" s="336" t="s">
        <v>3368</v>
      </c>
      <c r="AA1682" s="63" t="s">
        <v>2828</v>
      </c>
      <c r="AB1682" s="63" t="s">
        <v>1170</v>
      </c>
      <c r="AC1682" s="336"/>
    </row>
    <row r="1683" spans="1:29" ht="60" customHeight="1">
      <c r="A1683" s="336">
        <v>1684</v>
      </c>
      <c r="B1683" s="349">
        <v>45356</v>
      </c>
      <c r="C1683" s="568">
        <v>0.53194444444444444</v>
      </c>
      <c r="D1683" s="325" t="s">
        <v>3106</v>
      </c>
      <c r="E1683" s="355" t="s">
        <v>6337</v>
      </c>
      <c r="F1683" s="63">
        <v>1</v>
      </c>
      <c r="G1683" s="63" t="s">
        <v>5710</v>
      </c>
      <c r="H1683" s="349">
        <v>45366</v>
      </c>
      <c r="I1683" s="65" t="s">
        <v>73</v>
      </c>
      <c r="J1683" s="65" t="s">
        <v>33</v>
      </c>
      <c r="K1683" s="336">
        <f>IFERROR(VLOOKUP(J1683,Jueces!$A$1:$B$11,2,FALSE),"")</f>
        <v>4</v>
      </c>
      <c r="L1683" s="63" t="s">
        <v>4790</v>
      </c>
      <c r="M1683" s="356" t="s">
        <v>3381</v>
      </c>
      <c r="N1683" s="205" t="s">
        <v>6676</v>
      </c>
      <c r="O1683" s="63" t="str">
        <f ca="1">IF(H1683&lt;&gt;"",IF(H1683&lt;=TODAY(),"SI","NO"),"LIMBO")</f>
        <v>SI</v>
      </c>
      <c r="P1683" s="63" t="str">
        <f>IF($P$1=H1683,"DIASOL", "DIANOSOL")</f>
        <v>DIANOSOL</v>
      </c>
      <c r="Q1683" s="63" t="s">
        <v>903</v>
      </c>
      <c r="R1683" s="63" t="str">
        <f>VLOOKUP($Q1683,Resultados!$A$1:$B$49,2,FALSE)</f>
        <v>Juicio Abreviado</v>
      </c>
      <c r="S1683" s="63" t="s">
        <v>1287</v>
      </c>
      <c r="T1683" s="72" t="str">
        <f>IF(G1683=$J$1,"SI","NO")</f>
        <v>NO</v>
      </c>
      <c r="U1683" s="72"/>
      <c r="V1683" s="7" t="str">
        <f ca="1">IF(color_Celda(E1683)=12106214,"ROSA",IF(color_Celda(E1683)=65535,"AMARILLO",IF(color_Celda(E1683)=5296274,"VERDE",IF(color_Celda(E1683)=16777215,"BLANCO","NO SE"))))</f>
        <v>ROSA</v>
      </c>
      <c r="W1683" s="63" t="s">
        <v>1489</v>
      </c>
      <c r="X1683" s="63" t="s">
        <v>6614</v>
      </c>
      <c r="Y1683" s="336"/>
      <c r="Z1683" s="336"/>
      <c r="AA1683" s="63" t="s">
        <v>2828</v>
      </c>
      <c r="AB1683" s="336" t="s">
        <v>1170</v>
      </c>
      <c r="AC1683" s="336" t="s">
        <v>1792</v>
      </c>
    </row>
    <row r="1684" spans="1:29" ht="60" customHeight="1">
      <c r="A1684" s="336">
        <v>1691</v>
      </c>
      <c r="B1684" s="349">
        <v>45357</v>
      </c>
      <c r="C1684" s="568">
        <v>0.3840277777777778</v>
      </c>
      <c r="D1684" s="63" t="s">
        <v>6351</v>
      </c>
      <c r="E1684" s="355" t="s">
        <v>6350</v>
      </c>
      <c r="F1684" s="336">
        <v>5</v>
      </c>
      <c r="G1684" s="63" t="s">
        <v>2766</v>
      </c>
      <c r="H1684" s="349">
        <v>45366</v>
      </c>
      <c r="I1684" s="65" t="s">
        <v>73</v>
      </c>
      <c r="J1684" s="65" t="s">
        <v>4932</v>
      </c>
      <c r="K1684" s="63" t="s">
        <v>1982</v>
      </c>
      <c r="L1684" s="63" t="s">
        <v>4791</v>
      </c>
      <c r="M1684" s="63" t="s">
        <v>695</v>
      </c>
      <c r="N1684" s="205" t="s">
        <v>6670</v>
      </c>
      <c r="O1684" s="63" t="str">
        <f ca="1">IF(H1684&lt;&gt;"",IF(H1684&lt;=TODAY(),"SI","NO"),"LIMBO")</f>
        <v>SI</v>
      </c>
      <c r="P1684" s="63" t="str">
        <f>IF($P$1=H1684,"DIASOL", "DIANOSOL")</f>
        <v>DIANOSOL</v>
      </c>
      <c r="Q1684" s="63" t="s">
        <v>151</v>
      </c>
      <c r="R1684" s="63" t="str">
        <f>VLOOKUP($Q1684,Resultados!$A$1:$B$49,2,FALSE)</f>
        <v>Prisión Preventiva</v>
      </c>
      <c r="S1684" s="63" t="s">
        <v>3637</v>
      </c>
      <c r="T1684" s="72" t="str">
        <f>IF(G1684=$J$1,"SI","NO")</f>
        <v>NO</v>
      </c>
      <c r="U1684" s="72"/>
      <c r="V1684" s="7" t="str">
        <f ca="1">IF(color_Celda(E1684)=12106214,"ROSA",IF(color_Celda(E1684)=65535,"AMARILLO",IF(color_Celda(E1684)=5296274,"VERDE",IF(color_Celda(E1684)=16777215,"BLANCO","NO SE"))))</f>
        <v>ROSA</v>
      </c>
      <c r="W1684" s="63" t="s">
        <v>1737</v>
      </c>
      <c r="X1684" s="63" t="s">
        <v>6671</v>
      </c>
      <c r="Y1684" s="336"/>
      <c r="Z1684" s="336"/>
      <c r="AA1684" s="63" t="s">
        <v>1167</v>
      </c>
      <c r="AB1684" s="336" t="s">
        <v>1170</v>
      </c>
      <c r="AC1684" s="336"/>
    </row>
    <row r="1685" spans="1:29" ht="60" customHeight="1">
      <c r="A1685" s="336">
        <v>1695</v>
      </c>
      <c r="B1685" s="349">
        <v>45357</v>
      </c>
      <c r="C1685" s="568">
        <v>0.47361111111111115</v>
      </c>
      <c r="D1685" s="63" t="s">
        <v>6356</v>
      </c>
      <c r="E1685" s="64" t="s">
        <v>6489</v>
      </c>
      <c r="F1685" s="336">
        <v>6</v>
      </c>
      <c r="G1685" s="63" t="s">
        <v>29</v>
      </c>
      <c r="H1685" s="349">
        <v>45366</v>
      </c>
      <c r="I1685" s="65" t="s">
        <v>73</v>
      </c>
      <c r="J1685" s="65" t="s">
        <v>1217</v>
      </c>
      <c r="K1685" s="336">
        <f>IFERROR(VLOOKUP(J1685,Jueces!$A$1:$B$11,2,FALSE),"")</f>
        <v>7</v>
      </c>
      <c r="L1685" s="63" t="s">
        <v>790</v>
      </c>
      <c r="M1685" s="7" t="s">
        <v>4773</v>
      </c>
      <c r="N1685" s="63" t="s">
        <v>1744</v>
      </c>
      <c r="O1685" s="63" t="str">
        <f ca="1">IF(H1685&lt;&gt;"",IF(H1685&lt;=TODAY(),"SI","NO"),"LIMBO")</f>
        <v>SI</v>
      </c>
      <c r="P1685" s="63" t="str">
        <f>IF($P$1=H1685,"DIASOL", "DIANOSOL")</f>
        <v>DIANOSOL</v>
      </c>
      <c r="Q1685" s="63" t="s">
        <v>151</v>
      </c>
      <c r="R1685" s="63" t="str">
        <f>VLOOKUP($Q1685,Resultados!$A$1:$B$49,2,FALSE)</f>
        <v>Prisión Preventiva</v>
      </c>
      <c r="S1685" s="63" t="s">
        <v>1083</v>
      </c>
      <c r="T1685" s="72" t="str">
        <f>IF(G1685=$J$1,"SI","NO")</f>
        <v>NO</v>
      </c>
      <c r="U1685" s="72"/>
      <c r="V1685" s="7" t="str">
        <f ca="1">IF(color_Celda(E1685)=12106214,"ROSA",IF(color_Celda(E1685)=65535,"AMARILLO",IF(color_Celda(E1685)=5296274,"VERDE",IF(color_Celda(E1685)=16777215,"BLANCO","NO SE"))))</f>
        <v>ROSA</v>
      </c>
      <c r="W1685" s="63" t="s">
        <v>1570</v>
      </c>
      <c r="X1685" s="63" t="s">
        <v>6672</v>
      </c>
      <c r="Y1685" s="336"/>
      <c r="Z1685" s="336"/>
      <c r="AA1685" s="63" t="s">
        <v>2828</v>
      </c>
      <c r="AB1685" s="336" t="s">
        <v>1169</v>
      </c>
      <c r="AC1685" s="336"/>
    </row>
    <row r="1686" spans="1:29" ht="60" customHeight="1">
      <c r="A1686" s="336">
        <v>1707</v>
      </c>
      <c r="B1686" s="349">
        <v>45358</v>
      </c>
      <c r="C1686" s="568">
        <v>0.36874999999999997</v>
      </c>
      <c r="D1686" s="336" t="s">
        <v>5837</v>
      </c>
      <c r="E1686" s="355" t="s">
        <v>6273</v>
      </c>
      <c r="F1686" s="336">
        <v>4</v>
      </c>
      <c r="G1686" s="336" t="s">
        <v>3324</v>
      </c>
      <c r="H1686" s="383">
        <v>45366</v>
      </c>
      <c r="I1686" s="65" t="s">
        <v>73</v>
      </c>
      <c r="J1686" s="349" t="s">
        <v>78</v>
      </c>
      <c r="K1686" s="336">
        <f>IFERROR(VLOOKUP(J1686,Jueces!$A$1:$B$11,2,FALSE),"")</f>
        <v>8</v>
      </c>
      <c r="L1686" s="63" t="s">
        <v>802</v>
      </c>
      <c r="M1686" s="335" t="s">
        <v>1408</v>
      </c>
      <c r="N1686" s="63" t="s">
        <v>6674</v>
      </c>
      <c r="O1686" s="63" t="str">
        <f ca="1">IF(H1686&lt;&gt;"",IF(H1686&lt;=TODAY(),"SI","NO"),"LIMBO")</f>
        <v>SI</v>
      </c>
      <c r="P1686" s="63" t="str">
        <f>IF($P$1=H1686,"DIASOL", "DIANOSOL")</f>
        <v>DIANOSOL</v>
      </c>
      <c r="Q1686" s="63" t="s">
        <v>151</v>
      </c>
      <c r="R1686" s="63" t="str">
        <f>VLOOKUP($Q1686,Resultados!$A$1:$B$49,2,FALSE)</f>
        <v>Prisión Preventiva</v>
      </c>
      <c r="S1686" s="63" t="s">
        <v>6673</v>
      </c>
      <c r="T1686" s="72" t="str">
        <f>IF(G1686=$J$1,"SI","NO")</f>
        <v>NO</v>
      </c>
      <c r="U1686" s="72"/>
      <c r="V1686" s="7" t="str">
        <f ca="1">IF(color_Celda(E1686)=12106214,"ROSA",IF(color_Celda(E1686)=65535,"AMARILLO",IF(color_Celda(E1686)=5296274,"VERDE",IF(color_Celda(E1686)=16777215,"BLANCO","NO SE"))))</f>
        <v>ROSA</v>
      </c>
      <c r="W1686" s="63" t="s">
        <v>2688</v>
      </c>
      <c r="X1686" s="63" t="s">
        <v>1746</v>
      </c>
      <c r="Y1686" s="336"/>
      <c r="Z1686" s="336"/>
      <c r="AA1686" s="63" t="s">
        <v>1165</v>
      </c>
      <c r="AB1686" s="336" t="s">
        <v>1171</v>
      </c>
      <c r="AC1686" s="336"/>
    </row>
    <row r="1687" spans="1:29" ht="60" customHeight="1">
      <c r="A1687" s="336">
        <v>1719</v>
      </c>
      <c r="B1687" s="349">
        <v>45344</v>
      </c>
      <c r="C1687" s="568">
        <v>0.3923611111111111</v>
      </c>
      <c r="D1687" s="336" t="s">
        <v>6144</v>
      </c>
      <c r="E1687" s="355" t="s">
        <v>6145</v>
      </c>
      <c r="F1687" s="336">
        <v>2</v>
      </c>
      <c r="G1687" s="63" t="s">
        <v>2815</v>
      </c>
      <c r="H1687" s="383">
        <v>45366</v>
      </c>
      <c r="I1687" s="65" t="s">
        <v>1083</v>
      </c>
      <c r="J1687" s="65" t="s">
        <v>31</v>
      </c>
      <c r="K1687" s="336">
        <f>IFERROR(VLOOKUP(J1687,Jueces!$A$1:$B$11,2,FALSE),"")</f>
        <v>2</v>
      </c>
      <c r="L1687" s="63" t="s">
        <v>2077</v>
      </c>
      <c r="M1687" s="63" t="s">
        <v>711</v>
      </c>
      <c r="N1687" s="63" t="s">
        <v>6669</v>
      </c>
      <c r="O1687" s="63" t="str">
        <f ca="1">IF(H1687&lt;&gt;"",IF(H1687&lt;=TODAY(),"SI","NO"),"LIMBO")</f>
        <v>SI</v>
      </c>
      <c r="P1687" s="63" t="str">
        <f>IF($P$1=H1687,"DIASOL", "DIANOSOL")</f>
        <v>DIANOSOL</v>
      </c>
      <c r="Q1687" s="63" t="s">
        <v>151</v>
      </c>
      <c r="R1687" s="63" t="str">
        <f>VLOOKUP($Q1687,Resultados!$A$1:$B$49,2,FALSE)</f>
        <v>Prisión Preventiva</v>
      </c>
      <c r="S1687" s="63" t="s">
        <v>76</v>
      </c>
      <c r="T1687" s="72" t="str">
        <f>IF(G1687=$J$1,"SI","NO")</f>
        <v>NO</v>
      </c>
      <c r="U1687" s="72"/>
      <c r="V1687" s="7" t="str">
        <f ca="1">IF(color_Celda(E1687)=12106214,"ROSA",IF(color_Celda(E1687)=65535,"AMARILLO",IF(color_Celda(E1687)=5296274,"VERDE",IF(color_Celda(E1687)=16777215,"BLANCO","NO SE"))))</f>
        <v>ROSA</v>
      </c>
      <c r="W1687" s="63" t="s">
        <v>1185</v>
      </c>
      <c r="X1687" s="336"/>
      <c r="Y1687" s="336"/>
      <c r="Z1687" s="336"/>
      <c r="AA1687" s="63" t="s">
        <v>2869</v>
      </c>
      <c r="AB1687" s="336" t="s">
        <v>1173</v>
      </c>
      <c r="AC1687" s="336"/>
    </row>
    <row r="1688" spans="1:29" ht="60" customHeight="1">
      <c r="A1688" s="336">
        <v>1685</v>
      </c>
      <c r="B1688" s="349">
        <v>45356</v>
      </c>
      <c r="C1688" s="568">
        <v>0.50347222222222221</v>
      </c>
      <c r="D1688" s="63" t="s">
        <v>6324</v>
      </c>
      <c r="E1688" s="64" t="s">
        <v>6325</v>
      </c>
      <c r="F1688" s="336">
        <v>5</v>
      </c>
      <c r="G1688" s="63" t="s">
        <v>2752</v>
      </c>
      <c r="H1688" s="349">
        <v>45366</v>
      </c>
      <c r="I1688" s="65" t="s">
        <v>1083</v>
      </c>
      <c r="J1688" s="65" t="s">
        <v>35</v>
      </c>
      <c r="K1688" s="336">
        <f>IFERROR(VLOOKUP(J1688,Jueces!$A$1:$B$11,2,FALSE),"")</f>
        <v>3</v>
      </c>
      <c r="L1688" s="63" t="s">
        <v>4788</v>
      </c>
      <c r="M1688" s="63" t="s">
        <v>1866</v>
      </c>
      <c r="N1688" s="205" t="s">
        <v>6675</v>
      </c>
      <c r="O1688" s="63" t="str">
        <f ca="1">IF(H1688&lt;&gt;"",IF(H1688&lt;=TODAY(),"SI","NO"),"LIMBO")</f>
        <v>SI</v>
      </c>
      <c r="P1688" s="63" t="str">
        <f>IF($P$1=H1688,"DIASOL", "DIANOSOL")</f>
        <v>DIANOSOL</v>
      </c>
      <c r="Q1688" s="63" t="s">
        <v>902</v>
      </c>
      <c r="R1688" s="63" t="str">
        <f>VLOOKUP($Q1688,Resultados!$A$1:$B$49,2,FALSE)</f>
        <v>Juicio Abreviado</v>
      </c>
      <c r="S1688" s="63" t="s">
        <v>1164</v>
      </c>
      <c r="T1688" s="72" t="str">
        <f>IF(G1688=$J$1,"SI","NO")</f>
        <v>NO</v>
      </c>
      <c r="U1688" s="72"/>
      <c r="V1688" s="7" t="str">
        <f ca="1">IF(color_Celda(E1688)=12106214,"ROSA",IF(color_Celda(E1688)=65535,"AMARILLO",IF(color_Celda(E1688)=5296274,"VERDE",IF(color_Celda(E1688)=16777215,"BLANCO","NO SE"))))</f>
        <v>ROSA</v>
      </c>
      <c r="W1688" s="63" t="s">
        <v>1601</v>
      </c>
      <c r="X1688" s="392"/>
      <c r="Y1688" s="336"/>
      <c r="Z1688" s="336"/>
      <c r="AA1688" s="63" t="s">
        <v>2869</v>
      </c>
      <c r="AB1688" s="336" t="s">
        <v>1169</v>
      </c>
      <c r="AC1688" s="336"/>
    </row>
    <row r="1689" spans="1:29" ht="60" customHeight="1">
      <c r="A1689" s="336">
        <v>1690</v>
      </c>
      <c r="B1689" s="349">
        <v>45357</v>
      </c>
      <c r="C1689" s="63" t="s">
        <v>6345</v>
      </c>
      <c r="D1689" s="63" t="s">
        <v>6346</v>
      </c>
      <c r="E1689" s="64" t="s">
        <v>6347</v>
      </c>
      <c r="F1689" s="336">
        <v>5</v>
      </c>
      <c r="G1689" s="63" t="s">
        <v>283</v>
      </c>
      <c r="H1689" s="349">
        <v>45366</v>
      </c>
      <c r="I1689" s="65" t="s">
        <v>1083</v>
      </c>
      <c r="J1689" s="65" t="s">
        <v>4931</v>
      </c>
      <c r="K1689" s="63" t="s">
        <v>1982</v>
      </c>
      <c r="L1689" s="63" t="s">
        <v>4791</v>
      </c>
      <c r="M1689" s="63" t="s">
        <v>3755</v>
      </c>
      <c r="N1689" s="63" t="s">
        <v>6667</v>
      </c>
      <c r="O1689" s="63" t="str">
        <f ca="1">IF(H1689&lt;&gt;"",IF(H1689&lt;=TODAY(),"SI","NO"),"LIMBO")</f>
        <v>SI</v>
      </c>
      <c r="P1689" s="63" t="str">
        <f>IF($P$1=H1689,"DIASOL", "DIANOSOL")</f>
        <v>DIANOSOL</v>
      </c>
      <c r="Q1689" s="63" t="s">
        <v>902</v>
      </c>
      <c r="R1689" s="63" t="str">
        <f>VLOOKUP($Q1689,Resultados!$A$1:$B$49,2,FALSE)</f>
        <v>Juicio Abreviado</v>
      </c>
      <c r="S1689" s="63" t="s">
        <v>1502</v>
      </c>
      <c r="T1689" s="72" t="str">
        <f>IF(G1689=$J$1,"SI","NO")</f>
        <v>NO</v>
      </c>
      <c r="U1689" s="72"/>
      <c r="V1689" s="7" t="str">
        <f ca="1">IF(color_Celda(E1689)=12106214,"ROSA",IF(color_Celda(E1689)=65535,"AMARILLO",IF(color_Celda(E1689)=5296274,"VERDE",IF(color_Celda(E1689)=16777215,"BLANCO","NO SE"))))</f>
        <v>ROSA</v>
      </c>
      <c r="W1689" s="63" t="s">
        <v>4531</v>
      </c>
      <c r="X1689" s="390" t="s">
        <v>6668</v>
      </c>
      <c r="Y1689" s="336"/>
      <c r="Z1689" s="336"/>
      <c r="AA1689" s="63" t="s">
        <v>1167</v>
      </c>
      <c r="AB1689" s="336" t="s">
        <v>1171</v>
      </c>
      <c r="AC1689" s="336"/>
    </row>
    <row r="1690" spans="1:29" ht="60" customHeight="1">
      <c r="A1690" s="336">
        <v>1697</v>
      </c>
      <c r="B1690" s="349">
        <v>45357</v>
      </c>
      <c r="C1690" s="568">
        <v>0.45763888888888887</v>
      </c>
      <c r="D1690" s="63" t="s">
        <v>6370</v>
      </c>
      <c r="E1690" s="64" t="s">
        <v>6359</v>
      </c>
      <c r="F1690" s="336">
        <v>5</v>
      </c>
      <c r="G1690" s="63" t="s">
        <v>1434</v>
      </c>
      <c r="H1690" s="349">
        <v>45366</v>
      </c>
      <c r="I1690" s="65" t="s">
        <v>1083</v>
      </c>
      <c r="J1690" s="65" t="s">
        <v>1217</v>
      </c>
      <c r="K1690" s="336">
        <f>IFERROR(VLOOKUP(J1690,Jueces!$A$1:$B$11,2,FALSE),"")</f>
        <v>7</v>
      </c>
      <c r="L1690" s="63" t="s">
        <v>4766</v>
      </c>
      <c r="M1690" s="356" t="s">
        <v>6360</v>
      </c>
      <c r="N1690" s="63" t="s">
        <v>6665</v>
      </c>
      <c r="O1690" s="63" t="str">
        <f ca="1">IF(H1690&lt;&gt;"",IF(H1690&lt;=TODAY(),"SI","NO"),"LIMBO")</f>
        <v>SI</v>
      </c>
      <c r="P1690" s="63" t="str">
        <f>IF($P$1=H1690,"DIASOL", "DIANOSOL")</f>
        <v>DIANOSOL</v>
      </c>
      <c r="Q1690" s="63" t="s">
        <v>911</v>
      </c>
      <c r="R1690" s="63" t="str">
        <f>VLOOKUP($Q1690,Resultados!$A$1:$B$49,2,FALSE)</f>
        <v>Prision domiciliaria</v>
      </c>
      <c r="S1690" s="63" t="s">
        <v>1226</v>
      </c>
      <c r="T1690" s="72" t="str">
        <f>IF(G1690=$J$1,"SI","NO")</f>
        <v>NO</v>
      </c>
      <c r="U1690" s="72"/>
      <c r="V1690" s="7" t="str">
        <f ca="1">IF(color_Celda(E1690)=12106214,"ROSA",IF(color_Celda(E1690)=65535,"AMARILLO",IF(color_Celda(E1690)=5296274,"VERDE",IF(color_Celda(E1690)=16777215,"BLANCO","NO SE"))))</f>
        <v>ROSA</v>
      </c>
      <c r="W1690" s="63" t="s">
        <v>1458</v>
      </c>
      <c r="X1690" s="245" t="s">
        <v>6666</v>
      </c>
      <c r="Y1690" s="336"/>
      <c r="Z1690" s="336"/>
      <c r="AA1690" s="63" t="s">
        <v>2828</v>
      </c>
      <c r="AB1690" s="336" t="s">
        <v>3258</v>
      </c>
      <c r="AC1690" s="336"/>
    </row>
    <row r="1691" spans="1:29" ht="60" customHeight="1">
      <c r="A1691" s="336">
        <v>1687</v>
      </c>
      <c r="B1691" s="349">
        <v>45357</v>
      </c>
      <c r="C1691" s="568">
        <v>0.33333333333333331</v>
      </c>
      <c r="D1691" s="63" t="s">
        <v>6339</v>
      </c>
      <c r="E1691" s="64" t="s">
        <v>6340</v>
      </c>
      <c r="F1691" s="336">
        <v>6</v>
      </c>
      <c r="G1691" s="63" t="s">
        <v>3323</v>
      </c>
      <c r="H1691" s="349">
        <v>45366</v>
      </c>
      <c r="I1691" s="65" t="s">
        <v>1206</v>
      </c>
      <c r="J1691" s="65" t="s">
        <v>78</v>
      </c>
      <c r="K1691" s="336">
        <f>IFERROR(VLOOKUP(J1691,Jueces!$A$1:$B$11,2,FALSE),"")</f>
        <v>8</v>
      </c>
      <c r="L1691" s="63" t="s">
        <v>4781</v>
      </c>
      <c r="M1691" s="63" t="s">
        <v>1956</v>
      </c>
      <c r="N1691" s="63" t="s">
        <v>1744</v>
      </c>
      <c r="O1691" s="63" t="str">
        <f ca="1">IF(H1691&lt;&gt;"",IF(H1691&lt;=TODAY(),"SI","NO"),"LIMBO")</f>
        <v>SI</v>
      </c>
      <c r="P1691" s="63" t="str">
        <f>IF($P$1=H1691,"DIASOL", "DIANOSOL")</f>
        <v>DIANOSOL</v>
      </c>
      <c r="Q1691" s="63" t="s">
        <v>151</v>
      </c>
      <c r="R1691" s="63" t="str">
        <f>VLOOKUP($Q1691,Resultados!$A$1:$B$49,2,FALSE)</f>
        <v>Prisión Preventiva</v>
      </c>
      <c r="S1691" s="63" t="s">
        <v>3157</v>
      </c>
      <c r="T1691" s="72" t="str">
        <f>IF(G1691=$J$1,"SI","NO")</f>
        <v>NO</v>
      </c>
      <c r="U1691" s="72"/>
      <c r="V1691" s="7" t="str">
        <f ca="1">IF(color_Celda(E1691)=12106214,"ROSA",IF(color_Celda(E1691)=65535,"AMARILLO",IF(color_Celda(E1691)=5296274,"VERDE",IF(color_Celda(E1691)=16777215,"BLANCO","NO SE"))))</f>
        <v>ROSA</v>
      </c>
      <c r="W1691" s="63" t="s">
        <v>987</v>
      </c>
      <c r="X1691" s="7" t="s">
        <v>6614</v>
      </c>
      <c r="Y1691" s="336"/>
      <c r="Z1691" s="336"/>
      <c r="AA1691" s="63" t="s">
        <v>3378</v>
      </c>
      <c r="AB1691" s="336" t="s">
        <v>3258</v>
      </c>
      <c r="AC1691" s="336"/>
    </row>
    <row r="1692" spans="1:29" ht="60" customHeight="1">
      <c r="A1692" s="336">
        <v>1692</v>
      </c>
      <c r="B1692" s="349">
        <v>45357</v>
      </c>
      <c r="C1692" s="568">
        <v>0.39374999999999999</v>
      </c>
      <c r="D1692" s="63" t="s">
        <v>6352</v>
      </c>
      <c r="E1692" s="64" t="s">
        <v>6353</v>
      </c>
      <c r="F1692" s="336">
        <v>5</v>
      </c>
      <c r="G1692" s="63" t="s">
        <v>1433</v>
      </c>
      <c r="H1692" s="349">
        <v>45366</v>
      </c>
      <c r="I1692" s="65" t="s">
        <v>3171</v>
      </c>
      <c r="J1692" s="65" t="s">
        <v>31</v>
      </c>
      <c r="K1692" s="336">
        <f>IFERROR(VLOOKUP(J1692,Jueces!$A$1:$B$11,2,FALSE),"")</f>
        <v>2</v>
      </c>
      <c r="L1692" s="63" t="s">
        <v>4781</v>
      </c>
      <c r="M1692" s="63" t="s">
        <v>1866</v>
      </c>
      <c r="N1692" s="63" t="s">
        <v>4169</v>
      </c>
      <c r="O1692" s="63" t="str">
        <f ca="1">IF(H1692&lt;&gt;"",IF(H1692&lt;=TODAY(),"SI","NO"),"LIMBO")</f>
        <v>SI</v>
      </c>
      <c r="P1692" s="63" t="str">
        <f>IF($P$1=H1692,"DIASOL", "DIANOSOL")</f>
        <v>DIANOSOL</v>
      </c>
      <c r="Q1692" s="63" t="s">
        <v>903</v>
      </c>
      <c r="R1692" s="63" t="str">
        <f>VLOOKUP($Q1692,Resultados!$A$1:$B$49,2,FALSE)</f>
        <v>Juicio Abreviado</v>
      </c>
      <c r="S1692" s="63" t="s">
        <v>1745</v>
      </c>
      <c r="T1692" s="72" t="str">
        <f>IF(G1692=$J$1,"SI","NO")</f>
        <v>NO</v>
      </c>
      <c r="U1692" s="72"/>
      <c r="V1692" s="7" t="str">
        <f ca="1">IF(color_Celda(E1692)=12106214,"ROSA",IF(color_Celda(E1692)=65535,"AMARILLO",IF(color_Celda(E1692)=5296274,"VERDE",IF(color_Celda(E1692)=16777215,"BLANCO","NO SE"))))</f>
        <v>ROSA</v>
      </c>
      <c r="W1692" s="63" t="s">
        <v>5069</v>
      </c>
      <c r="X1692" s="169" t="s">
        <v>6664</v>
      </c>
      <c r="Y1692" s="336"/>
      <c r="Z1692" s="336"/>
      <c r="AA1692" s="63" t="s">
        <v>3378</v>
      </c>
      <c r="AB1692" s="336" t="s">
        <v>1173</v>
      </c>
      <c r="AC1692" s="336"/>
    </row>
    <row r="1693" spans="1:29" ht="60" customHeight="1">
      <c r="A1693" s="336">
        <v>1675</v>
      </c>
      <c r="B1693" s="349">
        <v>45355</v>
      </c>
      <c r="C1693" s="568">
        <v>0.49305555555555558</v>
      </c>
      <c r="D1693" s="63" t="s">
        <v>6307</v>
      </c>
      <c r="E1693" s="64" t="s">
        <v>6308</v>
      </c>
      <c r="F1693" s="336">
        <v>7</v>
      </c>
      <c r="G1693" s="336" t="s">
        <v>2815</v>
      </c>
      <c r="H1693" s="349">
        <v>45366</v>
      </c>
      <c r="I1693" s="65" t="s">
        <v>228</v>
      </c>
      <c r="J1693" s="349" t="s">
        <v>78</v>
      </c>
      <c r="K1693" s="336">
        <v>8</v>
      </c>
      <c r="L1693" s="63" t="s">
        <v>582</v>
      </c>
      <c r="M1693" s="63" t="s">
        <v>695</v>
      </c>
      <c r="N1693" s="63" t="s">
        <v>6677</v>
      </c>
      <c r="O1693" s="63" t="str">
        <f ca="1">IF(H1693&lt;&gt;"",IF(H1693&lt;=TODAY(),"SI","NO"),"LIMBO")</f>
        <v>SI</v>
      </c>
      <c r="P1693" s="63" t="str">
        <f>IF($P$1=H1693,"DIASOL", "DIANOSOL")</f>
        <v>DIANOSOL</v>
      </c>
      <c r="Q1693" s="63" t="s">
        <v>902</v>
      </c>
      <c r="R1693" s="63" t="str">
        <f>VLOOKUP($Q1693,Resultados!$A$1:$B$49,2,FALSE)</f>
        <v>Juicio Abreviado</v>
      </c>
      <c r="S1693" s="63" t="s">
        <v>1123</v>
      </c>
      <c r="T1693" s="72" t="str">
        <f>IF(G1693=$J$1,"SI","NO")</f>
        <v>NO</v>
      </c>
      <c r="U1693" s="72"/>
      <c r="V1693" s="7" t="str">
        <f ca="1">IF(color_Celda(E1693)=12106214,"ROSA",IF(color_Celda(E1693)=65535,"AMARILLO",IF(color_Celda(E1693)=5296274,"VERDE",IF(color_Celda(E1693)=16777215,"BLANCO","NO SE"))))</f>
        <v>ROSA</v>
      </c>
      <c r="W1693" s="63" t="s">
        <v>6662</v>
      </c>
      <c r="X1693" s="336"/>
      <c r="Y1693" s="336"/>
      <c r="Z1693" s="336" t="s">
        <v>3368</v>
      </c>
      <c r="AA1693" s="63"/>
      <c r="AB1693" s="63" t="s">
        <v>1169</v>
      </c>
      <c r="AC1693" s="336"/>
    </row>
    <row r="1694" spans="1:29" ht="60" customHeight="1">
      <c r="A1694" s="336">
        <v>1743</v>
      </c>
      <c r="B1694" s="349">
        <v>45327</v>
      </c>
      <c r="C1694" s="568">
        <v>0.40625</v>
      </c>
      <c r="D1694" s="336" t="s">
        <v>5753</v>
      </c>
      <c r="E1694" s="355" t="s">
        <v>5752</v>
      </c>
      <c r="F1694" s="336">
        <v>3</v>
      </c>
      <c r="G1694" s="336" t="s">
        <v>3324</v>
      </c>
      <c r="H1694" s="383">
        <v>45366</v>
      </c>
      <c r="I1694" s="65" t="s">
        <v>6467</v>
      </c>
      <c r="J1694" s="349" t="s">
        <v>1217</v>
      </c>
      <c r="K1694" s="63" t="s">
        <v>3448</v>
      </c>
      <c r="L1694" s="63" t="s">
        <v>4790</v>
      </c>
      <c r="M1694" s="7" t="s">
        <v>4512</v>
      </c>
      <c r="N1694" s="63" t="s">
        <v>6678</v>
      </c>
      <c r="O1694" s="63" t="str">
        <f ca="1">IF(H1694&lt;&gt;"",IF(H1694&lt;=TODAY(),"SI","NO"),"LIMBO")</f>
        <v>SI</v>
      </c>
      <c r="P1694" s="63" t="str">
        <f>IF($P$1=H1694,"DIASOL", "DIANOSOL")</f>
        <v>DIANOSOL</v>
      </c>
      <c r="Q1694" s="63" t="s">
        <v>903</v>
      </c>
      <c r="R1694" s="63" t="str">
        <f>VLOOKUP($Q1694,Resultados!$A$1:$B$49,2,FALSE)</f>
        <v>Juicio Abreviado</v>
      </c>
      <c r="S1694" s="63"/>
      <c r="T1694" s="72" t="str">
        <f>IF(G1694=$J$1,"SI","NO")</f>
        <v>NO</v>
      </c>
      <c r="U1694" s="72"/>
      <c r="V1694" s="7" t="str">
        <f ca="1">IF(color_Celda(E1694)=12106214,"ROSA",IF(color_Celda(E1694)=65535,"AMARILLO",IF(color_Celda(E1694)=5296274,"VERDE",IF(color_Celda(E1694)=16777215,"BLANCO","NO SE"))))</f>
        <v>ROSA</v>
      </c>
      <c r="W1694" s="63"/>
      <c r="X1694" s="7" t="s">
        <v>6663</v>
      </c>
      <c r="Y1694" s="336"/>
      <c r="Z1694" s="336"/>
      <c r="AA1694" s="63" t="s">
        <v>1167</v>
      </c>
      <c r="AB1694" s="336" t="s">
        <v>3258</v>
      </c>
      <c r="AC1694" s="336"/>
    </row>
    <row r="1695" spans="1:29" ht="60" customHeight="1">
      <c r="A1695" s="336">
        <v>1688</v>
      </c>
      <c r="B1695" s="349">
        <v>45357</v>
      </c>
      <c r="C1695" s="568">
        <v>0.33333333333333331</v>
      </c>
      <c r="D1695" s="63" t="s">
        <v>6342</v>
      </c>
      <c r="E1695" s="355" t="s">
        <v>6341</v>
      </c>
      <c r="F1695" s="336">
        <v>6</v>
      </c>
      <c r="G1695" s="63" t="s">
        <v>3791</v>
      </c>
      <c r="H1695" s="349">
        <v>45369</v>
      </c>
      <c r="I1695" s="65" t="s">
        <v>73</v>
      </c>
      <c r="J1695" s="65" t="s">
        <v>78</v>
      </c>
      <c r="K1695" s="336">
        <f>IFERROR(VLOOKUP(J1695,Jueces!$A$1:$B$11,2,FALSE),"")</f>
        <v>8</v>
      </c>
      <c r="L1695" s="63" t="s">
        <v>2077</v>
      </c>
      <c r="M1695" s="63" t="s">
        <v>6626</v>
      </c>
      <c r="N1695" s="63" t="s">
        <v>6627</v>
      </c>
      <c r="O1695" s="78" t="str">
        <f ca="1">IF(H1695&lt;&gt;"",IF(H1695&lt;=TODAY(),"SI","NO"),"LIMBO")</f>
        <v>SI</v>
      </c>
      <c r="P1695" s="78" t="str">
        <f>IF($P$1=H1695,"DIASOL", "DIANOSOL")</f>
        <v>DIANOSOL</v>
      </c>
      <c r="Q1695" s="63" t="s">
        <v>151</v>
      </c>
      <c r="R1695" s="63" t="str">
        <f>VLOOKUP($Q1695,Resultados!$A$1:$B$49,2,FALSE)</f>
        <v>Prisión Preventiva</v>
      </c>
      <c r="S1695" s="70">
        <v>0.35902777777777778</v>
      </c>
      <c r="T1695" s="81" t="str">
        <f>IF(G1695=$J$1,"SI","NO")</f>
        <v>NO</v>
      </c>
      <c r="U1695" s="81"/>
      <c r="V1695" s="7" t="str">
        <f ca="1">IF(color_Celda(E1695)=12106214,"ROSA",IF(color_Celda(E1695)=65535,"AMARILLO",IF(color_Celda(E1695)=5296274,"VERDE",IF(color_Celda(E1695)=16777215,"BLANCO","NO SE"))))</f>
        <v>ROSA</v>
      </c>
      <c r="W1695" s="63" t="s">
        <v>1206</v>
      </c>
      <c r="X1695" s="391" t="s">
        <v>6628</v>
      </c>
      <c r="Y1695" s="336"/>
      <c r="Z1695" s="118" t="s">
        <v>748</v>
      </c>
      <c r="AA1695" s="118" t="s">
        <v>3378</v>
      </c>
      <c r="AB1695" s="118" t="s">
        <v>1173</v>
      </c>
      <c r="AC1695" s="336"/>
    </row>
    <row r="1696" spans="1:29" ht="60" customHeight="1">
      <c r="A1696" s="336">
        <v>1694</v>
      </c>
      <c r="B1696" s="349">
        <v>45357</v>
      </c>
      <c r="C1696" s="568">
        <v>0.4284722222222222</v>
      </c>
      <c r="D1696" s="63" t="s">
        <v>6354</v>
      </c>
      <c r="E1696" s="64" t="s">
        <v>6355</v>
      </c>
      <c r="F1696" s="336">
        <v>5</v>
      </c>
      <c r="G1696" s="63" t="s">
        <v>3323</v>
      </c>
      <c r="H1696" s="349">
        <v>45369</v>
      </c>
      <c r="I1696" s="65" t="s">
        <v>73</v>
      </c>
      <c r="J1696" s="65" t="s">
        <v>31</v>
      </c>
      <c r="K1696" s="336">
        <f>IFERROR(VLOOKUP(J1696,Jueces!$A$1:$B$11,2,FALSE),"")</f>
        <v>2</v>
      </c>
      <c r="L1696" s="63" t="s">
        <v>4788</v>
      </c>
      <c r="M1696" s="63" t="s">
        <v>3755</v>
      </c>
      <c r="N1696" s="205" t="s">
        <v>4718</v>
      </c>
      <c r="O1696" s="78" t="str">
        <f ca="1">IF(H1696&lt;&gt;"",IF(H1696&lt;=TODAY(),"SI","NO"),"LIMBO")</f>
        <v>SI</v>
      </c>
      <c r="P1696" s="78" t="str">
        <f>IF($P$1=H1696,"DIASOL", "DIANOSOL")</f>
        <v>DIANOSOL</v>
      </c>
      <c r="Q1696" s="63" t="s">
        <v>907</v>
      </c>
      <c r="R1696" s="63" t="str">
        <f>VLOOKUP($Q1696,Resultados!$A$1:$B$49,2,FALSE)</f>
        <v>Suspensión de juicio a prueba</v>
      </c>
      <c r="S1696" s="63" t="s">
        <v>679</v>
      </c>
      <c r="T1696" s="81" t="str">
        <f>IF(G1696=$J$1,"SI","NO")</f>
        <v>NO</v>
      </c>
      <c r="U1696" s="81"/>
      <c r="V1696" s="7" t="str">
        <f ca="1">IF(color_Celda(E1696)=12106214,"ROSA",IF(color_Celda(E1696)=65535,"AMARILLO",IF(color_Celda(E1696)=5296274,"VERDE",IF(color_Celda(E1696)=16777215,"BLANCO","NO SE"))))</f>
        <v>ROSA</v>
      </c>
      <c r="W1696" s="63" t="s">
        <v>1016</v>
      </c>
      <c r="X1696" s="169" t="s">
        <v>6629</v>
      </c>
      <c r="Y1696" s="336"/>
      <c r="Z1696" s="118" t="s">
        <v>743</v>
      </c>
      <c r="AA1696" s="118" t="s">
        <v>1165</v>
      </c>
      <c r="AB1696" s="118" t="s">
        <v>1169</v>
      </c>
      <c r="AC1696" s="336"/>
    </row>
    <row r="1697" spans="1:29" ht="60" customHeight="1">
      <c r="A1697" s="336">
        <v>1696</v>
      </c>
      <c r="B1697" s="349">
        <v>45357</v>
      </c>
      <c r="C1697" s="568">
        <v>0.48958333333333331</v>
      </c>
      <c r="D1697" s="63" t="s">
        <v>3668</v>
      </c>
      <c r="E1697" s="64" t="s">
        <v>6357</v>
      </c>
      <c r="F1697" s="336">
        <v>7</v>
      </c>
      <c r="G1697" s="336" t="s">
        <v>568</v>
      </c>
      <c r="H1697" s="349">
        <v>45369</v>
      </c>
      <c r="I1697" s="65" t="s">
        <v>73</v>
      </c>
      <c r="J1697" s="349" t="s">
        <v>35</v>
      </c>
      <c r="K1697" s="336">
        <v>3</v>
      </c>
      <c r="L1697" s="63" t="s">
        <v>582</v>
      </c>
      <c r="M1697" s="337" t="s">
        <v>2103</v>
      </c>
      <c r="N1697" s="63" t="s">
        <v>6630</v>
      </c>
      <c r="O1697" s="78" t="str">
        <f ca="1">IF(H1697&lt;&gt;"",IF(H1697&lt;=TODAY(),"SI","NO"),"LIMBO")</f>
        <v>SI</v>
      </c>
      <c r="P1697" s="78" t="str">
        <f>IF($P$1=H1697,"DIASOL", "DIANOSOL")</f>
        <v>DIANOSOL</v>
      </c>
      <c r="Q1697" s="63" t="s">
        <v>903</v>
      </c>
      <c r="R1697" s="63" t="str">
        <f>VLOOKUP($Q1697,Resultados!$A$1:$B$49,2,FALSE)</f>
        <v>Juicio Abreviado</v>
      </c>
      <c r="S1697" s="63" t="s">
        <v>1287</v>
      </c>
      <c r="T1697" s="81" t="str">
        <f>IF(G1697=$J$1,"SI","NO")</f>
        <v>NO</v>
      </c>
      <c r="U1697" s="81"/>
      <c r="V1697" s="7" t="str">
        <f ca="1">IF(color_Celda(E1697)=12106214,"ROSA",IF(color_Celda(E1697)=65535,"AMARILLO",IF(color_Celda(E1697)=5296274,"VERDE",IF(color_Celda(E1697)=16777215,"BLANCO","NO SE"))))</f>
        <v>ROSA</v>
      </c>
      <c r="W1697" s="63" t="s">
        <v>1013</v>
      </c>
      <c r="X1697" s="63" t="s">
        <v>6614</v>
      </c>
      <c r="Y1697" s="336"/>
      <c r="Z1697" s="118" t="s">
        <v>770</v>
      </c>
      <c r="AA1697" s="118"/>
      <c r="AB1697" s="118" t="s">
        <v>1170</v>
      </c>
      <c r="AC1697" s="336"/>
    </row>
    <row r="1698" spans="1:29" ht="60" customHeight="1">
      <c r="A1698" s="336">
        <v>1728</v>
      </c>
      <c r="B1698" s="349">
        <v>45344</v>
      </c>
      <c r="C1698" s="568">
        <v>0.39305555555555555</v>
      </c>
      <c r="D1698" s="336" t="s">
        <v>3490</v>
      </c>
      <c r="E1698" s="355" t="s">
        <v>3427</v>
      </c>
      <c r="F1698" s="336">
        <v>2</v>
      </c>
      <c r="G1698" s="336" t="s">
        <v>29</v>
      </c>
      <c r="H1698" s="383">
        <v>45369</v>
      </c>
      <c r="I1698" s="65" t="s">
        <v>1083</v>
      </c>
      <c r="J1698" s="349" t="s">
        <v>4931</v>
      </c>
      <c r="K1698" s="63" t="s">
        <v>1512</v>
      </c>
      <c r="L1698" s="63" t="s">
        <v>2077</v>
      </c>
      <c r="M1698" s="63" t="s">
        <v>1025</v>
      </c>
      <c r="N1698" s="63" t="s">
        <v>6620</v>
      </c>
      <c r="O1698" s="78" t="str">
        <f ca="1">IF(H1698&lt;&gt;"",IF(H1698&lt;=TODAY(),"SI","NO"),"LIMBO")</f>
        <v>SI</v>
      </c>
      <c r="P1698" s="78" t="str">
        <f>IF($P$1=H1698,"DIASOL", "DIANOSOL")</f>
        <v>DIANOSOL</v>
      </c>
      <c r="Q1698" s="63" t="s">
        <v>151</v>
      </c>
      <c r="R1698" s="63" t="str">
        <f>VLOOKUP($Q1698,Resultados!$A$1:$B$49,2,FALSE)</f>
        <v>Prisión Preventiva</v>
      </c>
      <c r="S1698" s="63" t="s">
        <v>1501</v>
      </c>
      <c r="T1698" s="81" t="str">
        <f>IF(G1698=$J$1,"SI","NO")</f>
        <v>NO</v>
      </c>
      <c r="U1698" s="81"/>
      <c r="V1698" s="7" t="str">
        <f ca="1">IF(color_Celda(E1698)=12106214,"ROSA",IF(color_Celda(E1698)=65535,"AMARILLO",IF(color_Celda(E1698)=5296274,"VERDE",IF(color_Celda(E1698)=16777215,"BLANCO","NO SE"))))</f>
        <v>ROSA</v>
      </c>
      <c r="W1698" s="568">
        <v>0.42499999999999999</v>
      </c>
      <c r="X1698" s="7" t="s">
        <v>6621</v>
      </c>
      <c r="Y1698" s="336"/>
      <c r="Z1698" s="118" t="s">
        <v>3368</v>
      </c>
      <c r="AA1698" s="118" t="s">
        <v>2869</v>
      </c>
      <c r="AB1698" s="118" t="s">
        <v>3258</v>
      </c>
      <c r="AC1698" s="336"/>
    </row>
    <row r="1699" spans="1:29" ht="60" customHeight="1">
      <c r="A1699" s="336">
        <v>1664</v>
      </c>
      <c r="B1699" s="349">
        <v>45355</v>
      </c>
      <c r="C1699" s="568">
        <v>0.44166666666666665</v>
      </c>
      <c r="D1699" s="63" t="s">
        <v>6296</v>
      </c>
      <c r="E1699" s="64" t="s">
        <v>6297</v>
      </c>
      <c r="F1699" s="336">
        <v>5</v>
      </c>
      <c r="G1699" s="63" t="s">
        <v>2752</v>
      </c>
      <c r="H1699" s="349">
        <v>45369</v>
      </c>
      <c r="I1699" s="65" t="s">
        <v>1083</v>
      </c>
      <c r="J1699" s="65" t="s">
        <v>78</v>
      </c>
      <c r="K1699" s="336">
        <f>IFERROR(VLOOKUP(J1699,Jueces!$A$1:$B$11,2,FALSE),"")</f>
        <v>8</v>
      </c>
      <c r="L1699" s="63" t="s">
        <v>6623</v>
      </c>
      <c r="M1699" s="63" t="s">
        <v>3755</v>
      </c>
      <c r="N1699" s="63" t="s">
        <v>6624</v>
      </c>
      <c r="O1699" s="233" t="str">
        <f ca="1">IF(H1699&lt;&gt;"",IF(H1699&lt;=TODAY(),"SI","NO"),"LIMBO")</f>
        <v>SI</v>
      </c>
      <c r="P1699" s="233" t="str">
        <f>IF($P$1=H1699,"DIASOL", "DIANOSOL")</f>
        <v>DIANOSOL</v>
      </c>
      <c r="Q1699" s="63" t="s">
        <v>910</v>
      </c>
      <c r="R1699" s="63" t="str">
        <f>VLOOKUP($Q1699,Resultados!$A$1:$B$49,2,FALSE)</f>
        <v>Suspendida</v>
      </c>
      <c r="S1699" s="63" t="s">
        <v>6622</v>
      </c>
      <c r="T1699" s="508" t="str">
        <f>IF(G1699=$J$1,"SI","NO")</f>
        <v>NO</v>
      </c>
      <c r="U1699" s="508"/>
      <c r="V1699" s="7" t="str">
        <f ca="1">IF(color_Celda(E1699)=12106214,"ROSA",IF(color_Celda(E1699)=65535,"AMARILLO",IF(color_Celda(E1699)=5296274,"VERDE",IF(color_Celda(E1699)=16777215,"BLANCO","NO SE"))))</f>
        <v>ROSA</v>
      </c>
      <c r="W1699" s="63" t="s">
        <v>3232</v>
      </c>
      <c r="X1699" s="169" t="s">
        <v>6625</v>
      </c>
      <c r="Y1699" s="336"/>
      <c r="Z1699" s="118" t="s">
        <v>748</v>
      </c>
      <c r="AA1699" s="118" t="s">
        <v>2869</v>
      </c>
      <c r="AB1699" s="118" t="s">
        <v>1171</v>
      </c>
      <c r="AC1699" s="336"/>
    </row>
    <row r="1700" spans="1:29" ht="60" customHeight="1">
      <c r="A1700" s="336">
        <v>1702</v>
      </c>
      <c r="B1700" s="349">
        <v>45358</v>
      </c>
      <c r="C1700" s="568">
        <v>0.46875</v>
      </c>
      <c r="D1700" s="63" t="s">
        <v>6371</v>
      </c>
      <c r="E1700" s="64" t="s">
        <v>6372</v>
      </c>
      <c r="F1700" s="336">
        <v>6</v>
      </c>
      <c r="G1700" s="63" t="s">
        <v>1434</v>
      </c>
      <c r="H1700" s="349">
        <v>45369</v>
      </c>
      <c r="I1700" s="65" t="s">
        <v>1083</v>
      </c>
      <c r="J1700" s="65" t="s">
        <v>35</v>
      </c>
      <c r="K1700" s="336">
        <f>IFERROR(VLOOKUP(J1700,Jueces!$A$1:$B$11,2,FALSE),"")</f>
        <v>3</v>
      </c>
      <c r="L1700" s="63" t="s">
        <v>4791</v>
      </c>
      <c r="M1700" s="63" t="s">
        <v>1956</v>
      </c>
      <c r="N1700" s="63" t="s">
        <v>6660</v>
      </c>
      <c r="O1700" s="63" t="str">
        <f ca="1">IF(H1700&lt;&gt;"",IF(H1700&lt;=TODAY(),"SI","NO"),"LIMBO")</f>
        <v>SI</v>
      </c>
      <c r="P1700" s="63" t="str">
        <f>IF($P$1=H1700,"DIASOL", "DIANOSOL")</f>
        <v>DIANOSOL</v>
      </c>
      <c r="Q1700" s="63" t="s">
        <v>902</v>
      </c>
      <c r="R1700" s="63" t="str">
        <f>VLOOKUP($Q1700,Resultados!$A$1:$B$49,2,FALSE)</f>
        <v>Juicio Abreviado</v>
      </c>
      <c r="S1700" s="63"/>
      <c r="T1700" s="72" t="str">
        <f>IF(G1700=$J$1,"SI","NO")</f>
        <v>NO</v>
      </c>
      <c r="U1700" s="72"/>
      <c r="V1700" s="7" t="str">
        <f ca="1">IF(color_Celda(E1700)=12106214,"ROSA",IF(color_Celda(E1700)=65535,"AMARILLO",IF(color_Celda(E1700)=5296274,"VERDE",IF(color_Celda(E1700)=16777215,"BLANCO","NO SE"))))</f>
        <v>ROSA</v>
      </c>
      <c r="W1700" s="336"/>
      <c r="X1700" s="328"/>
      <c r="Y1700" s="336"/>
      <c r="Z1700" s="118" t="s">
        <v>770</v>
      </c>
      <c r="AA1700" s="118" t="s">
        <v>3379</v>
      </c>
      <c r="AB1700" s="118" t="s">
        <v>1173</v>
      </c>
      <c r="AC1700" s="336"/>
    </row>
    <row r="1701" spans="1:29" ht="60" customHeight="1">
      <c r="A1701" s="336">
        <v>1709</v>
      </c>
      <c r="B1701" s="65">
        <v>45359</v>
      </c>
      <c r="C1701" s="568">
        <v>0.3659722222222222</v>
      </c>
      <c r="D1701" s="63" t="s">
        <v>6380</v>
      </c>
      <c r="E1701" s="64" t="s">
        <v>6381</v>
      </c>
      <c r="F1701" s="336">
        <v>5</v>
      </c>
      <c r="G1701" s="336" t="s">
        <v>2815</v>
      </c>
      <c r="H1701" s="349">
        <v>45369</v>
      </c>
      <c r="I1701" s="65" t="s">
        <v>1083</v>
      </c>
      <c r="J1701" s="349" t="s">
        <v>4746</v>
      </c>
      <c r="K1701" s="63" t="s">
        <v>1916</v>
      </c>
      <c r="L1701" s="63" t="s">
        <v>569</v>
      </c>
      <c r="M1701" s="339" t="s">
        <v>4871</v>
      </c>
      <c r="N1701" s="205" t="s">
        <v>6610</v>
      </c>
      <c r="O1701" s="78" t="str">
        <f ca="1">IF(H1701&lt;&gt;"",IF(H1701&lt;=TODAY(),"SI","NO"),"LIMBO")</f>
        <v>SI</v>
      </c>
      <c r="P1701" s="78" t="str">
        <f>IF($P$1=H1701,"DIASOL", "DIANOSOL")</f>
        <v>DIANOSOL</v>
      </c>
      <c r="Q1701" s="63" t="s">
        <v>910</v>
      </c>
      <c r="R1701" s="63" t="str">
        <f>VLOOKUP($Q1701,Resultados!$A$1:$B$49,2,FALSE)</f>
        <v>Suspendida</v>
      </c>
      <c r="S1701" s="63" t="s">
        <v>745</v>
      </c>
      <c r="T1701" s="81" t="str">
        <f>IF(G1701=$J$1,"SI","NO")</f>
        <v>NO</v>
      </c>
      <c r="U1701" s="81"/>
      <c r="V1701" s="7" t="str">
        <f ca="1">IF(color_Celda(E1701)=12106214,"ROSA",IF(color_Celda(E1701)=65535,"AMARILLO",IF(color_Celda(E1701)=5296274,"VERDE",IF(color_Celda(E1701)=16777215,"BLANCO","NO SE"))))</f>
        <v>ROSA</v>
      </c>
      <c r="W1701" s="63" t="s">
        <v>745</v>
      </c>
      <c r="X1701" s="169" t="s">
        <v>6611</v>
      </c>
      <c r="Y1701" s="336"/>
      <c r="Z1701" s="118" t="s">
        <v>1039</v>
      </c>
      <c r="AA1701" s="118"/>
      <c r="AB1701" s="118" t="s">
        <v>1170</v>
      </c>
      <c r="AC1701" s="336"/>
    </row>
    <row r="1702" spans="1:29" ht="60" customHeight="1">
      <c r="A1702" s="336">
        <v>1680</v>
      </c>
      <c r="B1702" s="349">
        <v>45356</v>
      </c>
      <c r="C1702" s="568">
        <v>0.45416666666666666</v>
      </c>
      <c r="D1702" s="63" t="s">
        <v>6488</v>
      </c>
      <c r="E1702" s="355" t="s">
        <v>6318</v>
      </c>
      <c r="F1702" s="336">
        <v>6</v>
      </c>
      <c r="G1702" s="63" t="s">
        <v>1433</v>
      </c>
      <c r="H1702" s="349">
        <v>45369</v>
      </c>
      <c r="I1702" s="65" t="s">
        <v>1206</v>
      </c>
      <c r="J1702" s="65" t="s">
        <v>1216</v>
      </c>
      <c r="K1702" s="63" t="s">
        <v>3762</v>
      </c>
      <c r="L1702" s="63" t="s">
        <v>4781</v>
      </c>
      <c r="M1702" s="335" t="s">
        <v>6617</v>
      </c>
      <c r="N1702" s="63" t="s">
        <v>6618</v>
      </c>
      <c r="O1702" s="233" t="str">
        <f ca="1">IF(H1702&lt;&gt;"",IF(H1702&lt;=TODAY(),"SI","NO"),"LIMBO")</f>
        <v>SI</v>
      </c>
      <c r="P1702" s="233" t="str">
        <f>IF($P$1=H1702,"DIASOL", "DIANOSOL")</f>
        <v>DIANOSOL</v>
      </c>
      <c r="Q1702" s="63" t="s">
        <v>151</v>
      </c>
      <c r="R1702" s="63" t="str">
        <f>VLOOKUP($Q1702,Resultados!$A$1:$B$49,2,FALSE)</f>
        <v>Prisión Preventiva</v>
      </c>
      <c r="S1702" s="63" t="s">
        <v>1305</v>
      </c>
      <c r="T1702" s="508" t="str">
        <f>IF(G1702=$J$1,"SI","NO")</f>
        <v>NO</v>
      </c>
      <c r="U1702" s="508"/>
      <c r="V1702" s="7" t="str">
        <f ca="1">IF(color_Celda(E1702)=12106214,"ROSA",IF(color_Celda(E1702)=65535,"AMARILLO",IF(color_Celda(E1702)=5296274,"VERDE",IF(color_Celda(E1702)=16777215,"BLANCO","NO SE"))))</f>
        <v>ROSA</v>
      </c>
      <c r="W1702" s="63" t="s">
        <v>3115</v>
      </c>
      <c r="X1702" s="63" t="s">
        <v>6619</v>
      </c>
      <c r="Y1702" s="336"/>
      <c r="Z1702" s="118" t="s">
        <v>3368</v>
      </c>
      <c r="AA1702" s="118" t="s">
        <v>3378</v>
      </c>
      <c r="AB1702" s="118" t="s">
        <v>1169</v>
      </c>
      <c r="AC1702" s="336"/>
    </row>
    <row r="1703" spans="1:29" ht="60" customHeight="1">
      <c r="A1703" s="336">
        <v>1701</v>
      </c>
      <c r="B1703" s="349">
        <v>45358</v>
      </c>
      <c r="C1703" s="568">
        <v>0.4604166666666667</v>
      </c>
      <c r="D1703" s="63" t="s">
        <v>6368</v>
      </c>
      <c r="E1703" s="355" t="s">
        <v>6369</v>
      </c>
      <c r="F1703" s="336">
        <v>6</v>
      </c>
      <c r="G1703" s="63" t="s">
        <v>3324</v>
      </c>
      <c r="H1703" s="349">
        <v>45369</v>
      </c>
      <c r="I1703" s="65" t="s">
        <v>75</v>
      </c>
      <c r="J1703" s="65" t="s">
        <v>31</v>
      </c>
      <c r="K1703" s="63" t="s">
        <v>6465</v>
      </c>
      <c r="L1703" s="63" t="s">
        <v>4790</v>
      </c>
      <c r="M1703" s="63" t="s">
        <v>1866</v>
      </c>
      <c r="N1703" s="63" t="s">
        <v>6661</v>
      </c>
      <c r="O1703" s="233" t="str">
        <f ca="1">IF(H1703&lt;&gt;"",IF(H1703&lt;=TODAY(),"SI","NO"),"LIMBO")</f>
        <v>SI</v>
      </c>
      <c r="P1703" s="233" t="str">
        <f>IF($P$1=H1703,"DIASOL", "DIANOSOL")</f>
        <v>DIANOSOL</v>
      </c>
      <c r="Q1703" s="63" t="s">
        <v>902</v>
      </c>
      <c r="R1703" s="63" t="str">
        <f>VLOOKUP($Q1703,Resultados!$A$1:$B$49,2,FALSE)</f>
        <v>Juicio Abreviado</v>
      </c>
      <c r="S1703" s="63" t="s">
        <v>4572</v>
      </c>
      <c r="T1703" s="508" t="str">
        <f>IF(G1703=$J$1,"SI","NO")</f>
        <v>NO</v>
      </c>
      <c r="U1703" s="508"/>
      <c r="V1703" s="7" t="str">
        <f ca="1">IF(color_Celda(E1703)=12106214,"ROSA",IF(color_Celda(E1703)=65535,"AMARILLO",IF(color_Celda(E1703)=5296274,"VERDE",IF(color_Celda(E1703)=16777215,"BLANCO","NO SE"))))</f>
        <v>ROSA</v>
      </c>
      <c r="W1703" s="63" t="s">
        <v>77</v>
      </c>
      <c r="X1703" s="63" t="s">
        <v>6616</v>
      </c>
      <c r="Y1703" s="336"/>
      <c r="Z1703" s="118" t="s">
        <v>770</v>
      </c>
      <c r="AA1703" s="118" t="s">
        <v>2828</v>
      </c>
      <c r="AB1703" s="118" t="s">
        <v>3258</v>
      </c>
      <c r="AC1703" s="336"/>
    </row>
    <row r="1704" spans="1:29" ht="60" customHeight="1">
      <c r="A1704" s="336">
        <v>1710</v>
      </c>
      <c r="B1704" s="349">
        <v>45359</v>
      </c>
      <c r="C1704" s="568">
        <v>0.38263888888888892</v>
      </c>
      <c r="D1704" s="325" t="s">
        <v>6382</v>
      </c>
      <c r="E1704" s="64" t="s">
        <v>6383</v>
      </c>
      <c r="F1704" s="336">
        <v>5</v>
      </c>
      <c r="G1704" s="336" t="s">
        <v>283</v>
      </c>
      <c r="H1704" s="349">
        <v>45369</v>
      </c>
      <c r="I1704" s="65" t="s">
        <v>75</v>
      </c>
      <c r="J1704" s="349" t="s">
        <v>33</v>
      </c>
      <c r="K1704" s="336">
        <f>IFERROR(VLOOKUP(J1704,Jueces!$A$1:$B$11,2,FALSE),"")</f>
        <v>4</v>
      </c>
      <c r="L1704" s="63" t="s">
        <v>4780</v>
      </c>
      <c r="M1704" s="63" t="s">
        <v>3755</v>
      </c>
      <c r="N1704" s="205" t="s">
        <v>6615</v>
      </c>
      <c r="O1704" s="78" t="str">
        <f ca="1">IF(H1704&lt;&gt;"",IF(H1704&lt;=TODAY(),"SI","NO"),"LIMBO")</f>
        <v>SI</v>
      </c>
      <c r="P1704" s="78" t="str">
        <f>IF($P$1=H1704,"DIASOL", "DIANOSOL")</f>
        <v>DIANOSOL</v>
      </c>
      <c r="Q1704" s="63" t="s">
        <v>902</v>
      </c>
      <c r="R1704" s="63" t="str">
        <f>VLOOKUP($Q1704,Resultados!$A$1:$B$49,2,FALSE)</f>
        <v>Juicio Abreviado</v>
      </c>
      <c r="S1704" s="63" t="s">
        <v>1626</v>
      </c>
      <c r="T1704" s="81" t="str">
        <f>IF(G1704=$J$1,"SI","NO")</f>
        <v>NO</v>
      </c>
      <c r="U1704" s="81"/>
      <c r="V1704" s="7" t="str">
        <f ca="1">IF(color_Celda(E1704)=12106214,"ROSA",IF(color_Celda(E1704)=65535,"AMARILLO",IF(color_Celda(E1704)=5296274,"VERDE",IF(color_Celda(E1704)=16777215,"BLANCO","NO SE"))))</f>
        <v>ROSA</v>
      </c>
      <c r="W1704" s="63" t="s">
        <v>1396</v>
      </c>
      <c r="X1704" s="7" t="s">
        <v>6601</v>
      </c>
      <c r="Y1704" s="336"/>
      <c r="Z1704" s="118" t="s">
        <v>748</v>
      </c>
      <c r="AA1704" s="118" t="s">
        <v>1167</v>
      </c>
      <c r="AB1704" s="118" t="s">
        <v>1171</v>
      </c>
      <c r="AC1704" s="336" t="s">
        <v>1792</v>
      </c>
    </row>
    <row r="1705" spans="1:29" ht="60" customHeight="1">
      <c r="A1705" s="336">
        <v>1708</v>
      </c>
      <c r="B1705" s="349">
        <v>45359</v>
      </c>
      <c r="C1705" s="568">
        <v>0.33333333333333331</v>
      </c>
      <c r="D1705" s="63" t="s">
        <v>6378</v>
      </c>
      <c r="E1705" s="355" t="s">
        <v>6379</v>
      </c>
      <c r="F1705" s="336">
        <v>3</v>
      </c>
      <c r="G1705" s="63" t="s">
        <v>1435</v>
      </c>
      <c r="H1705" s="349">
        <v>45369</v>
      </c>
      <c r="I1705" s="65" t="s">
        <v>1755</v>
      </c>
      <c r="J1705" s="65" t="s">
        <v>33</v>
      </c>
      <c r="K1705" s="336">
        <f>IFERROR(VLOOKUP(J1705,Jueces!$A$1:$B$11,2,FALSE),"")</f>
        <v>4</v>
      </c>
      <c r="L1705" s="63" t="s">
        <v>4789</v>
      </c>
      <c r="M1705" s="63" t="s">
        <v>3755</v>
      </c>
      <c r="N1705" s="63" t="s">
        <v>6612</v>
      </c>
      <c r="O1705" s="78" t="str">
        <f ca="1">IF(H1705&lt;&gt;"",IF(H1705&lt;=TODAY(),"SI","NO"),"LIMBO")</f>
        <v>SI</v>
      </c>
      <c r="P1705" s="78" t="str">
        <f>IF($P$1=H1705,"DIASOL", "DIANOSOL")</f>
        <v>DIANOSOL</v>
      </c>
      <c r="Q1705" s="63" t="s">
        <v>903</v>
      </c>
      <c r="R1705" s="63" t="str">
        <f>VLOOKUP($Q1705,Resultados!$A$1:$B$49,2,FALSE)</f>
        <v>Juicio Abreviado</v>
      </c>
      <c r="S1705" s="63" t="s">
        <v>4532</v>
      </c>
      <c r="T1705" s="81" t="str">
        <f>IF(G1705=$J$1,"SI","NO")</f>
        <v>SI</v>
      </c>
      <c r="U1705" s="81"/>
      <c r="V1705" s="7" t="str">
        <f ca="1">IF(color_Celda(E1705)=12106214,"ROSA",IF(color_Celda(E1705)=65535,"AMARILLO",IF(color_Celda(E1705)=5296274,"VERDE",IF(color_Celda(E1705)=16777215,"BLANCO","NO SE"))))</f>
        <v>ROSA</v>
      </c>
      <c r="W1705" s="63" t="s">
        <v>5641</v>
      </c>
      <c r="X1705" s="169" t="s">
        <v>6613</v>
      </c>
      <c r="Y1705" s="336"/>
      <c r="Z1705" s="118" t="s">
        <v>748</v>
      </c>
      <c r="AA1705" s="118" t="s">
        <v>2828</v>
      </c>
      <c r="AB1705" s="118" t="s">
        <v>1173</v>
      </c>
      <c r="AC1705" s="336"/>
    </row>
    <row r="1706" spans="1:29" ht="60" customHeight="1">
      <c r="A1706" s="336">
        <v>1723</v>
      </c>
      <c r="B1706" s="349">
        <v>45343</v>
      </c>
      <c r="C1706" s="568">
        <v>0.47152777777777777</v>
      </c>
      <c r="D1706" s="336" t="s">
        <v>6098</v>
      </c>
      <c r="E1706" s="355" t="s">
        <v>6099</v>
      </c>
      <c r="F1706" s="336">
        <v>4</v>
      </c>
      <c r="G1706" s="336" t="s">
        <v>2766</v>
      </c>
      <c r="H1706" s="383">
        <v>45370</v>
      </c>
      <c r="I1706" s="65" t="s">
        <v>73</v>
      </c>
      <c r="J1706" s="349" t="s">
        <v>4932</v>
      </c>
      <c r="K1706" s="63" t="s">
        <v>1341</v>
      </c>
      <c r="L1706" s="63" t="s">
        <v>582</v>
      </c>
      <c r="M1706" s="63" t="s">
        <v>695</v>
      </c>
      <c r="N1706" s="63" t="s">
        <v>6600</v>
      </c>
      <c r="O1706" s="78" t="str">
        <f ca="1">IF(H1706&lt;&gt;"",IF(H1706&lt;=TODAY(),"SI","NO"),"LIMBO")</f>
        <v>SI</v>
      </c>
      <c r="P1706" s="78" t="str">
        <f>IF($P$1=H1706,"DIASOL", "DIANOSOL")</f>
        <v>DIANOSOL</v>
      </c>
      <c r="Q1706" s="63" t="s">
        <v>910</v>
      </c>
      <c r="R1706" s="63" t="str">
        <f>VLOOKUP($Q1706,Resultados!$A$1:$B$49,2,FALSE)</f>
        <v>Suspendida</v>
      </c>
      <c r="S1706" s="63" t="s">
        <v>1061</v>
      </c>
      <c r="T1706" s="81" t="str">
        <f>IF(G1706=$J$1,"SI","NO")</f>
        <v>NO</v>
      </c>
      <c r="U1706" s="81"/>
      <c r="V1706" s="7" t="str">
        <f ca="1">IF(color_Celda(E1706)=12106214,"ROSA",IF(color_Celda(E1706)=65535,"AMARILLO",IF(color_Celda(E1706)=5296274,"VERDE",IF(color_Celda(E1706)=16777215,"BLANCO","NO SE"))))</f>
        <v>ROSA</v>
      </c>
      <c r="W1706" s="63" t="s">
        <v>2659</v>
      </c>
      <c r="X1706" s="63" t="s">
        <v>6601</v>
      </c>
      <c r="Y1706" s="336"/>
      <c r="Z1706" s="118" t="s">
        <v>748</v>
      </c>
      <c r="AA1706" s="118"/>
      <c r="AB1706" s="118" t="s">
        <v>3258</v>
      </c>
      <c r="AC1706" s="336"/>
    </row>
    <row r="1707" spans="1:29" ht="60" customHeight="1">
      <c r="A1707" s="336">
        <v>1732</v>
      </c>
      <c r="B1707" s="349">
        <v>45355</v>
      </c>
      <c r="C1707" s="568">
        <v>0.51736111111111105</v>
      </c>
      <c r="D1707" s="336" t="s">
        <v>4516</v>
      </c>
      <c r="E1707" s="355" t="s">
        <v>4517</v>
      </c>
      <c r="F1707" s="336">
        <v>6</v>
      </c>
      <c r="G1707" s="336" t="s">
        <v>1433</v>
      </c>
      <c r="H1707" s="383">
        <v>45370</v>
      </c>
      <c r="I1707" s="65" t="s">
        <v>73</v>
      </c>
      <c r="J1707" s="349" t="s">
        <v>31</v>
      </c>
      <c r="K1707" s="336">
        <v>2</v>
      </c>
      <c r="L1707" s="63" t="s">
        <v>2412</v>
      </c>
      <c r="M1707" s="63" t="s">
        <v>2124</v>
      </c>
      <c r="N1707" s="63" t="s">
        <v>6605</v>
      </c>
      <c r="O1707" s="78" t="str">
        <f ca="1">IF(H1707&lt;&gt;"",IF(H1707&lt;=TODAY(),"SI","NO"),"LIMBO")</f>
        <v>SI</v>
      </c>
      <c r="P1707" s="78" t="str">
        <f>IF($P$1=H1707,"DIASOL", "DIANOSOL")</f>
        <v>DIANOSOL</v>
      </c>
      <c r="Q1707" s="63" t="s">
        <v>911</v>
      </c>
      <c r="R1707" s="63" t="str">
        <f>VLOOKUP($Q1707,Resultados!$A$1:$B$49,2,FALSE)</f>
        <v>Prision domiciliaria</v>
      </c>
      <c r="S1707" s="63" t="s">
        <v>686</v>
      </c>
      <c r="T1707" s="81" t="str">
        <f>IF(G1707=$J$1,"SI","NO")</f>
        <v>NO</v>
      </c>
      <c r="U1707" s="81"/>
      <c r="V1707" s="7" t="str">
        <f ca="1">IF(color_Celda(E1707)=12106214,"ROSA",IF(color_Celda(E1707)=65535,"AMARILLO",IF(color_Celda(E1707)=5296274,"VERDE",IF(color_Celda(E1707)=16777215,"BLANCO","NO SE"))))</f>
        <v>ROSA</v>
      </c>
      <c r="W1707" s="63" t="s">
        <v>1570</v>
      </c>
      <c r="X1707" s="336"/>
      <c r="Y1707" s="336"/>
      <c r="Z1707" s="118" t="s">
        <v>1039</v>
      </c>
      <c r="AA1707" s="118" t="s">
        <v>2828</v>
      </c>
      <c r="AB1707" s="118" t="s">
        <v>1173</v>
      </c>
      <c r="AC1707" s="336"/>
    </row>
    <row r="1708" spans="1:29" ht="60" customHeight="1">
      <c r="A1708" s="336">
        <v>1700</v>
      </c>
      <c r="B1708" s="349">
        <v>45358</v>
      </c>
      <c r="C1708" s="568">
        <v>0.43958333333333338</v>
      </c>
      <c r="D1708" s="63" t="s">
        <v>6366</v>
      </c>
      <c r="E1708" s="64" t="s">
        <v>6367</v>
      </c>
      <c r="F1708" s="336">
        <v>6</v>
      </c>
      <c r="G1708" s="63" t="s">
        <v>5710</v>
      </c>
      <c r="H1708" s="349">
        <v>45370</v>
      </c>
      <c r="I1708" s="65" t="s">
        <v>73</v>
      </c>
      <c r="J1708" s="65" t="s">
        <v>4746</v>
      </c>
      <c r="K1708" s="63" t="s">
        <v>1982</v>
      </c>
      <c r="L1708" s="63" t="s">
        <v>4795</v>
      </c>
      <c r="M1708" s="7" t="s">
        <v>4773</v>
      </c>
      <c r="N1708" s="63" t="s">
        <v>4977</v>
      </c>
      <c r="O1708" s="320" t="str">
        <f ca="1">IF(H1708&lt;&gt;"",IF(H1708&lt;=TODAY(),"SI","NO"),"LIMBO")</f>
        <v>SI</v>
      </c>
      <c r="P1708" s="320" t="str">
        <f>IF($P$1=H1708,"DIASOL", "DIANOSOL")</f>
        <v>DIANOSOL</v>
      </c>
      <c r="Q1708" s="63" t="s">
        <v>897</v>
      </c>
      <c r="R1708" s="63" t="str">
        <f>VLOOKUP($Q1708,Resultados!$A$1:$B$49,2,FALSE)</f>
        <v>Libertad</v>
      </c>
      <c r="S1708" s="63" t="s">
        <v>1242</v>
      </c>
      <c r="T1708" s="537" t="str">
        <f>IF(G1708=$J$1,"SI","NO")</f>
        <v>NO</v>
      </c>
      <c r="U1708" s="537"/>
      <c r="V1708" s="7" t="str">
        <f ca="1">IF(color_Celda(E1708)=12106214,"ROSA",IF(color_Celda(E1708)=65535,"AMARILLO",IF(color_Celda(E1708)=5296274,"VERDE",IF(color_Celda(E1708)=16777215,"BLANCO","NO SE"))))</f>
        <v>ROSA</v>
      </c>
      <c r="W1708" s="63" t="s">
        <v>1233</v>
      </c>
      <c r="X1708" s="63" t="s">
        <v>6606</v>
      </c>
      <c r="Y1708" s="336"/>
      <c r="Z1708" s="118" t="s">
        <v>743</v>
      </c>
      <c r="AA1708" s="118" t="s">
        <v>3378</v>
      </c>
      <c r="AB1708" s="118" t="s">
        <v>1170</v>
      </c>
      <c r="AC1708" s="336"/>
    </row>
    <row r="1709" spans="1:29" ht="60" customHeight="1">
      <c r="A1709" s="336">
        <v>1720</v>
      </c>
      <c r="B1709" s="349">
        <v>45359</v>
      </c>
      <c r="C1709" s="568">
        <v>0.38194444444444442</v>
      </c>
      <c r="D1709" s="336" t="s">
        <v>5441</v>
      </c>
      <c r="E1709" s="355" t="s">
        <v>6432</v>
      </c>
      <c r="F1709" s="336">
        <v>3</v>
      </c>
      <c r="G1709" s="63" t="s">
        <v>3791</v>
      </c>
      <c r="H1709" s="383">
        <v>45370</v>
      </c>
      <c r="I1709" s="65" t="s">
        <v>73</v>
      </c>
      <c r="J1709" s="65" t="s">
        <v>35</v>
      </c>
      <c r="K1709" s="336">
        <f>IFERROR(VLOOKUP(J1709,Jueces!$A$1:$B$11,2,FALSE),"")</f>
        <v>3</v>
      </c>
      <c r="L1709" s="63" t="s">
        <v>4791</v>
      </c>
      <c r="M1709" s="63" t="s">
        <v>6608</v>
      </c>
      <c r="N1709" s="205" t="s">
        <v>6609</v>
      </c>
      <c r="O1709" s="78" t="str">
        <f ca="1">IF(H1709&lt;&gt;"",IF(H1709&lt;=TODAY(),"SI","NO"),"LIMBO")</f>
        <v>SI</v>
      </c>
      <c r="P1709" s="78" t="str">
        <f>IF($P$1=H1709,"DIASOL", "DIANOSOL")</f>
        <v>DIANOSOL</v>
      </c>
      <c r="Q1709" s="63" t="s">
        <v>902</v>
      </c>
      <c r="R1709" s="63" t="str">
        <f>VLOOKUP($Q1709,Resultados!$A$1:$B$49,2,FALSE)</f>
        <v>Juicio Abreviado</v>
      </c>
      <c r="S1709" s="63" t="s">
        <v>6607</v>
      </c>
      <c r="T1709" s="81" t="str">
        <f>IF(G1709=$J$1,"SI","NO")</f>
        <v>NO</v>
      </c>
      <c r="U1709" s="81"/>
      <c r="V1709" s="7" t="str">
        <f ca="1">IF(color_Celda(E1709)=12106214,"ROSA",IF(color_Celda(E1709)=65535,"AMARILLO",IF(color_Celda(E1709)=5296274,"VERDE",IF(color_Celda(E1709)=16777215,"BLANCO","NO SE"))))</f>
        <v>ROSA</v>
      </c>
      <c r="W1709" s="63" t="s">
        <v>2659</v>
      </c>
      <c r="X1709" s="63" t="s">
        <v>4163</v>
      </c>
      <c r="Y1709" s="336"/>
      <c r="Z1709" s="118" t="s">
        <v>3368</v>
      </c>
      <c r="AA1709" s="118" t="s">
        <v>2828</v>
      </c>
      <c r="AB1709" s="118" t="s">
        <v>1169</v>
      </c>
      <c r="AC1709" s="336"/>
    </row>
    <row r="1710" spans="1:29" ht="60" customHeight="1">
      <c r="A1710" s="336">
        <v>1727</v>
      </c>
      <c r="B1710" s="349">
        <v>45362</v>
      </c>
      <c r="C1710" s="568">
        <v>0.53125</v>
      </c>
      <c r="D1710" s="336" t="s">
        <v>4706</v>
      </c>
      <c r="E1710" s="355" t="s">
        <v>4707</v>
      </c>
      <c r="F1710" s="336">
        <v>4</v>
      </c>
      <c r="G1710" s="63" t="s">
        <v>568</v>
      </c>
      <c r="H1710" s="383">
        <v>45370</v>
      </c>
      <c r="I1710" s="65" t="s">
        <v>73</v>
      </c>
      <c r="J1710" s="65" t="s">
        <v>78</v>
      </c>
      <c r="K1710" s="336">
        <f>IFERROR(VLOOKUP(J1710,Jueces!$A$1:$B$11,2,FALSE),"")</f>
        <v>8</v>
      </c>
      <c r="L1710" s="63" t="s">
        <v>809</v>
      </c>
      <c r="M1710" s="63" t="s">
        <v>723</v>
      </c>
      <c r="N1710" s="205" t="s">
        <v>1744</v>
      </c>
      <c r="O1710" s="78" t="str">
        <f ca="1">IF(H1710&lt;&gt;"",IF(H1710&lt;=TODAY(),"SI","NO"),"LIMBO")</f>
        <v>SI</v>
      </c>
      <c r="P1710" s="78" t="str">
        <f>IF($P$1=H1710,"DIASOL", "DIANOSOL")</f>
        <v>DIANOSOL</v>
      </c>
      <c r="Q1710" s="63" t="s">
        <v>151</v>
      </c>
      <c r="R1710" s="63" t="str">
        <f>VLOOKUP($Q1710,Resultados!$A$1:$B$49,2,FALSE)</f>
        <v>Prisión Preventiva</v>
      </c>
      <c r="S1710" s="63" t="s">
        <v>1336</v>
      </c>
      <c r="T1710" s="81" t="str">
        <f>IF(G1710=$J$1,"SI","NO")</f>
        <v>NO</v>
      </c>
      <c r="U1710" s="81"/>
      <c r="V1710" s="7" t="str">
        <f ca="1">IF(color_Celda(E1710)=12106214,"ROSA",IF(color_Celda(E1710)=65535,"AMARILLO",IF(color_Celda(E1710)=5296274,"VERDE",IF(color_Celda(E1710)=16777215,"BLANCO","NO SE"))))</f>
        <v>ROSA</v>
      </c>
      <c r="W1710" s="63" t="s">
        <v>76</v>
      </c>
      <c r="X1710" s="7" t="s">
        <v>4163</v>
      </c>
      <c r="Y1710" s="336"/>
      <c r="Z1710" s="118" t="s">
        <v>770</v>
      </c>
      <c r="AA1710" s="118" t="s">
        <v>3379</v>
      </c>
      <c r="AB1710" s="118" t="s">
        <v>1171</v>
      </c>
      <c r="AC1710" s="336"/>
    </row>
    <row r="1711" spans="1:29" ht="60" customHeight="1">
      <c r="A1711" s="336">
        <v>1733</v>
      </c>
      <c r="B1711" s="349">
        <v>45344</v>
      </c>
      <c r="C1711" s="568">
        <v>0.52777777777777779</v>
      </c>
      <c r="D1711" s="336" t="s">
        <v>5402</v>
      </c>
      <c r="E1711" s="355" t="s">
        <v>6166</v>
      </c>
      <c r="F1711" s="336">
        <v>2</v>
      </c>
      <c r="G1711" s="336" t="s">
        <v>1434</v>
      </c>
      <c r="H1711" s="383">
        <v>45370</v>
      </c>
      <c r="I1711" s="65" t="s">
        <v>1083</v>
      </c>
      <c r="J1711" s="349" t="s">
        <v>31</v>
      </c>
      <c r="K1711" s="336">
        <f>IFERROR(VLOOKUP(J1711,Jueces!$A$1:$B$11,2,FALSE),"")</f>
        <v>2</v>
      </c>
      <c r="L1711" s="63" t="s">
        <v>4791</v>
      </c>
      <c r="M1711" s="63" t="s">
        <v>2627</v>
      </c>
      <c r="N1711" s="205" t="s">
        <v>6603</v>
      </c>
      <c r="O1711" s="78" t="str">
        <f ca="1">IF(H1711&lt;&gt;"",IF(H1711&lt;=TODAY(),"SI","NO"),"LIMBO")</f>
        <v>SI</v>
      </c>
      <c r="P1711" s="78" t="str">
        <f>IF($P$1=H1711,"DIASOL", "DIANOSOL")</f>
        <v>DIANOSOL</v>
      </c>
      <c r="Q1711" s="63" t="s">
        <v>902</v>
      </c>
      <c r="R1711" s="63" t="str">
        <f>VLOOKUP($Q1711,Resultados!$A$1:$B$49,2,FALSE)</f>
        <v>Juicio Abreviado</v>
      </c>
      <c r="S1711" s="63" t="s">
        <v>1047</v>
      </c>
      <c r="T1711" s="81" t="str">
        <f>IF(G1711=$J$1,"SI","NO")</f>
        <v>NO</v>
      </c>
      <c r="U1711" s="81"/>
      <c r="V1711" s="7" t="str">
        <f ca="1">IF(color_Celda(E1711)=12106214,"ROSA",IF(color_Celda(E1711)=65535,"AMARILLO",IF(color_Celda(E1711)=5296274,"VERDE",IF(color_Celda(E1711)=16777215,"BLANCO","NO SE"))))</f>
        <v>ROSA</v>
      </c>
      <c r="W1711" s="63" t="s">
        <v>1248</v>
      </c>
      <c r="X1711" s="169" t="s">
        <v>6604</v>
      </c>
      <c r="Y1711" s="336"/>
      <c r="Z1711" s="118" t="s">
        <v>1039</v>
      </c>
      <c r="AA1711" s="118" t="s">
        <v>2869</v>
      </c>
      <c r="AB1711" s="118" t="s">
        <v>1169</v>
      </c>
      <c r="AC1711" s="336"/>
    </row>
    <row r="1712" spans="1:29" ht="60" customHeight="1">
      <c r="A1712" s="336">
        <v>1698</v>
      </c>
      <c r="B1712" s="349">
        <v>45358</v>
      </c>
      <c r="C1712" s="568">
        <v>0.36249999999999999</v>
      </c>
      <c r="D1712" s="63" t="s">
        <v>6362</v>
      </c>
      <c r="E1712" s="64" t="s">
        <v>6363</v>
      </c>
      <c r="F1712" s="336">
        <v>5</v>
      </c>
      <c r="G1712" s="63" t="s">
        <v>2815</v>
      </c>
      <c r="H1712" s="349">
        <v>45370</v>
      </c>
      <c r="I1712" s="65" t="s">
        <v>1083</v>
      </c>
      <c r="J1712" s="65" t="s">
        <v>35</v>
      </c>
      <c r="K1712" s="336">
        <f>IFERROR(VLOOKUP(J1712,Jueces!$A$1:$B$11,2,FALSE),"")</f>
        <v>3</v>
      </c>
      <c r="L1712" s="63" t="s">
        <v>4767</v>
      </c>
      <c r="M1712" s="63" t="s">
        <v>3755</v>
      </c>
      <c r="N1712" s="63" t="s">
        <v>6602</v>
      </c>
      <c r="O1712" s="78" t="str">
        <f ca="1">IF(H1712&lt;&gt;"",IF(H1712&lt;=TODAY(),"SI","NO"),"LIMBO")</f>
        <v>SI</v>
      </c>
      <c r="P1712" s="78" t="str">
        <f>IF($P$1=H1712,"DIASOL", "DIANOSOL")</f>
        <v>DIANOSOL</v>
      </c>
      <c r="Q1712" s="63" t="s">
        <v>902</v>
      </c>
      <c r="R1712" s="63" t="str">
        <f>VLOOKUP($Q1712,Resultados!$A$1:$B$49,2,FALSE)</f>
        <v>Juicio Abreviado</v>
      </c>
      <c r="S1712" s="63" t="s">
        <v>1002</v>
      </c>
      <c r="T1712" s="81" t="str">
        <f>IF(G1712=$J$1,"SI","NO")</f>
        <v>NO</v>
      </c>
      <c r="U1712" s="81"/>
      <c r="V1712" s="7" t="str">
        <f ca="1">IF(color_Celda(E1712)=12106214,"ROSA",IF(color_Celda(E1712)=65535,"AMARILLO",IF(color_Celda(E1712)=5296274,"VERDE",IF(color_Celda(E1712)=16777215,"BLANCO","NO SE"))))</f>
        <v>ROSA</v>
      </c>
      <c r="W1712" s="63" t="s">
        <v>1206</v>
      </c>
      <c r="X1712" s="7" t="s">
        <v>4163</v>
      </c>
      <c r="Y1712" s="336"/>
      <c r="Z1712" s="118" t="s">
        <v>3368</v>
      </c>
      <c r="AA1712" s="118" t="s">
        <v>3379</v>
      </c>
      <c r="AB1712" s="118" t="s">
        <v>1170</v>
      </c>
      <c r="AC1712" s="336"/>
    </row>
    <row r="1713" spans="1:29" ht="60" customHeight="1">
      <c r="A1713" s="336">
        <v>1737</v>
      </c>
      <c r="B1713" s="349">
        <v>45363</v>
      </c>
      <c r="C1713" s="568">
        <v>0.4597222222222222</v>
      </c>
      <c r="D1713" s="63" t="s">
        <v>6451</v>
      </c>
      <c r="E1713" s="355" t="s">
        <v>6452</v>
      </c>
      <c r="F1713" s="336">
        <v>6</v>
      </c>
      <c r="G1713" s="63" t="s">
        <v>1435</v>
      </c>
      <c r="H1713" s="349">
        <v>45370</v>
      </c>
      <c r="I1713" s="65" t="s">
        <v>1083</v>
      </c>
      <c r="J1713" s="65" t="s">
        <v>33</v>
      </c>
      <c r="K1713" s="336">
        <f>IFERROR(VLOOKUP(J1713,Jueces!$A$1:$B$11,2,FALSE),"")</f>
        <v>4</v>
      </c>
      <c r="L1713" s="63" t="s">
        <v>4789</v>
      </c>
      <c r="M1713" s="63" t="s">
        <v>4773</v>
      </c>
      <c r="N1713" s="205" t="s">
        <v>6594</v>
      </c>
      <c r="O1713" s="78" t="str">
        <f ca="1">IF(H1713&lt;&gt;"",IF(H1713&lt;=TODAY(),"SI","NO"),"LIMBO")</f>
        <v>SI</v>
      </c>
      <c r="P1713" s="78" t="str">
        <f>IF($P$1=H1713,"DIASOL", "DIANOSOL")</f>
        <v>DIANOSOL</v>
      </c>
      <c r="Q1713" s="63" t="s">
        <v>902</v>
      </c>
      <c r="R1713" s="63" t="str">
        <f>VLOOKUP($Q1713,Resultados!$A$1:$B$49,2,FALSE)</f>
        <v>Juicio Abreviado</v>
      </c>
      <c r="S1713" s="63" t="s">
        <v>1367</v>
      </c>
      <c r="T1713" s="81" t="str">
        <f>IF(G1713=$J$1,"SI","NO")</f>
        <v>SI</v>
      </c>
      <c r="U1713" s="81"/>
      <c r="V1713" s="7" t="str">
        <f ca="1">IF(color_Celda(E1713)=12106214,"ROSA",IF(color_Celda(E1713)=65535,"AMARILLO",IF(color_Celda(E1713)=5296274,"VERDE",IF(color_Celda(E1713)=16777215,"BLANCO","NO SE"))))</f>
        <v>ROSA</v>
      </c>
      <c r="W1713" s="63" t="s">
        <v>547</v>
      </c>
      <c r="X1713" s="390" t="s">
        <v>6595</v>
      </c>
      <c r="Y1713" s="336"/>
      <c r="Z1713" s="118" t="s">
        <v>748</v>
      </c>
      <c r="AA1713" s="118" t="s">
        <v>1167</v>
      </c>
      <c r="AB1713" s="118" t="s">
        <v>3258</v>
      </c>
      <c r="AC1713" s="336"/>
    </row>
    <row r="1714" spans="1:29" ht="60" customHeight="1">
      <c r="A1714" s="336">
        <v>1739</v>
      </c>
      <c r="B1714" s="349">
        <v>45363</v>
      </c>
      <c r="C1714" s="568">
        <v>0.48541666666666666</v>
      </c>
      <c r="D1714" s="63" t="s">
        <v>6455</v>
      </c>
      <c r="E1714" s="64" t="s">
        <v>6456</v>
      </c>
      <c r="F1714" s="336">
        <v>5</v>
      </c>
      <c r="G1714" s="63" t="s">
        <v>3324</v>
      </c>
      <c r="H1714" s="349">
        <v>45370</v>
      </c>
      <c r="I1714" s="65" t="s">
        <v>1083</v>
      </c>
      <c r="J1714" s="65" t="s">
        <v>78</v>
      </c>
      <c r="K1714" s="336">
        <f>IFERROR(VLOOKUP(J1714,Jueces!$A$1:$B$11,2,FALSE),"")</f>
        <v>8</v>
      </c>
      <c r="L1714" s="63" t="s">
        <v>4792</v>
      </c>
      <c r="M1714" s="63" t="s">
        <v>4674</v>
      </c>
      <c r="N1714" s="205" t="s">
        <v>1744</v>
      </c>
      <c r="O1714" s="78" t="str">
        <f ca="1">IF(H1714&lt;&gt;"",IF(H1714&lt;=TODAY(),"SI","NO"),"LIMBO")</f>
        <v>SI</v>
      </c>
      <c r="P1714" s="78" t="str">
        <f>IF($P$1=H1714,"DIASOL", "DIANOSOL")</f>
        <v>DIANOSOL</v>
      </c>
      <c r="Q1714" s="63" t="s">
        <v>151</v>
      </c>
      <c r="R1714" s="63" t="str">
        <f>VLOOKUP($Q1714,Resultados!$A$1:$B$49,2,FALSE)</f>
        <v>Prisión Preventiva</v>
      </c>
      <c r="S1714" s="63" t="s">
        <v>1002</v>
      </c>
      <c r="T1714" s="81" t="str">
        <f>IF(G1714=$J$1,"SI","NO")</f>
        <v>NO</v>
      </c>
      <c r="U1714" s="81"/>
      <c r="V1714" s="7" t="str">
        <f ca="1">IF(color_Celda(E1714)=12106214,"ROSA",IF(color_Celda(E1714)=65535,"AMARILLO",IF(color_Celda(E1714)=5296274,"VERDE",IF(color_Celda(E1714)=16777215,"BLANCO","NO SE"))))</f>
        <v>ROSA</v>
      </c>
      <c r="W1714" s="63" t="s">
        <v>3101</v>
      </c>
      <c r="X1714" s="391" t="s">
        <v>6599</v>
      </c>
      <c r="Y1714" s="336"/>
      <c r="Z1714" s="118" t="s">
        <v>770</v>
      </c>
      <c r="AA1714" s="118" t="s">
        <v>1167</v>
      </c>
      <c r="AB1714" s="118" t="s">
        <v>1171</v>
      </c>
      <c r="AC1714" s="336"/>
    </row>
    <row r="1715" spans="1:29" ht="60" customHeight="1">
      <c r="A1715" s="336">
        <v>1753</v>
      </c>
      <c r="B1715" s="349">
        <v>45365</v>
      </c>
      <c r="C1715" s="568">
        <v>0.33333333333333331</v>
      </c>
      <c r="D1715" s="336" t="s">
        <v>6494</v>
      </c>
      <c r="E1715" s="355" t="s">
        <v>6493</v>
      </c>
      <c r="F1715" s="336">
        <v>6</v>
      </c>
      <c r="G1715" s="63" t="s">
        <v>3323</v>
      </c>
      <c r="H1715" s="349">
        <v>45370</v>
      </c>
      <c r="I1715" s="65" t="s">
        <v>1083</v>
      </c>
      <c r="J1715" s="65" t="s">
        <v>4931</v>
      </c>
      <c r="K1715" s="63" t="s">
        <v>1982</v>
      </c>
      <c r="L1715" s="63" t="s">
        <v>2412</v>
      </c>
      <c r="M1715" s="330" t="s">
        <v>6512</v>
      </c>
      <c r="N1715" s="205" t="s">
        <v>6597</v>
      </c>
      <c r="O1715" s="78" t="str">
        <f ca="1">IF(H1715&lt;&gt;"",IF(H1715&lt;=TODAY(),"SI","NO"),"LIMBO")</f>
        <v>SI</v>
      </c>
      <c r="P1715" s="78" t="str">
        <f>IF($P$1=H1715,"DIASOL", "DIANOSOL")</f>
        <v>DIANOSOL</v>
      </c>
      <c r="Q1715" s="63" t="s">
        <v>903</v>
      </c>
      <c r="R1715" s="63" t="s">
        <v>100</v>
      </c>
      <c r="S1715" s="63" t="s">
        <v>2688</v>
      </c>
      <c r="T1715" s="81" t="str">
        <f>IF(G1715=$J$1,"SI","NO")</f>
        <v>NO</v>
      </c>
      <c r="U1715" s="81"/>
      <c r="V1715" s="7" t="str">
        <f ca="1">IF(color_Celda(E1715)=12106214,"ROSA",IF(color_Celda(E1715)=65535,"AMARILLO",IF(color_Celda(E1715)=5296274,"VERDE",IF(color_Celda(E1715)=16777215,"BLANCO","NO SE"))))</f>
        <v>ROSA</v>
      </c>
      <c r="W1715" s="63" t="s">
        <v>1592</v>
      </c>
      <c r="X1715" s="391" t="s">
        <v>6598</v>
      </c>
      <c r="Y1715" s="336"/>
      <c r="Z1715" s="118" t="s">
        <v>743</v>
      </c>
      <c r="AA1715" s="118" t="s">
        <v>3378</v>
      </c>
      <c r="AB1715" s="118" t="s">
        <v>1173</v>
      </c>
      <c r="AC1715" s="336"/>
    </row>
    <row r="1716" spans="1:29" ht="60" customHeight="1">
      <c r="A1716" s="336">
        <v>1724</v>
      </c>
      <c r="B1716" s="349">
        <v>45362</v>
      </c>
      <c r="C1716" s="568">
        <v>0.48888888888888887</v>
      </c>
      <c r="D1716" s="63" t="s">
        <v>6430</v>
      </c>
      <c r="E1716" s="355" t="s">
        <v>6431</v>
      </c>
      <c r="F1716" s="336">
        <v>5</v>
      </c>
      <c r="G1716" s="63" t="s">
        <v>2752</v>
      </c>
      <c r="H1716" s="349">
        <v>45370</v>
      </c>
      <c r="I1716" s="65" t="s">
        <v>1206</v>
      </c>
      <c r="J1716" s="65" t="s">
        <v>33</v>
      </c>
      <c r="K1716" s="336">
        <f>IFERROR(VLOOKUP(J1716,Jueces!$A$1:$B$11,2,FALSE),"")</f>
        <v>4</v>
      </c>
      <c r="L1716" s="63" t="s">
        <v>2412</v>
      </c>
      <c r="M1716" s="63" t="s">
        <v>1960</v>
      </c>
      <c r="N1716" s="205" t="s">
        <v>6592</v>
      </c>
      <c r="O1716" s="78" t="str">
        <f ca="1">IF(H1716&lt;&gt;"",IF(H1716&lt;=TODAY(),"SI","NO"),"LIMBO")</f>
        <v>SI</v>
      </c>
      <c r="P1716" s="78" t="str">
        <f>IF($P$1=H1716,"DIASOL", "DIANOSOL")</f>
        <v>DIANOSOL</v>
      </c>
      <c r="Q1716" s="63" t="s">
        <v>1892</v>
      </c>
      <c r="R1716" s="63" t="str">
        <f>VLOOKUP($Q1716,Resultados!$A$1:$B$49,2,FALSE)</f>
        <v>Sobreseimiento</v>
      </c>
      <c r="S1716" s="63" t="s">
        <v>3201</v>
      </c>
      <c r="T1716" s="81" t="str">
        <f>IF(G1716=$J$1,"SI","NO")</f>
        <v>NO</v>
      </c>
      <c r="U1716" s="81"/>
      <c r="V1716" s="7" t="str">
        <f ca="1">IF(color_Celda(E1716)=12106214,"ROSA",IF(color_Celda(E1716)=65535,"AMARILLO",IF(color_Celda(E1716)=5296274,"VERDE",IF(color_Celda(E1716)=16777215,"BLANCO","NO SE"))))</f>
        <v>ROSA</v>
      </c>
      <c r="W1716" s="63" t="s">
        <v>4387</v>
      </c>
      <c r="X1716" s="169" t="s">
        <v>6593</v>
      </c>
      <c r="Y1716" s="336"/>
      <c r="Z1716" s="118" t="s">
        <v>748</v>
      </c>
      <c r="AA1716" s="118" t="s">
        <v>2869</v>
      </c>
      <c r="AB1716" s="118" t="s">
        <v>1170</v>
      </c>
      <c r="AC1716" s="336"/>
    </row>
    <row r="1717" spans="1:29" ht="60" customHeight="1">
      <c r="A1717" s="336">
        <v>1717</v>
      </c>
      <c r="B1717" s="349">
        <v>45359</v>
      </c>
      <c r="C1717" s="568">
        <v>0.49027777777777781</v>
      </c>
      <c r="D1717" s="63" t="s">
        <v>6399</v>
      </c>
      <c r="E1717" s="355" t="s">
        <v>6400</v>
      </c>
      <c r="F1717" s="336">
        <v>5</v>
      </c>
      <c r="G1717" s="63" t="s">
        <v>29</v>
      </c>
      <c r="H1717" s="349">
        <v>45370</v>
      </c>
      <c r="I1717" s="65" t="s">
        <v>3171</v>
      </c>
      <c r="J1717" s="65" t="s">
        <v>1216</v>
      </c>
      <c r="K1717" s="336">
        <f>IFERROR(VLOOKUP(J1717,Jueces!$A$1:$B$11,2,FALSE),"")</f>
        <v>1</v>
      </c>
      <c r="L1717" s="63" t="s">
        <v>582</v>
      </c>
      <c r="M1717" s="63" t="s">
        <v>3755</v>
      </c>
      <c r="N1717" s="205" t="s">
        <v>6596</v>
      </c>
      <c r="O1717" s="78" t="str">
        <f ca="1">IF(H1717&lt;&gt;"",IF(H1717&lt;=TODAY(),"SI","NO"),"LIMBO")</f>
        <v>SI</v>
      </c>
      <c r="P1717" s="78" t="str">
        <f>IF($P$1=H1717,"DIASOL", "DIANOSOL")</f>
        <v>DIANOSOL</v>
      </c>
      <c r="Q1717" s="63" t="s">
        <v>910</v>
      </c>
      <c r="R1717" s="63" t="str">
        <f>VLOOKUP($Q1717,Resultados!$A$1:$B$49,2,FALSE)</f>
        <v>Suspendida</v>
      </c>
      <c r="S1717" s="63"/>
      <c r="T1717" s="81" t="str">
        <f>IF(G1717=$J$1,"SI","NO")</f>
        <v>NO</v>
      </c>
      <c r="U1717" s="81"/>
      <c r="V1717" s="7" t="str">
        <f ca="1">IF(color_Celda(E1717)=12106214,"ROSA",IF(color_Celda(E1717)=65535,"AMARILLO",IF(color_Celda(E1717)=5296274,"VERDE",IF(color_Celda(E1717)=16777215,"BLANCO","NO SE"))))</f>
        <v>ROSA</v>
      </c>
      <c r="W1717" s="336"/>
      <c r="X1717" s="336"/>
      <c r="Y1717" s="336"/>
      <c r="Z1717" s="118" t="s">
        <v>3368</v>
      </c>
      <c r="AA1717" s="118"/>
      <c r="AB1717" s="118" t="s">
        <v>1169</v>
      </c>
      <c r="AC1717" s="336"/>
    </row>
    <row r="1718" spans="1:29" ht="60" customHeight="1">
      <c r="A1718" s="336">
        <v>1772</v>
      </c>
      <c r="B1718" s="349">
        <v>45257</v>
      </c>
      <c r="C1718" s="568" t="s">
        <v>1206</v>
      </c>
      <c r="D1718" s="63" t="s">
        <v>4259</v>
      </c>
      <c r="E1718" s="355" t="s">
        <v>4417</v>
      </c>
      <c r="F1718" s="336">
        <v>3</v>
      </c>
      <c r="G1718" s="63" t="s">
        <v>3791</v>
      </c>
      <c r="H1718" s="208">
        <v>45371</v>
      </c>
      <c r="I1718" s="65" t="s">
        <v>73</v>
      </c>
      <c r="J1718" s="65" t="s">
        <v>35</v>
      </c>
      <c r="K1718" s="336">
        <f>IFERROR(VLOOKUP(J1718,Jueces!$A$1:$B$11,2,FALSE),"")</f>
        <v>3</v>
      </c>
      <c r="L1718" s="63" t="s">
        <v>2077</v>
      </c>
      <c r="M1718" s="7" t="s">
        <v>694</v>
      </c>
      <c r="N1718" s="63" t="s">
        <v>7243</v>
      </c>
      <c r="O1718" s="63" t="str">
        <f ca="1">IF(H1718&lt;&gt;"",IF(H1718&lt;=TODAY(),"SI","NO"),"LIMBO")</f>
        <v>SI</v>
      </c>
      <c r="P1718" s="63" t="str">
        <f>IF($P$1=H1718,"DIASOL", "DIANOSOL")</f>
        <v>DIANOSOL</v>
      </c>
      <c r="Q1718" s="63" t="s">
        <v>4745</v>
      </c>
      <c r="R1718" s="63" t="str">
        <f>VLOOKUP($Q1718,Resultados!$A$1:$B$49,2,FALSE)</f>
        <v>Medida de seguridad provisoria</v>
      </c>
      <c r="S1718" s="63"/>
      <c r="T1718" s="72" t="str">
        <f>IF(G1718=$J$1,"SI","NO")</f>
        <v>NO</v>
      </c>
      <c r="U1718" s="72"/>
      <c r="V1718" s="7" t="str">
        <f ca="1">IF(color_Celda(E1718)=12106214,"ROSA",IF(color_Celda(E1718)=65535,"AMARILLO",IF(color_Celda(E1718)=5296274,"VERDE",IF(color_Celda(E1718)=16777215,"BLANCO","NO SE"))))</f>
        <v>ROSA</v>
      </c>
      <c r="W1718" s="336"/>
      <c r="X1718" s="336"/>
      <c r="Y1718" s="336"/>
      <c r="Z1718" s="118" t="s">
        <v>1039</v>
      </c>
      <c r="AA1718" s="118" t="s">
        <v>2869</v>
      </c>
      <c r="AB1718" s="118" t="s">
        <v>1169</v>
      </c>
      <c r="AC1718" s="336"/>
    </row>
    <row r="1719" spans="1:29" ht="60" customHeight="1">
      <c r="A1719" s="336">
        <v>1712</v>
      </c>
      <c r="B1719" s="349">
        <v>45359</v>
      </c>
      <c r="C1719" s="568">
        <v>0.3840277777777778</v>
      </c>
      <c r="D1719" s="336" t="s">
        <v>4505</v>
      </c>
      <c r="E1719" s="355" t="s">
        <v>4506</v>
      </c>
      <c r="F1719" s="336">
        <v>2</v>
      </c>
      <c r="G1719" s="63" t="s">
        <v>2752</v>
      </c>
      <c r="H1719" s="383">
        <v>45371</v>
      </c>
      <c r="I1719" s="65" t="s">
        <v>73</v>
      </c>
      <c r="J1719" s="65" t="s">
        <v>4746</v>
      </c>
      <c r="K1719" s="63" t="s">
        <v>3776</v>
      </c>
      <c r="L1719" s="63" t="s">
        <v>6654</v>
      </c>
      <c r="M1719" s="63" t="s">
        <v>6653</v>
      </c>
      <c r="N1719" s="63" t="s">
        <v>6655</v>
      </c>
      <c r="O1719" s="78" t="str">
        <f ca="1">IF(H1719&lt;&gt;"",IF(H1719&lt;=TODAY(),"SI","NO"),"LIMBO")</f>
        <v>SI</v>
      </c>
      <c r="P1719" s="78" t="str">
        <f>IF($P$1=H1719,"DIASOL", "DIANOSOL")</f>
        <v>DIANOSOL</v>
      </c>
      <c r="Q1719" s="63" t="s">
        <v>151</v>
      </c>
      <c r="R1719" s="63" t="str">
        <f>VLOOKUP($Q1719,Resultados!$A$1:$B$49,2,FALSE)</f>
        <v>Prisión Preventiva</v>
      </c>
      <c r="S1719" s="63" t="s">
        <v>1031</v>
      </c>
      <c r="T1719" s="81" t="str">
        <f>IF(G1719=$J$1,"SI","NO")</f>
        <v>NO</v>
      </c>
      <c r="U1719" s="81"/>
      <c r="V1719" s="7" t="str">
        <f ca="1">IF(color_Celda(E1719)=12106214,"ROSA",IF(color_Celda(E1719)=65535,"AMARILLO",IF(color_Celda(E1719)=5296274,"VERDE",IF(color_Celda(E1719)=16777215,"BLANCO","NO SE"))))</f>
        <v>ROSA</v>
      </c>
      <c r="W1719" s="63" t="s">
        <v>1601</v>
      </c>
      <c r="X1719" s="63" t="s">
        <v>6656</v>
      </c>
      <c r="Y1719" s="336"/>
      <c r="Z1719" s="118" t="s">
        <v>770</v>
      </c>
      <c r="AA1719" s="118" t="s">
        <v>3378</v>
      </c>
      <c r="AB1719" s="118" t="s">
        <v>5776</v>
      </c>
      <c r="AC1719" s="336"/>
    </row>
    <row r="1720" spans="1:29" ht="60" customHeight="1">
      <c r="A1720" s="336">
        <v>1729</v>
      </c>
      <c r="B1720" s="349">
        <v>45363</v>
      </c>
      <c r="C1720" s="568">
        <v>0.33333333333333331</v>
      </c>
      <c r="D1720" s="63" t="s">
        <v>6438</v>
      </c>
      <c r="E1720" s="355" t="s">
        <v>6437</v>
      </c>
      <c r="F1720" s="336">
        <v>5</v>
      </c>
      <c r="G1720" s="63" t="s">
        <v>3324</v>
      </c>
      <c r="H1720" s="349">
        <v>45371</v>
      </c>
      <c r="I1720" s="65" t="s">
        <v>73</v>
      </c>
      <c r="J1720" s="65" t="s">
        <v>31</v>
      </c>
      <c r="K1720" s="336">
        <f>IFERROR(VLOOKUP(J1720,Jueces!$A$1:$B$11,2,FALSE),"")</f>
        <v>2</v>
      </c>
      <c r="L1720" s="63" t="s">
        <v>4791</v>
      </c>
      <c r="M1720" s="63" t="s">
        <v>4674</v>
      </c>
      <c r="N1720" s="63" t="s">
        <v>1744</v>
      </c>
      <c r="O1720" s="78" t="str">
        <f ca="1">IF(H1720&lt;&gt;"",IF(H1720&lt;=TODAY(),"SI","NO"),"LIMBO")</f>
        <v>SI</v>
      </c>
      <c r="P1720" s="78" t="str">
        <f>IF($P$1=H1720,"DIASOL", "DIANOSOL")</f>
        <v>DIANOSOL</v>
      </c>
      <c r="Q1720" s="63" t="s">
        <v>151</v>
      </c>
      <c r="R1720" s="63" t="str">
        <f>VLOOKUP($Q1720,Resultados!$A$1:$B$49,2,FALSE)</f>
        <v>Prisión Preventiva</v>
      </c>
      <c r="S1720" s="63" t="s">
        <v>1336</v>
      </c>
      <c r="T1720" s="81" t="str">
        <f>IF(G1720=$J$1,"SI","NO")</f>
        <v>NO</v>
      </c>
      <c r="U1720" s="81"/>
      <c r="V1720" s="7" t="str">
        <f ca="1">IF(color_Celda(E1720)=12106214,"ROSA",IF(color_Celda(E1720)=65535,"AMARILLO",IF(color_Celda(E1720)=5296274,"VERDE",IF(color_Celda(E1720)=16777215,"BLANCO","NO SE"))))</f>
        <v>ROSA</v>
      </c>
      <c r="W1720" s="63" t="s">
        <v>1013</v>
      </c>
      <c r="X1720" s="336"/>
      <c r="Y1720" s="336"/>
      <c r="Z1720" s="118" t="s">
        <v>6591</v>
      </c>
      <c r="AA1720" s="118" t="s">
        <v>1165</v>
      </c>
      <c r="AB1720" s="118" t="s">
        <v>3258</v>
      </c>
      <c r="AC1720" s="336"/>
    </row>
    <row r="1721" spans="1:29" ht="60" customHeight="1">
      <c r="A1721" s="336">
        <v>1736</v>
      </c>
      <c r="B1721" s="349">
        <v>45363</v>
      </c>
      <c r="C1721" s="568">
        <v>0.45347222222222222</v>
      </c>
      <c r="D1721" s="63" t="s">
        <v>6450</v>
      </c>
      <c r="E1721" s="355" t="s">
        <v>6449</v>
      </c>
      <c r="F1721" s="336">
        <v>6</v>
      </c>
      <c r="G1721" s="63" t="s">
        <v>283</v>
      </c>
      <c r="H1721" s="349">
        <v>45371</v>
      </c>
      <c r="I1721" s="65" t="s">
        <v>73</v>
      </c>
      <c r="J1721" s="65" t="s">
        <v>4931</v>
      </c>
      <c r="K1721" s="63" t="s">
        <v>1982</v>
      </c>
      <c r="L1721" s="63" t="s">
        <v>805</v>
      </c>
      <c r="M1721" s="63" t="s">
        <v>4773</v>
      </c>
      <c r="N1721" s="63" t="s">
        <v>1744</v>
      </c>
      <c r="O1721" s="78" t="str">
        <f ca="1">IF(H1721&lt;&gt;"",IF(H1721&lt;=TODAY(),"SI","NO"),"LIMBO")</f>
        <v>SI</v>
      </c>
      <c r="P1721" s="78" t="str">
        <f>IF($P$1=H1721,"DIASOL", "DIANOSOL")</f>
        <v>DIANOSOL</v>
      </c>
      <c r="Q1721" s="63" t="s">
        <v>151</v>
      </c>
      <c r="R1721" s="63" t="str">
        <f>VLOOKUP($Q1721,Resultados!$A$1:$B$49,2,FALSE)</f>
        <v>Prisión Preventiva</v>
      </c>
      <c r="S1721" s="63" t="s">
        <v>1373</v>
      </c>
      <c r="T1721" s="81" t="str">
        <f>IF(G1721=$J$1,"SI","NO")</f>
        <v>NO</v>
      </c>
      <c r="U1721" s="81"/>
      <c r="V1721" s="7" t="str">
        <f ca="1">IF(color_Celda(E1721)=12106214,"ROSA",IF(color_Celda(E1721)=65535,"AMARILLO",IF(color_Celda(E1721)=5296274,"VERDE",IF(color_Celda(E1721)=16777215,"BLANCO","NO SE"))))</f>
        <v>ROSA</v>
      </c>
      <c r="W1721" s="63" t="s">
        <v>1584</v>
      </c>
      <c r="X1721" s="63" t="s">
        <v>6649</v>
      </c>
      <c r="Y1721" s="336"/>
      <c r="Z1721" s="118" t="s">
        <v>743</v>
      </c>
      <c r="AA1721" s="118" t="s">
        <v>2828</v>
      </c>
      <c r="AB1721" s="118" t="s">
        <v>1171</v>
      </c>
      <c r="AC1721" s="336"/>
    </row>
    <row r="1722" spans="1:29" ht="60" customHeight="1">
      <c r="A1722" s="336">
        <v>1740</v>
      </c>
      <c r="B1722" s="349">
        <v>45363</v>
      </c>
      <c r="C1722" s="568">
        <v>0.48819444444444443</v>
      </c>
      <c r="D1722" s="63" t="s">
        <v>6457</v>
      </c>
      <c r="E1722" s="64" t="s">
        <v>6577</v>
      </c>
      <c r="F1722" s="336">
        <v>5</v>
      </c>
      <c r="G1722" s="63" t="s">
        <v>29</v>
      </c>
      <c r="H1722" s="349">
        <v>45371</v>
      </c>
      <c r="I1722" s="65" t="s">
        <v>73</v>
      </c>
      <c r="J1722" s="65" t="s">
        <v>33</v>
      </c>
      <c r="K1722" s="336">
        <f>IFERROR(VLOOKUP(J1722,Jueces!$A$1:$B$11,2,FALSE),"")</f>
        <v>4</v>
      </c>
      <c r="L1722" s="63" t="s">
        <v>791</v>
      </c>
      <c r="M1722" s="63" t="s">
        <v>695</v>
      </c>
      <c r="N1722" s="63" t="s">
        <v>2243</v>
      </c>
      <c r="O1722" s="78" t="str">
        <f ca="1">IF(H1722&lt;&gt;"",IF(H1722&lt;=TODAY(),"SI","NO"),"LIMBO")</f>
        <v>SI</v>
      </c>
      <c r="P1722" s="78" t="str">
        <f>IF($P$1=H1722,"DIASOL", "DIANOSOL")</f>
        <v>DIANOSOL</v>
      </c>
      <c r="Q1722" s="63" t="s">
        <v>897</v>
      </c>
      <c r="R1722" s="63" t="str">
        <f>VLOOKUP($Q1722,Resultados!$A$1:$B$49,2,FALSE)</f>
        <v>Libertad</v>
      </c>
      <c r="S1722" s="63" t="s">
        <v>1031</v>
      </c>
      <c r="T1722" s="81" t="str">
        <f>IF(G1722=$J$1,"SI","NO")</f>
        <v>NO</v>
      </c>
      <c r="U1722" s="81"/>
      <c r="V1722" s="7" t="str">
        <f ca="1">IF(color_Celda(E1722)=12106214,"ROSA",IF(color_Celda(E1722)=65535,"AMARILLO",IF(color_Celda(E1722)=5296274,"VERDE",IF(color_Celda(E1722)=16777215,"BLANCO","NO SE"))))</f>
        <v>ROSA</v>
      </c>
      <c r="W1722" s="63" t="s">
        <v>1126</v>
      </c>
      <c r="X1722" s="63" t="s">
        <v>6657</v>
      </c>
      <c r="Y1722" s="336"/>
      <c r="Z1722" s="118" t="s">
        <v>3368</v>
      </c>
      <c r="AA1722" s="118" t="s">
        <v>1167</v>
      </c>
      <c r="AB1722" s="118" t="s">
        <v>1170</v>
      </c>
      <c r="AC1722" s="336"/>
    </row>
    <row r="1723" spans="1:29" ht="60" customHeight="1">
      <c r="A1723" s="336">
        <v>1711</v>
      </c>
      <c r="B1723" s="349">
        <v>45359</v>
      </c>
      <c r="C1723" s="568">
        <v>0.3743055555555555</v>
      </c>
      <c r="D1723" s="63" t="s">
        <v>6384</v>
      </c>
      <c r="E1723" s="64" t="s">
        <v>6385</v>
      </c>
      <c r="F1723" s="336">
        <v>5</v>
      </c>
      <c r="G1723" s="63" t="s">
        <v>2815</v>
      </c>
      <c r="H1723" s="349">
        <v>45371</v>
      </c>
      <c r="I1723" s="65" t="s">
        <v>1083</v>
      </c>
      <c r="J1723" s="65" t="s">
        <v>1216</v>
      </c>
      <c r="K1723" s="63" t="s">
        <v>1982</v>
      </c>
      <c r="L1723" s="63" t="s">
        <v>2077</v>
      </c>
      <c r="M1723" s="7" t="s">
        <v>3755</v>
      </c>
      <c r="N1723" s="63" t="s">
        <v>6651</v>
      </c>
      <c r="O1723" s="78" t="str">
        <f ca="1">IF(H1723&lt;&gt;"",IF(H1723&lt;=TODAY(),"SI","NO"),"LIMBO")</f>
        <v>SI</v>
      </c>
      <c r="P1723" s="78" t="str">
        <f>IF($P$1=H1723,"DIASOL", "DIANOSOL")</f>
        <v>DIANOSOL</v>
      </c>
      <c r="Q1723" s="63" t="s">
        <v>151</v>
      </c>
      <c r="R1723" s="63" t="str">
        <f>VLOOKUP($Q1723,Resultados!$A$1:$B$49,2,FALSE)</f>
        <v>Prisión Preventiva</v>
      </c>
      <c r="S1723" s="63" t="s">
        <v>1570</v>
      </c>
      <c r="T1723" s="81" t="str">
        <f>IF(G1723=$J$1,"SI","NO")</f>
        <v>NO</v>
      </c>
      <c r="U1723" s="81"/>
      <c r="V1723" s="7" t="str">
        <f ca="1">IF(color_Celda(E1723)=12106214,"ROSA",IF(color_Celda(E1723)=65535,"AMARILLO",IF(color_Celda(E1723)=5296274,"VERDE",IF(color_Celda(E1723)=16777215,"BLANCO","NO SE"))))</f>
        <v>ROSA</v>
      </c>
      <c r="W1723" s="63" t="s">
        <v>2935</v>
      </c>
      <c r="X1723" s="63" t="s">
        <v>6652</v>
      </c>
      <c r="Y1723" s="336"/>
      <c r="Z1723" s="118" t="s">
        <v>743</v>
      </c>
      <c r="AA1723" s="118" t="s">
        <v>2828</v>
      </c>
      <c r="AB1723" s="118" t="s">
        <v>3258</v>
      </c>
      <c r="AC1723" s="336"/>
    </row>
    <row r="1724" spans="1:29" ht="60" customHeight="1">
      <c r="A1724" s="336">
        <v>1714</v>
      </c>
      <c r="B1724" s="349">
        <v>45359</v>
      </c>
      <c r="C1724" s="568">
        <v>0.47847222222222219</v>
      </c>
      <c r="D1724" s="63" t="s">
        <v>6394</v>
      </c>
      <c r="E1724" s="355" t="s">
        <v>6395</v>
      </c>
      <c r="F1724" s="336">
        <v>5</v>
      </c>
      <c r="G1724" s="63" t="s">
        <v>1433</v>
      </c>
      <c r="H1724" s="349">
        <v>45371</v>
      </c>
      <c r="I1724" s="65" t="s">
        <v>1083</v>
      </c>
      <c r="J1724" s="65" t="s">
        <v>35</v>
      </c>
      <c r="K1724" s="336">
        <f>IFERROR(VLOOKUP(J1724,Jueces!$A$1:$B$11,2,FALSE),"")</f>
        <v>3</v>
      </c>
      <c r="L1724" s="63" t="s">
        <v>4791</v>
      </c>
      <c r="M1724" s="63" t="s">
        <v>4674</v>
      </c>
      <c r="N1724" s="63" t="s">
        <v>1744</v>
      </c>
      <c r="O1724" s="78" t="str">
        <f ca="1">IF(H1724&lt;&gt;"",IF(H1724&lt;=TODAY(),"SI","NO"),"LIMBO")</f>
        <v>SI</v>
      </c>
      <c r="P1724" s="78" t="str">
        <f>IF($P$1=H1724,"DIASOL", "DIANOSOL")</f>
        <v>DIANOSOL</v>
      </c>
      <c r="Q1724" s="63" t="s">
        <v>151</v>
      </c>
      <c r="R1724" s="63" t="str">
        <f>VLOOKUP($Q1724,Resultados!$A$1:$B$49,2,FALSE)</f>
        <v>Prisión Preventiva</v>
      </c>
      <c r="S1724" s="63" t="s">
        <v>1738</v>
      </c>
      <c r="T1724" s="81" t="str">
        <f>IF(G1724=$J$1,"SI","NO")</f>
        <v>NO</v>
      </c>
      <c r="U1724" s="81"/>
      <c r="V1724" s="7" t="str">
        <f ca="1">IF(color_Celda(E1724)=12106214,"ROSA",IF(color_Celda(E1724)=65535,"AMARILLO",IF(color_Celda(E1724)=5296274,"VERDE",IF(color_Celda(E1724)=16777215,"BLANCO","NO SE"))))</f>
        <v>ROSA</v>
      </c>
      <c r="W1724" s="63" t="s">
        <v>1128</v>
      </c>
      <c r="X1724" s="63" t="s">
        <v>6650</v>
      </c>
      <c r="Y1724" s="336"/>
      <c r="Z1724" s="118" t="s">
        <v>1039</v>
      </c>
      <c r="AA1724" s="118" t="s">
        <v>1165</v>
      </c>
      <c r="AB1724" s="118" t="s">
        <v>1171</v>
      </c>
      <c r="AC1724" s="336"/>
    </row>
    <row r="1725" spans="1:29" ht="60" customHeight="1">
      <c r="A1725" s="336">
        <v>1738</v>
      </c>
      <c r="B1725" s="349">
        <v>45363</v>
      </c>
      <c r="C1725" s="568">
        <v>0.4680555555555555</v>
      </c>
      <c r="D1725" s="63" t="s">
        <v>6454</v>
      </c>
      <c r="E1725" s="355" t="s">
        <v>6453</v>
      </c>
      <c r="F1725" s="336">
        <v>6</v>
      </c>
      <c r="G1725" s="63" t="s">
        <v>568</v>
      </c>
      <c r="H1725" s="349">
        <v>45371</v>
      </c>
      <c r="I1725" s="65" t="s">
        <v>1083</v>
      </c>
      <c r="J1725" s="65" t="s">
        <v>4932</v>
      </c>
      <c r="K1725" s="63" t="s">
        <v>3776</v>
      </c>
      <c r="L1725" s="63" t="s">
        <v>4790</v>
      </c>
      <c r="M1725" s="63" t="s">
        <v>1956</v>
      </c>
      <c r="N1725" s="205" t="s">
        <v>6648</v>
      </c>
      <c r="O1725" s="78" t="str">
        <f ca="1">IF(H1725&lt;&gt;"",IF(H1725&lt;=TODAY(),"SI","NO"),"LIMBO")</f>
        <v>SI</v>
      </c>
      <c r="P1725" s="78" t="str">
        <f>IF($P$1=H1725,"DIASOL", "DIANOSOL")</f>
        <v>DIANOSOL</v>
      </c>
      <c r="Q1725" s="63" t="s">
        <v>903</v>
      </c>
      <c r="R1725" s="63" t="str">
        <f>VLOOKUP($Q1725,Resultados!$A$1:$B$49,2,FALSE)</f>
        <v>Juicio Abreviado</v>
      </c>
      <c r="S1725" s="63" t="s">
        <v>4537</v>
      </c>
      <c r="T1725" s="81" t="str">
        <f>IF(G1725=$J$1,"SI","NO")</f>
        <v>NO</v>
      </c>
      <c r="U1725" s="81"/>
      <c r="V1725" s="7" t="str">
        <f ca="1">IF(color_Celda(E1725)=12106214,"ROSA",IF(color_Celda(E1725)=65535,"AMARILLO",IF(color_Celda(E1725)=5296274,"VERDE",IF(color_Celda(E1725)=16777215,"BLANCO","NO SE"))))</f>
        <v>ROSA</v>
      </c>
      <c r="W1725" s="63" t="s">
        <v>4176</v>
      </c>
      <c r="X1725" s="336"/>
      <c r="Y1725" s="336"/>
      <c r="Z1725" s="118" t="s">
        <v>770</v>
      </c>
      <c r="AA1725" s="118" t="s">
        <v>3379</v>
      </c>
      <c r="AB1725" s="118" t="s">
        <v>1170</v>
      </c>
      <c r="AC1725" s="336"/>
    </row>
    <row r="1726" spans="1:29" ht="60" customHeight="1">
      <c r="A1726" s="336">
        <v>1730</v>
      </c>
      <c r="B1726" s="349">
        <v>45363</v>
      </c>
      <c r="C1726" s="568">
        <v>0.33333333333333331</v>
      </c>
      <c r="D1726" s="63" t="s">
        <v>6439</v>
      </c>
      <c r="E1726" s="355" t="s">
        <v>6440</v>
      </c>
      <c r="F1726" s="336">
        <v>5</v>
      </c>
      <c r="G1726" s="63" t="s">
        <v>5710</v>
      </c>
      <c r="H1726" s="349">
        <v>45371</v>
      </c>
      <c r="I1726" s="65" t="s">
        <v>547</v>
      </c>
      <c r="J1726" s="65" t="s">
        <v>78</v>
      </c>
      <c r="K1726" s="336">
        <f>IFERROR(VLOOKUP(J1726,Jueces!$A$1:$B$11,2,FALSE),"")</f>
        <v>8</v>
      </c>
      <c r="L1726" s="63" t="s">
        <v>805</v>
      </c>
      <c r="M1726" s="339" t="s">
        <v>6645</v>
      </c>
      <c r="N1726" s="63" t="s">
        <v>6646</v>
      </c>
      <c r="O1726" s="78" t="str">
        <f ca="1">IF(H1726&lt;&gt;"",IF(H1726&lt;=TODAY(),"SI","NO"),"LIMBO")</f>
        <v>SI</v>
      </c>
      <c r="P1726" s="78" t="str">
        <f>IF($P$1=H1726,"DIASOL", "DIANOSOL")</f>
        <v>DIANOSOL</v>
      </c>
      <c r="Q1726" s="63" t="s">
        <v>903</v>
      </c>
      <c r="R1726" s="63" t="str">
        <f>VLOOKUP($Q1726,Resultados!$A$1:$B$49,2,FALSE)</f>
        <v>Juicio Abreviado</v>
      </c>
      <c r="S1726" s="63" t="s">
        <v>1431</v>
      </c>
      <c r="T1726" s="81" t="str">
        <f>IF(G1726=$J$1,"SI","NO")</f>
        <v>NO</v>
      </c>
      <c r="U1726" s="81"/>
      <c r="V1726" s="7" t="str">
        <f ca="1">IF(color_Celda(E1726)=12106214,"ROSA",IF(color_Celda(E1726)=65535,"AMARILLO",IF(color_Celda(E1726)=5296274,"VERDE",IF(color_Celda(E1726)=16777215,"BLANCO","NO SE"))))</f>
        <v>ROSA</v>
      </c>
      <c r="W1726" s="63" t="s">
        <v>2192</v>
      </c>
      <c r="X1726" s="63" t="s">
        <v>6647</v>
      </c>
      <c r="Y1726" s="336"/>
      <c r="Z1726" s="118" t="s">
        <v>748</v>
      </c>
      <c r="AA1726" s="118" t="s">
        <v>2869</v>
      </c>
      <c r="AB1726" s="118" t="s">
        <v>1173</v>
      </c>
      <c r="AC1726" s="336"/>
    </row>
    <row r="1727" spans="1:29" ht="60" customHeight="1">
      <c r="A1727" s="336">
        <v>1722</v>
      </c>
      <c r="B1727" s="349">
        <v>45362</v>
      </c>
      <c r="C1727" s="568">
        <v>0.36319444444444443</v>
      </c>
      <c r="D1727" s="63" t="s">
        <v>6426</v>
      </c>
      <c r="E1727" s="64" t="s">
        <v>6427</v>
      </c>
      <c r="F1727" s="336">
        <v>5</v>
      </c>
      <c r="G1727" s="63" t="s">
        <v>1435</v>
      </c>
      <c r="H1727" s="349">
        <v>45371</v>
      </c>
      <c r="I1727" s="65" t="s">
        <v>987</v>
      </c>
      <c r="J1727" s="65" t="s">
        <v>33</v>
      </c>
      <c r="K1727" s="336">
        <f>IFERROR(VLOOKUP(J1727,Jueces!$A$1:$B$11,2,FALSE),"")</f>
        <v>4</v>
      </c>
      <c r="L1727" s="63" t="s">
        <v>4788</v>
      </c>
      <c r="M1727" s="63" t="s">
        <v>1960</v>
      </c>
      <c r="N1727" s="63" t="s">
        <v>6658</v>
      </c>
      <c r="O1727" s="63" t="str">
        <f ca="1">IF(H1727&lt;&gt;"",IF(H1727&lt;=TODAY(),"SI","NO"),"LIMBO")</f>
        <v>SI</v>
      </c>
      <c r="P1727" s="63" t="str">
        <f>IF($P$1=H1727,"DIASOL", "DIANOSOL")</f>
        <v>DIANOSOL</v>
      </c>
      <c r="Q1727" s="63" t="s">
        <v>902</v>
      </c>
      <c r="R1727" s="63" t="str">
        <f>VLOOKUP($Q1727,Resultados!$A$1:$B$49,2,FALSE)</f>
        <v>Juicio Abreviado</v>
      </c>
      <c r="S1727" s="63" t="s">
        <v>6659</v>
      </c>
      <c r="T1727" s="72" t="str">
        <f>IF(G1727=$J$1,"SI","NO")</f>
        <v>SI</v>
      </c>
      <c r="U1727" s="72"/>
      <c r="V1727" s="7" t="str">
        <f ca="1">IF(color_Celda(E1727)=12106214,"ROSA",IF(color_Celda(E1727)=65535,"AMARILLO",IF(color_Celda(E1727)=5296274,"VERDE",IF(color_Celda(E1727)=16777215,"BLANCO","NO SE"))))</f>
        <v>ROSA</v>
      </c>
      <c r="W1727" s="63" t="s">
        <v>3527</v>
      </c>
      <c r="X1727" s="63" t="s">
        <v>6614</v>
      </c>
      <c r="Y1727" s="336"/>
      <c r="Z1727" s="118" t="s">
        <v>3368</v>
      </c>
      <c r="AA1727" s="118" t="s">
        <v>1167</v>
      </c>
      <c r="AB1727" s="118" t="s">
        <v>3258</v>
      </c>
      <c r="AC1727" s="336"/>
    </row>
    <row r="1728" spans="1:29" ht="60" customHeight="1">
      <c r="A1728" s="336">
        <v>1725</v>
      </c>
      <c r="B1728" s="349">
        <v>45362</v>
      </c>
      <c r="C1728" s="568">
        <v>0.46388888888888885</v>
      </c>
      <c r="D1728" s="63" t="s">
        <v>6433</v>
      </c>
      <c r="E1728" s="64" t="s">
        <v>6434</v>
      </c>
      <c r="F1728" s="336">
        <v>5</v>
      </c>
      <c r="G1728" s="63" t="s">
        <v>3791</v>
      </c>
      <c r="H1728" s="349">
        <v>45371</v>
      </c>
      <c r="I1728" s="65" t="s">
        <v>4930</v>
      </c>
      <c r="J1728" s="65" t="s">
        <v>1216</v>
      </c>
      <c r="K1728" s="336">
        <f>IFERROR(VLOOKUP(J1728,Jueces!$A$1:$B$11,2,FALSE),"")</f>
        <v>1</v>
      </c>
      <c r="L1728" s="63" t="s">
        <v>806</v>
      </c>
      <c r="M1728" s="63" t="s">
        <v>3755</v>
      </c>
      <c r="N1728" s="205" t="s">
        <v>6567</v>
      </c>
      <c r="O1728" s="78" t="str">
        <f ca="1">IF(H1728&lt;&gt;"",IF(H1728&lt;=TODAY(),"SI","NO"),"LIMBO")</f>
        <v>SI</v>
      </c>
      <c r="P1728" s="78" t="str">
        <f>IF($P$1=H1728,"DIASOL", "DIANOSOL")</f>
        <v>DIANOSOL</v>
      </c>
      <c r="Q1728" s="63" t="s">
        <v>903</v>
      </c>
      <c r="R1728" s="63" t="str">
        <f>VLOOKUP($Q1728,Resultados!$A$1:$B$49,2,FALSE)</f>
        <v>Juicio Abreviado</v>
      </c>
      <c r="S1728" s="63" t="s">
        <v>1907</v>
      </c>
      <c r="T1728" s="81" t="str">
        <f>IF(G1728=$J$1,"SI","NO")</f>
        <v>NO</v>
      </c>
      <c r="U1728" s="81"/>
      <c r="V1728" s="7" t="str">
        <f ca="1">IF(color_Celda(E1728)=12106214,"ROSA",IF(color_Celda(E1728)=65535,"AMARILLO",IF(color_Celda(E1728)=5296274,"VERDE",IF(color_Celda(E1728)=16777215,"BLANCO","NO SE"))))</f>
        <v>ROSA</v>
      </c>
      <c r="W1728" s="63" t="s">
        <v>6644</v>
      </c>
      <c r="X1728" s="63" t="s">
        <v>6614</v>
      </c>
      <c r="Y1728" s="336"/>
      <c r="Z1728" s="118" t="s">
        <v>770</v>
      </c>
      <c r="AA1728" s="118" t="s">
        <v>3378</v>
      </c>
      <c r="AB1728" s="118" t="s">
        <v>1171</v>
      </c>
      <c r="AC1728" s="336"/>
    </row>
    <row r="1729" spans="1:29" ht="60" customHeight="1">
      <c r="A1729" s="336">
        <v>1665</v>
      </c>
      <c r="B1729" s="349">
        <v>45352</v>
      </c>
      <c r="C1729" s="568">
        <v>0.47986111111111113</v>
      </c>
      <c r="D1729" s="63" t="s">
        <v>4587</v>
      </c>
      <c r="E1729" s="355" t="s">
        <v>4588</v>
      </c>
      <c r="F1729" s="336">
        <v>3</v>
      </c>
      <c r="G1729" s="63" t="s">
        <v>1434</v>
      </c>
      <c r="H1729" s="383">
        <v>45372</v>
      </c>
      <c r="I1729" s="65" t="s">
        <v>73</v>
      </c>
      <c r="J1729" s="65" t="s">
        <v>35</v>
      </c>
      <c r="K1729" s="336">
        <f>IFERROR(VLOOKUP(J1729,Jueces!$A$1:$B$11,2,FALSE),"")</f>
        <v>3</v>
      </c>
      <c r="L1729" s="63" t="s">
        <v>192</v>
      </c>
      <c r="M1729" s="63" t="s">
        <v>1025</v>
      </c>
      <c r="N1729" s="63" t="s">
        <v>6761</v>
      </c>
      <c r="O1729" s="206" t="str">
        <f ca="1">IF(H1729&lt;&gt;"",IF(H1729&lt;=TODAY(),"SI","NO"),"LIMBO")</f>
        <v>SI</v>
      </c>
      <c r="P1729" s="206" t="str">
        <f>IF($P$1=H1729,"DIASOL", "DIANOSOL")</f>
        <v>DIANOSOL</v>
      </c>
      <c r="Q1729" s="63" t="s">
        <v>151</v>
      </c>
      <c r="R1729" s="63" t="str">
        <f>VLOOKUP($Q1729,Resultados!$A$1:$B$49,2,FALSE)</f>
        <v>Prisión Preventiva</v>
      </c>
      <c r="S1729" s="63" t="s">
        <v>3094</v>
      </c>
      <c r="T1729" s="267" t="str">
        <f>IF(G1729=$J$1,"SI","NO")</f>
        <v>NO</v>
      </c>
      <c r="U1729" s="267"/>
      <c r="V1729" s="7" t="str">
        <f ca="1">IF(color_Celda(E1729)=12106214,"ROSA",IF(color_Celda(E1729)=65535,"AMARILLO",IF(color_Celda(E1729)=5296274,"VERDE",IF(color_Celda(E1729)=16777215,"BLANCO","NO SE"))))</f>
        <v>ROSA</v>
      </c>
      <c r="W1729" s="63" t="s">
        <v>1248</v>
      </c>
      <c r="X1729" s="63" t="s">
        <v>6762</v>
      </c>
      <c r="Y1729" s="336"/>
      <c r="Z1729" s="336"/>
      <c r="AA1729" s="63" t="s">
        <v>2828</v>
      </c>
      <c r="AB1729" s="336"/>
      <c r="AC1729" s="336"/>
    </row>
    <row r="1730" spans="1:29" ht="60" customHeight="1">
      <c r="A1730" s="336">
        <v>1766</v>
      </c>
      <c r="B1730" s="349">
        <v>45352</v>
      </c>
      <c r="C1730" s="568">
        <v>0.53680555555555554</v>
      </c>
      <c r="D1730" s="336" t="s">
        <v>6300</v>
      </c>
      <c r="E1730" s="355" t="s">
        <v>6301</v>
      </c>
      <c r="F1730" s="336">
        <v>4</v>
      </c>
      <c r="G1730" s="63" t="s">
        <v>3324</v>
      </c>
      <c r="H1730" s="383">
        <v>45372</v>
      </c>
      <c r="I1730" s="65" t="s">
        <v>73</v>
      </c>
      <c r="J1730" s="65" t="s">
        <v>4931</v>
      </c>
      <c r="K1730" s="63" t="s">
        <v>3776</v>
      </c>
      <c r="L1730" s="63" t="s">
        <v>4780</v>
      </c>
      <c r="M1730" s="63" t="s">
        <v>4771</v>
      </c>
      <c r="N1730" s="63" t="s">
        <v>6763</v>
      </c>
      <c r="O1730" s="78" t="str">
        <f ca="1">IF(H1730&lt;&gt;"",IF(H1730&lt;=TODAY(),"SI","NO"),"LIMBO")</f>
        <v>SI</v>
      </c>
      <c r="P1730" s="78" t="str">
        <f>IF($P$1=H1730,"DIASOL", "DIANOSOL")</f>
        <v>DIANOSOL</v>
      </c>
      <c r="Q1730" s="63" t="s">
        <v>151</v>
      </c>
      <c r="R1730" s="63" t="str">
        <f>VLOOKUP($Q1730,Resultados!$A$1:$B$49,2,FALSE)</f>
        <v>Prisión Preventiva</v>
      </c>
      <c r="S1730" s="63" t="s">
        <v>2659</v>
      </c>
      <c r="T1730" s="81" t="str">
        <f>IF(G1730=$J$1,"SI","NO")</f>
        <v>NO</v>
      </c>
      <c r="U1730" s="81"/>
      <c r="V1730" s="7" t="str">
        <f ca="1">IF(color_Celda(E1730)=12106214,"ROSA",IF(color_Celda(E1730)=65535,"AMARILLO",IF(color_Celda(E1730)=5296274,"VERDE",IF(color_Celda(E1730)=16777215,"BLANCO","NO SE"))))</f>
        <v>ROSA</v>
      </c>
      <c r="W1730" s="63" t="s">
        <v>1530</v>
      </c>
      <c r="X1730" s="63" t="s">
        <v>6764</v>
      </c>
      <c r="Y1730" s="336"/>
      <c r="Z1730" s="336"/>
      <c r="AA1730" s="63" t="s">
        <v>2869</v>
      </c>
      <c r="AB1730" s="63" t="s">
        <v>5776</v>
      </c>
      <c r="AC1730" s="336"/>
    </row>
    <row r="1731" spans="1:29" ht="60" customHeight="1">
      <c r="A1731" s="336">
        <v>1715</v>
      </c>
      <c r="B1731" s="349">
        <v>45359</v>
      </c>
      <c r="C1731" s="568">
        <v>0.48680555555555555</v>
      </c>
      <c r="D1731" s="63" t="s">
        <v>6396</v>
      </c>
      <c r="E1731" s="64" t="s">
        <v>6485</v>
      </c>
      <c r="F1731" s="336">
        <v>5</v>
      </c>
      <c r="G1731" s="63" t="s">
        <v>2752</v>
      </c>
      <c r="H1731" s="349">
        <v>45372</v>
      </c>
      <c r="I1731" s="65" t="s">
        <v>73</v>
      </c>
      <c r="J1731" s="65" t="s">
        <v>31</v>
      </c>
      <c r="K1731" s="336">
        <f>IFERROR(VLOOKUP(J1731,Jueces!$A$1:$B$11,2,FALSE),"")</f>
        <v>2</v>
      </c>
      <c r="L1731" s="63" t="s">
        <v>4795</v>
      </c>
      <c r="M1731" s="63" t="s">
        <v>3755</v>
      </c>
      <c r="N1731" s="205" t="s">
        <v>6695</v>
      </c>
      <c r="O1731" s="78" t="str">
        <f ca="1">IF(H1731&lt;&gt;"",IF(H1731&lt;=TODAY(),"SI","NO"),"LIMBO")</f>
        <v>SI</v>
      </c>
      <c r="P1731" s="78" t="str">
        <f>IF($P$1=H1731,"DIASOL", "DIANOSOL")</f>
        <v>DIANOSOL</v>
      </c>
      <c r="Q1731" s="63" t="s">
        <v>897</v>
      </c>
      <c r="R1731" s="63" t="str">
        <f>VLOOKUP($Q1731,Resultados!$A$1:$B$49,2,FALSE)</f>
        <v>Libertad</v>
      </c>
      <c r="S1731" s="63" t="s">
        <v>686</v>
      </c>
      <c r="T1731" s="81" t="str">
        <f>IF(G1731=$J$1,"SI","NO")</f>
        <v>NO</v>
      </c>
      <c r="U1731" s="81"/>
      <c r="V1731" s="7" t="str">
        <f ca="1">IF(color_Celda(E1731)=12106214,"ROSA",IF(color_Celda(E1731)=65535,"AMARILLO",IF(color_Celda(E1731)=5296274,"VERDE",IF(color_Celda(E1731)=16777215,"BLANCO","NO SE"))))</f>
        <v>ROSA</v>
      </c>
      <c r="W1731" s="63" t="s">
        <v>1383</v>
      </c>
      <c r="X1731" s="63" t="s">
        <v>6770</v>
      </c>
      <c r="Y1731" s="336"/>
      <c r="Z1731" s="336"/>
      <c r="AA1731" s="63" t="s">
        <v>1165</v>
      </c>
      <c r="AB1731" s="63" t="s">
        <v>1173</v>
      </c>
      <c r="AC1731" s="336"/>
    </row>
    <row r="1732" spans="1:29" ht="60" customHeight="1">
      <c r="A1732" s="336">
        <v>1753</v>
      </c>
      <c r="B1732" s="349">
        <v>45363</v>
      </c>
      <c r="C1732" s="568">
        <v>0.47500000000000003</v>
      </c>
      <c r="D1732" s="336" t="s">
        <v>5478</v>
      </c>
      <c r="E1732" s="355" t="s">
        <v>6358</v>
      </c>
      <c r="F1732" s="336">
        <v>2</v>
      </c>
      <c r="G1732" s="63" t="s">
        <v>568</v>
      </c>
      <c r="H1732" s="383">
        <v>45372</v>
      </c>
      <c r="I1732" s="65" t="s">
        <v>73</v>
      </c>
      <c r="J1732" s="65" t="s">
        <v>4932</v>
      </c>
      <c r="K1732" s="63" t="s">
        <v>3922</v>
      </c>
      <c r="L1732" s="63" t="s">
        <v>1693</v>
      </c>
      <c r="M1732" s="63" t="s">
        <v>5508</v>
      </c>
      <c r="N1732" s="63" t="s">
        <v>6768</v>
      </c>
      <c r="O1732" s="78" t="str">
        <f ca="1">IF(H1732&lt;&gt;"",IF(H1732&lt;=TODAY(),"SI","NO"),"LIMBO")</f>
        <v>SI</v>
      </c>
      <c r="P1732" s="78" t="str">
        <f>IF($P$1=H1732,"DIASOL", "DIANOSOL")</f>
        <v>DIANOSOL</v>
      </c>
      <c r="Q1732" s="63" t="s">
        <v>151</v>
      </c>
      <c r="R1732" s="63" t="str">
        <f>VLOOKUP($Q1732,Resultados!$A$1:$B$49,2,FALSE)</f>
        <v>Prisión Preventiva</v>
      </c>
      <c r="S1732" s="63" t="s">
        <v>1231</v>
      </c>
      <c r="T1732" s="81" t="str">
        <f>IF(G1732=$J$1,"SI","NO")</f>
        <v>NO</v>
      </c>
      <c r="U1732" s="81"/>
      <c r="V1732" s="7" t="str">
        <f ca="1">IF(color_Celda(E1732)=12106214,"ROSA",IF(color_Celda(E1732)=65535,"AMARILLO",IF(color_Celda(E1732)=5296274,"VERDE",IF(color_Celda(E1732)=16777215,"BLANCO","NO SE"))))</f>
        <v>ROSA</v>
      </c>
      <c r="W1732" s="63" t="s">
        <v>1383</v>
      </c>
      <c r="X1732" s="63" t="s">
        <v>6769</v>
      </c>
      <c r="Y1732" s="336"/>
      <c r="Z1732" s="336"/>
      <c r="AA1732" s="63" t="s">
        <v>1165</v>
      </c>
      <c r="AB1732" s="63" t="s">
        <v>3258</v>
      </c>
      <c r="AC1732" s="336"/>
    </row>
    <row r="1733" spans="1:29" ht="60" customHeight="1">
      <c r="A1733" s="336">
        <v>1747</v>
      </c>
      <c r="B1733" s="349">
        <v>45364</v>
      </c>
      <c r="C1733" s="568">
        <v>0.4465277777777778</v>
      </c>
      <c r="D1733" s="63" t="s">
        <v>6473</v>
      </c>
      <c r="E1733" s="355" t="s">
        <v>6474</v>
      </c>
      <c r="F1733" s="336">
        <v>5</v>
      </c>
      <c r="G1733" s="63" t="s">
        <v>5710</v>
      </c>
      <c r="H1733" s="349">
        <v>45372</v>
      </c>
      <c r="I1733" s="65" t="s">
        <v>73</v>
      </c>
      <c r="J1733" s="65" t="s">
        <v>4746</v>
      </c>
      <c r="K1733" s="63" t="s">
        <v>1982</v>
      </c>
      <c r="L1733" s="63" t="s">
        <v>4791</v>
      </c>
      <c r="M1733" s="63" t="s">
        <v>4674</v>
      </c>
      <c r="N1733" s="63" t="s">
        <v>6765</v>
      </c>
      <c r="O1733" s="78" t="str">
        <f ca="1">IF(H1733&lt;&gt;"",IF(H1733&lt;=TODAY(),"SI","NO"),"LIMBO")</f>
        <v>SI</v>
      </c>
      <c r="P1733" s="78" t="str">
        <f>IF($P$1=H1733,"DIASOL", "DIANOSOL")</f>
        <v>DIANOSOL</v>
      </c>
      <c r="Q1733" s="63" t="s">
        <v>897</v>
      </c>
      <c r="R1733" s="63" t="str">
        <f>VLOOKUP($Q1733,Resultados!$A$1:$B$49,2,FALSE)</f>
        <v>Libertad</v>
      </c>
      <c r="S1733" s="63" t="s">
        <v>1013</v>
      </c>
      <c r="T1733" s="81" t="str">
        <f>IF(G1733=$J$1,"SI","NO")</f>
        <v>NO</v>
      </c>
      <c r="U1733" s="81"/>
      <c r="V1733" s="7" t="str">
        <f ca="1">IF(color_Celda(E1733)=12106214,"ROSA",IF(color_Celda(E1733)=65535,"AMARILLO",IF(color_Celda(E1733)=5296274,"VERDE",IF(color_Celda(E1733)=16777215,"BLANCO","NO SE"))))</f>
        <v>ROSA</v>
      </c>
      <c r="W1733" s="568">
        <v>0.38680555555555557</v>
      </c>
      <c r="X1733" s="63" t="s">
        <v>6766</v>
      </c>
      <c r="Y1733" s="336"/>
      <c r="Z1733" s="336"/>
      <c r="AA1733" s="63" t="s">
        <v>1167</v>
      </c>
      <c r="AB1733" s="63" t="s">
        <v>1170</v>
      </c>
      <c r="AC1733" s="336"/>
    </row>
    <row r="1734" spans="1:29" ht="60" customHeight="1">
      <c r="A1734" s="336">
        <v>1748</v>
      </c>
      <c r="B1734" s="349">
        <v>45364</v>
      </c>
      <c r="C1734" s="568">
        <v>0.45069444444444445</v>
      </c>
      <c r="D1734" s="63" t="s">
        <v>6475</v>
      </c>
      <c r="E1734" s="355" t="s">
        <v>6476</v>
      </c>
      <c r="F1734" s="336">
        <v>6</v>
      </c>
      <c r="G1734" s="63" t="s">
        <v>29</v>
      </c>
      <c r="H1734" s="349">
        <v>45372</v>
      </c>
      <c r="I1734" s="65" t="s">
        <v>73</v>
      </c>
      <c r="J1734" s="65" t="s">
        <v>33</v>
      </c>
      <c r="K1734" s="336">
        <f>IFERROR(VLOOKUP(J1734,Jueces!$A$1:$B$11,2,FALSE),"")</f>
        <v>4</v>
      </c>
      <c r="L1734" s="63" t="s">
        <v>3638</v>
      </c>
      <c r="M1734" s="63" t="s">
        <v>2353</v>
      </c>
      <c r="N1734" s="205" t="s">
        <v>6700</v>
      </c>
      <c r="O1734" s="78" t="str">
        <f ca="1">IF(H1734&lt;&gt;"",IF(H1734&lt;=TODAY(),"SI","NO"),"LIMBO")</f>
        <v>SI</v>
      </c>
      <c r="P1734" s="78" t="str">
        <f>IF($P$1=H1734,"DIASOL", "DIANOSOL")</f>
        <v>DIANOSOL</v>
      </c>
      <c r="Q1734" s="63" t="s">
        <v>902</v>
      </c>
      <c r="R1734" s="63" t="str">
        <f>VLOOKUP($Q1734,Resultados!$A$1:$B$49,2,FALSE)</f>
        <v>Juicio Abreviado</v>
      </c>
      <c r="S1734" s="63" t="s">
        <v>76</v>
      </c>
      <c r="T1734" s="81" t="str">
        <f>IF(G1734=$J$1,"SI","NO")</f>
        <v>NO</v>
      </c>
      <c r="U1734" s="81"/>
      <c r="V1734" s="7" t="str">
        <f ca="1">IF(color_Celda(E1734)=12106214,"ROSA",IF(color_Celda(E1734)=65535,"AMARILLO",IF(color_Celda(E1734)=5296274,"VERDE",IF(color_Celda(E1734)=16777215,"BLANCO","NO SE"))))</f>
        <v>ROSA</v>
      </c>
      <c r="W1734" s="63" t="s">
        <v>1294</v>
      </c>
      <c r="X1734" s="63" t="s">
        <v>6614</v>
      </c>
      <c r="Y1734" s="336"/>
      <c r="Z1734" s="336"/>
      <c r="AA1734" s="63" t="s">
        <v>2828</v>
      </c>
      <c r="AB1734" s="63" t="s">
        <v>1169</v>
      </c>
      <c r="AC1734" s="336"/>
    </row>
    <row r="1735" spans="1:29" ht="60" customHeight="1">
      <c r="A1735" s="336">
        <v>1811</v>
      </c>
      <c r="B1735" s="349">
        <v>45363</v>
      </c>
      <c r="C1735" s="568">
        <v>0.4201388888888889</v>
      </c>
      <c r="D1735" s="336" t="s">
        <v>6447</v>
      </c>
      <c r="E1735" s="355" t="s">
        <v>6448</v>
      </c>
      <c r="F1735" s="336">
        <v>5</v>
      </c>
      <c r="G1735" s="63" t="s">
        <v>2753</v>
      </c>
      <c r="H1735" s="383">
        <v>45372</v>
      </c>
      <c r="I1735" s="65" t="s">
        <v>686</v>
      </c>
      <c r="J1735" s="65" t="s">
        <v>33</v>
      </c>
      <c r="K1735" s="336">
        <f>IFERROR(VLOOKUP(J1735,Jueces!$A$1:$B$11,2,FALSE),"")</f>
        <v>4</v>
      </c>
      <c r="L1735" s="63" t="s">
        <v>4776</v>
      </c>
      <c r="M1735" s="63" t="s">
        <v>1866</v>
      </c>
      <c r="N1735" s="63" t="s">
        <v>6759</v>
      </c>
      <c r="O1735" s="78" t="str">
        <f ca="1">IF(H1735&lt;&gt;"",IF(H1735&lt;=TODAY(),"SI","NO"),"LIMBO")</f>
        <v>SI</v>
      </c>
      <c r="P1735" s="78" t="str">
        <f>IF($P$1=H1735,"DIASOL", "DIANOSOL")</f>
        <v>DIANOSOL</v>
      </c>
      <c r="Q1735" s="63" t="s">
        <v>902</v>
      </c>
      <c r="R1735" s="63" t="str">
        <f>VLOOKUP($Q1735,Resultados!$A$1:$B$49,2,FALSE)</f>
        <v>Juicio Abreviado</v>
      </c>
      <c r="S1735" s="63" t="s">
        <v>1125</v>
      </c>
      <c r="T1735" s="81" t="str">
        <f>IF(G1735=$J$1,"SI","NO")</f>
        <v>NO</v>
      </c>
      <c r="U1735" s="81"/>
      <c r="V1735" s="7" t="str">
        <f ca="1">IF(color_Celda(E1735)=12106214,"ROSA",IF(color_Celda(E1735)=65535,"AMARILLO",IF(color_Celda(E1735)=5296274,"VERDE",IF(color_Celda(E1735)=16777215,"BLANCO","NO SE"))))</f>
        <v>ROSA</v>
      </c>
      <c r="W1735" s="63" t="s">
        <v>1129</v>
      </c>
      <c r="X1735" s="63" t="s">
        <v>6760</v>
      </c>
      <c r="Y1735" s="336"/>
      <c r="Z1735" s="336"/>
      <c r="AA1735" s="336"/>
      <c r="AB1735" s="63" t="s">
        <v>1169</v>
      </c>
      <c r="AC1735" s="336"/>
    </row>
    <row r="1736" spans="1:29" ht="60" customHeight="1">
      <c r="A1736" s="336">
        <v>1713</v>
      </c>
      <c r="B1736" s="349">
        <v>45359</v>
      </c>
      <c r="C1736" s="568">
        <v>0.38819444444444445</v>
      </c>
      <c r="D1736" s="336" t="s">
        <v>6386</v>
      </c>
      <c r="E1736" s="355" t="s">
        <v>6387</v>
      </c>
      <c r="F1736" s="336">
        <v>5</v>
      </c>
      <c r="G1736" s="63" t="s">
        <v>3323</v>
      </c>
      <c r="H1736" s="349">
        <v>45372</v>
      </c>
      <c r="I1736" s="65" t="s">
        <v>1083</v>
      </c>
      <c r="J1736" s="65" t="s">
        <v>31</v>
      </c>
      <c r="K1736" s="336">
        <f>IFERROR(VLOOKUP(J1736,Jueces!$A$1:$B$11,2,FALSE),"")</f>
        <v>2</v>
      </c>
      <c r="L1736" s="63" t="s">
        <v>4788</v>
      </c>
      <c r="M1736" s="63" t="s">
        <v>1960</v>
      </c>
      <c r="N1736" s="205" t="s">
        <v>6658</v>
      </c>
      <c r="O1736" s="78" t="str">
        <f ca="1">IF(H1736&lt;&gt;"",IF(H1736&lt;=TODAY(),"SI","NO"),"LIMBO")</f>
        <v>SI</v>
      </c>
      <c r="P1736" s="78" t="str">
        <f>IF($P$1=H1736,"DIASOL", "DIANOSOL")</f>
        <v>DIANOSOL</v>
      </c>
      <c r="Q1736" s="63" t="s">
        <v>902</v>
      </c>
      <c r="R1736" s="63" t="str">
        <f>VLOOKUP($Q1736,Resultados!$A$1:$B$49,2,FALSE)</f>
        <v>Juicio Abreviado</v>
      </c>
      <c r="S1736" s="63" t="s">
        <v>1126</v>
      </c>
      <c r="T1736" s="81" t="str">
        <f>IF(G1736=$J$1,"SI","NO")</f>
        <v>NO</v>
      </c>
      <c r="U1736" s="81"/>
      <c r="V1736" s="7" t="str">
        <f ca="1">IF(color_Celda(E1736)=12106214,"ROSA",IF(color_Celda(E1736)=65535,"AMARILLO",IF(color_Celda(E1736)=5296274,"VERDE",IF(color_Celda(E1736)=16777215,"BLANCO","NO SE"))))</f>
        <v>ROSA</v>
      </c>
      <c r="W1736" s="63" t="s">
        <v>1004</v>
      </c>
      <c r="X1736" s="63" t="s">
        <v>6767</v>
      </c>
      <c r="Y1736" s="336"/>
      <c r="Z1736" s="336"/>
      <c r="AA1736" s="63" t="s">
        <v>2869</v>
      </c>
      <c r="AB1736" s="63" t="s">
        <v>1171</v>
      </c>
      <c r="AC1736" s="336"/>
    </row>
    <row r="1737" spans="1:29" ht="60" customHeight="1">
      <c r="A1737" s="336">
        <v>1749</v>
      </c>
      <c r="B1737" s="349">
        <v>45364</v>
      </c>
      <c r="C1737" s="568">
        <v>0.45833333333333331</v>
      </c>
      <c r="D1737" s="63" t="s">
        <v>6477</v>
      </c>
      <c r="E1737" s="355" t="s">
        <v>6478</v>
      </c>
      <c r="F1737" s="336">
        <v>6</v>
      </c>
      <c r="G1737" s="63" t="s">
        <v>1435</v>
      </c>
      <c r="H1737" s="349">
        <v>45372</v>
      </c>
      <c r="I1737" s="65" t="s">
        <v>1083</v>
      </c>
      <c r="J1737" s="65" t="s">
        <v>33</v>
      </c>
      <c r="K1737" s="336">
        <f>IFERROR(VLOOKUP(J1737,Jueces!$A$1:$B$11,2,FALSE),"")</f>
        <v>4</v>
      </c>
      <c r="L1737" s="63" t="s">
        <v>4790</v>
      </c>
      <c r="M1737" s="63" t="s">
        <v>4773</v>
      </c>
      <c r="N1737" s="205" t="s">
        <v>1744</v>
      </c>
      <c r="O1737" s="167" t="str">
        <f ca="1">IF(H1737&lt;&gt;"",IF(H1737&lt;=TODAY(),"SI","NO"),"LIMBO")</f>
        <v>SI</v>
      </c>
      <c r="P1737" s="167" t="str">
        <f>IF($P$1=H1737,"DIASOL", "DIANOSOL")</f>
        <v>DIANOSOL</v>
      </c>
      <c r="Q1737" s="63" t="s">
        <v>151</v>
      </c>
      <c r="R1737" s="63" t="str">
        <f>VLOOKUP($Q1737,Resultados!$A$1:$B$49,2,FALSE)</f>
        <v>Prisión Preventiva</v>
      </c>
      <c r="S1737" s="63" t="s">
        <v>2044</v>
      </c>
      <c r="T1737" s="414" t="str">
        <f>IF(G1737=$J$1,"SI","NO")</f>
        <v>SI</v>
      </c>
      <c r="U1737" s="414"/>
      <c r="V1737" s="7" t="str">
        <f ca="1">IF(color_Celda(E1737)=12106214,"ROSA",IF(color_Celda(E1737)=65535,"AMARILLO",IF(color_Celda(E1737)=5296274,"VERDE",IF(color_Celda(E1737)=16777215,"BLANCO","NO SE"))))</f>
        <v>ROSA</v>
      </c>
      <c r="W1737" s="63" t="s">
        <v>3115</v>
      </c>
      <c r="X1737" s="63" t="s">
        <v>6756</v>
      </c>
      <c r="Y1737" s="336"/>
      <c r="Z1737" s="336"/>
      <c r="AA1737" s="63" t="s">
        <v>3378</v>
      </c>
      <c r="AB1737" s="63" t="s">
        <v>1173</v>
      </c>
      <c r="AC1737" s="336"/>
    </row>
    <row r="1738" spans="1:29" ht="60" customHeight="1">
      <c r="A1738" s="336">
        <v>1765</v>
      </c>
      <c r="B1738" s="349">
        <v>45365</v>
      </c>
      <c r="C1738" s="568">
        <v>0.4465277777777778</v>
      </c>
      <c r="D1738" s="63" t="s">
        <v>6510</v>
      </c>
      <c r="E1738" s="355" t="s">
        <v>6511</v>
      </c>
      <c r="F1738" s="336">
        <v>5</v>
      </c>
      <c r="G1738" s="336" t="s">
        <v>2766</v>
      </c>
      <c r="H1738" s="349">
        <v>45372</v>
      </c>
      <c r="I1738" s="65" t="s">
        <v>1083</v>
      </c>
      <c r="J1738" s="349" t="s">
        <v>78</v>
      </c>
      <c r="K1738" s="336">
        <f>IFERROR(VLOOKUP(J1738,Jueces!$A$1:$B$11,2,FALSE),"")</f>
        <v>8</v>
      </c>
      <c r="L1738" s="63" t="s">
        <v>806</v>
      </c>
      <c r="M1738" s="63" t="s">
        <v>4674</v>
      </c>
      <c r="N1738" s="205" t="s">
        <v>2243</v>
      </c>
      <c r="O1738" s="78" t="str">
        <f ca="1">IF(H1738&lt;&gt;"",IF(H1738&lt;=TODAY(),"SI","NO"),"LIMBO")</f>
        <v>SI</v>
      </c>
      <c r="P1738" s="78" t="str">
        <f>IF($P$1=H1738,"DIASOL", "DIANOSOL")</f>
        <v>DIANOSOL</v>
      </c>
      <c r="Q1738" s="63" t="s">
        <v>897</v>
      </c>
      <c r="R1738" s="63" t="str">
        <f>VLOOKUP($Q1738,Resultados!$A$1:$B$49,2,FALSE)</f>
        <v>Libertad</v>
      </c>
      <c r="S1738" s="63" t="s">
        <v>2935</v>
      </c>
      <c r="T1738" s="81" t="str">
        <f>IF(G1738=$J$1,"SI","NO")</f>
        <v>NO</v>
      </c>
      <c r="U1738" s="81"/>
      <c r="V1738" s="7" t="str">
        <f ca="1">IF(color_Celda(E1738)=12106214,"ROSA",IF(color_Celda(E1738)=65535,"AMARILLO",IF(color_Celda(E1738)=5296274,"VERDE",IF(color_Celda(E1738)=16777215,"BLANCO","NO SE"))))</f>
        <v>ROSA</v>
      </c>
      <c r="W1738" s="63" t="s">
        <v>75</v>
      </c>
      <c r="X1738" s="63" t="s">
        <v>1306</v>
      </c>
      <c r="Y1738" s="336"/>
      <c r="Z1738" s="336"/>
      <c r="AA1738" s="63" t="s">
        <v>1167</v>
      </c>
      <c r="AB1738" s="63" t="s">
        <v>1170</v>
      </c>
      <c r="AC1738" s="336"/>
    </row>
    <row r="1739" spans="1:29" ht="60" customHeight="1">
      <c r="A1739" s="336">
        <v>1745</v>
      </c>
      <c r="B1739" s="349">
        <v>45364</v>
      </c>
      <c r="C1739" s="568">
        <v>0.35486111111111113</v>
      </c>
      <c r="D1739" s="63" t="s">
        <v>6469</v>
      </c>
      <c r="E1739" s="355" t="s">
        <v>6470</v>
      </c>
      <c r="F1739" s="336">
        <v>5</v>
      </c>
      <c r="G1739" s="63" t="s">
        <v>2815</v>
      </c>
      <c r="H1739" s="349">
        <v>45372</v>
      </c>
      <c r="I1739" s="65" t="s">
        <v>1442</v>
      </c>
      <c r="J1739" s="65" t="s">
        <v>33</v>
      </c>
      <c r="K1739" s="336">
        <f>IFERROR(VLOOKUP(J1739,Jueces!$A$1:$B$11,2,FALSE),"")</f>
        <v>4</v>
      </c>
      <c r="L1739" s="63" t="s">
        <v>582</v>
      </c>
      <c r="M1739" s="63" t="s">
        <v>3755</v>
      </c>
      <c r="N1739" s="63" t="s">
        <v>6752</v>
      </c>
      <c r="O1739" s="233" t="str">
        <f ca="1">IF(H1739&lt;&gt;"",IF(H1739&lt;=TODAY(),"SI","NO"),"LIMBO")</f>
        <v>SI</v>
      </c>
      <c r="P1739" s="233" t="str">
        <f>IF($P$1=H1739,"DIASOL", "DIANOSOL")</f>
        <v>DIANOSOL</v>
      </c>
      <c r="Q1739" s="63" t="s">
        <v>902</v>
      </c>
      <c r="R1739" s="63" t="str">
        <f>VLOOKUP($Q1739,Resultados!$A$1:$B$49,2,FALSE)</f>
        <v>Juicio Abreviado</v>
      </c>
      <c r="S1739" s="63" t="s">
        <v>4077</v>
      </c>
      <c r="T1739" s="508" t="str">
        <f>IF(G1739=$J$1,"SI","NO")</f>
        <v>NO</v>
      </c>
      <c r="U1739" s="508"/>
      <c r="V1739" s="7" t="str">
        <f ca="1">IF(color_Celda(E1739)=12106214,"ROSA",IF(color_Celda(E1739)=65535,"AMARILLO",IF(color_Celda(E1739)=5296274,"VERDE",IF(color_Celda(E1739)=16777215,"BLANCO","NO SE"))))</f>
        <v>ROSA</v>
      </c>
      <c r="W1739" s="63" t="s">
        <v>3996</v>
      </c>
      <c r="X1739" s="63" t="s">
        <v>6753</v>
      </c>
      <c r="Y1739" s="336"/>
      <c r="Z1739" s="336"/>
      <c r="AA1739" s="336"/>
      <c r="AB1739" s="63" t="s">
        <v>3258</v>
      </c>
      <c r="AC1739" s="336"/>
    </row>
    <row r="1740" spans="1:29" ht="60" customHeight="1">
      <c r="A1740" s="336">
        <v>1769</v>
      </c>
      <c r="B1740" s="349">
        <v>45365</v>
      </c>
      <c r="C1740" s="568">
        <v>0.49513888888888885</v>
      </c>
      <c r="D1740" s="63" t="s">
        <v>6518</v>
      </c>
      <c r="E1740" s="355" t="s">
        <v>6517</v>
      </c>
      <c r="F1740" s="336">
        <v>5</v>
      </c>
      <c r="G1740" s="63" t="s">
        <v>283</v>
      </c>
      <c r="H1740" s="349">
        <v>45372</v>
      </c>
      <c r="I1740" s="65" t="s">
        <v>75</v>
      </c>
      <c r="J1740" s="349" t="s">
        <v>78</v>
      </c>
      <c r="K1740" s="336">
        <f>IFERROR(VLOOKUP(J1740,Jueces!$A$1:$B$11,2,FALSE),"")</f>
        <v>8</v>
      </c>
      <c r="L1740" s="63" t="s">
        <v>4790</v>
      </c>
      <c r="M1740" s="63" t="s">
        <v>3755</v>
      </c>
      <c r="N1740" s="205" t="s">
        <v>6754</v>
      </c>
      <c r="O1740" s="78" t="str">
        <f ca="1">IF(H1740&lt;&gt;"",IF(H1740&lt;=TODAY(),"SI","NO"),"LIMBO")</f>
        <v>SI</v>
      </c>
      <c r="P1740" s="78" t="str">
        <f>IF($P$1=H1740,"DIASOL", "DIANOSOL")</f>
        <v>DIANOSOL</v>
      </c>
      <c r="Q1740" s="63" t="s">
        <v>902</v>
      </c>
      <c r="R1740" s="63" t="str">
        <f>VLOOKUP($Q1740,Resultados!$A$1:$B$49,2,FALSE)</f>
        <v>Juicio Abreviado</v>
      </c>
      <c r="S1740" s="63" t="s">
        <v>1146</v>
      </c>
      <c r="T1740" s="81" t="str">
        <f>IF(G1740=$J$1,"SI","NO")</f>
        <v>NO</v>
      </c>
      <c r="U1740" s="81"/>
      <c r="V1740" s="7" t="str">
        <f ca="1">IF(color_Celda(E1740)=12106214,"ROSA",IF(color_Celda(E1740)=65535,"AMARILLO",IF(color_Celda(E1740)=5296274,"VERDE",IF(color_Celda(E1740)=16777215,"BLANCO","NO SE"))))</f>
        <v>ROSA</v>
      </c>
      <c r="W1740" s="63" t="s">
        <v>3313</v>
      </c>
      <c r="X1740" s="150" t="s">
        <v>6755</v>
      </c>
      <c r="Y1740" s="336"/>
      <c r="Z1740" s="336"/>
      <c r="AA1740" s="63" t="s">
        <v>1167</v>
      </c>
      <c r="AB1740" s="63" t="s">
        <v>1171</v>
      </c>
      <c r="AC1740" s="336"/>
    </row>
    <row r="1741" spans="1:29" ht="60" customHeight="1">
      <c r="A1741" s="336">
        <v>1751</v>
      </c>
      <c r="B1741" s="349">
        <v>45364</v>
      </c>
      <c r="C1741" s="568">
        <v>0.47500000000000003</v>
      </c>
      <c r="D1741" s="63" t="s">
        <v>6481</v>
      </c>
      <c r="E1741" s="355" t="s">
        <v>6482</v>
      </c>
      <c r="F1741" s="336">
        <v>5</v>
      </c>
      <c r="G1741" s="63" t="s">
        <v>1433</v>
      </c>
      <c r="H1741" s="349">
        <v>45372</v>
      </c>
      <c r="I1741" s="65" t="s">
        <v>547</v>
      </c>
      <c r="J1741" s="65" t="s">
        <v>1216</v>
      </c>
      <c r="K1741" s="63" t="s">
        <v>6490</v>
      </c>
      <c r="L1741" s="63" t="s">
        <v>806</v>
      </c>
      <c r="M1741" s="63" t="s">
        <v>1960</v>
      </c>
      <c r="N1741" s="63" t="s">
        <v>6757</v>
      </c>
      <c r="O1741" s="233" t="str">
        <f ca="1">IF(H1741&lt;&gt;"",IF(H1741&lt;=TODAY(),"SI","NO"),"LIMBO")</f>
        <v>SI</v>
      </c>
      <c r="P1741" s="233" t="str">
        <f>IF($P$1=H1741,"DIASOL", "DIANOSOL")</f>
        <v>DIANOSOL</v>
      </c>
      <c r="Q1741" s="63" t="s">
        <v>902</v>
      </c>
      <c r="R1741" s="63" t="str">
        <f>VLOOKUP($Q1741,Resultados!$A$1:$B$49,2,FALSE)</f>
        <v>Juicio Abreviado</v>
      </c>
      <c r="S1741" s="63" t="s">
        <v>3466</v>
      </c>
      <c r="T1741" s="508" t="str">
        <f>IF(G1741=$J$1,"SI","NO")</f>
        <v>NO</v>
      </c>
      <c r="U1741" s="508"/>
      <c r="V1741" s="7" t="str">
        <f ca="1">IF(color_Celda(E1741)=12106214,"ROSA",IF(color_Celda(E1741)=65535,"AMARILLO",IF(color_Celda(E1741)=5296274,"VERDE",IF(color_Celda(E1741)=16777215,"BLANCO","NO SE"))))</f>
        <v>ROSA</v>
      </c>
      <c r="W1741" s="63" t="s">
        <v>3626</v>
      </c>
      <c r="X1741" s="562" t="s">
        <v>6758</v>
      </c>
      <c r="Y1741" s="336"/>
      <c r="Z1741" s="336"/>
      <c r="AA1741" s="63" t="s">
        <v>3378</v>
      </c>
      <c r="AB1741" s="63" t="s">
        <v>1173</v>
      </c>
      <c r="AC1741" s="336"/>
    </row>
    <row r="1742" spans="1:29" ht="60" customHeight="1">
      <c r="A1742" s="336">
        <v>1716</v>
      </c>
      <c r="B1742" s="349">
        <v>45359</v>
      </c>
      <c r="C1742" s="568">
        <v>0.49583333333333335</v>
      </c>
      <c r="D1742" s="63" t="s">
        <v>6397</v>
      </c>
      <c r="E1742" s="355" t="s">
        <v>6398</v>
      </c>
      <c r="F1742" s="336">
        <v>5</v>
      </c>
      <c r="G1742" s="63" t="s">
        <v>2815</v>
      </c>
      <c r="H1742" s="349">
        <v>45373</v>
      </c>
      <c r="I1742" s="65" t="s">
        <v>73</v>
      </c>
      <c r="J1742" s="65" t="s">
        <v>31</v>
      </c>
      <c r="K1742" s="336">
        <f>IFERROR(VLOOKUP(J1742,Jueces!$A$1:$B$11,2,FALSE),"")</f>
        <v>2</v>
      </c>
      <c r="L1742" s="63" t="s">
        <v>1963</v>
      </c>
      <c r="M1742" s="339" t="s">
        <v>6425</v>
      </c>
      <c r="N1742" s="63" t="s">
        <v>2243</v>
      </c>
      <c r="O1742" s="78" t="str">
        <f ca="1">IF(H1742&lt;&gt;"",IF(H1742&lt;=TODAY(),"SI","NO"),"LIMBO")</f>
        <v>SI</v>
      </c>
      <c r="P1742" s="78" t="str">
        <f>IF($P$1=H1742,"DIASOL", "DIANOSOL")</f>
        <v>DIANOSOL</v>
      </c>
      <c r="Q1742" s="63" t="s">
        <v>897</v>
      </c>
      <c r="R1742" s="63" t="str">
        <f>VLOOKUP($Q1742,Resultados!$A$1:$B$49,2,FALSE)</f>
        <v>Libertad</v>
      </c>
      <c r="S1742" s="63" t="s">
        <v>749</v>
      </c>
      <c r="T1742" s="81" t="str">
        <f>IF(G1742=$J$1,"SI","NO")</f>
        <v>NO</v>
      </c>
      <c r="U1742" s="81"/>
      <c r="V1742" s="7" t="str">
        <f ca="1">IF(color_Celda(E1742)=12106214,"ROSA",IF(color_Celda(E1742)=65535,"AMARILLO",IF(color_Celda(E1742)=5296274,"VERDE",IF(color_Celda(E1742)=16777215,"BLANCO","NO SE"))))</f>
        <v>ROSA</v>
      </c>
      <c r="W1742" s="63" t="s">
        <v>1062</v>
      </c>
      <c r="X1742" s="63" t="s">
        <v>6806</v>
      </c>
      <c r="Y1742" s="336"/>
      <c r="Z1742" s="118" t="s">
        <v>748</v>
      </c>
      <c r="AA1742" s="118" t="s">
        <v>2869</v>
      </c>
      <c r="AB1742" s="118" t="s">
        <v>1170</v>
      </c>
      <c r="AC1742" s="336"/>
    </row>
    <row r="1743" spans="1:29" ht="60" customHeight="1">
      <c r="A1743" s="336">
        <v>1754</v>
      </c>
      <c r="B1743" s="349">
        <v>45363</v>
      </c>
      <c r="C1743" s="568">
        <v>0.50694444444444442</v>
      </c>
      <c r="D1743" s="63" t="s">
        <v>6486</v>
      </c>
      <c r="E1743" s="64" t="s">
        <v>6487</v>
      </c>
      <c r="F1743" s="336">
        <v>6</v>
      </c>
      <c r="G1743" s="63" t="s">
        <v>3324</v>
      </c>
      <c r="H1743" s="349">
        <v>45373</v>
      </c>
      <c r="I1743" s="65" t="s">
        <v>73</v>
      </c>
      <c r="J1743" s="65" t="s">
        <v>35</v>
      </c>
      <c r="K1743" s="336">
        <f>IFERROR(VLOOKUP(J1743,Jueces!$A$1:$B$11,2,FALSE),"")</f>
        <v>3</v>
      </c>
      <c r="L1743" s="63" t="s">
        <v>4778</v>
      </c>
      <c r="M1743" s="63" t="s">
        <v>6812</v>
      </c>
      <c r="N1743" s="63" t="s">
        <v>6809</v>
      </c>
      <c r="O1743" s="233" t="str">
        <f ca="1">IF(H1743&lt;&gt;"",IF(H1743&lt;=TODAY(),"SI","NO"),"LIMBO")</f>
        <v>SI</v>
      </c>
      <c r="P1743" s="233" t="str">
        <f>IF($P$1=H1743,"DIASOL", "DIANOSOL")</f>
        <v>DIANOSOL</v>
      </c>
      <c r="Q1743" s="63" t="s">
        <v>910</v>
      </c>
      <c r="R1743" s="63" t="str">
        <f>VLOOKUP($Q1743,Resultados!$A$1:$B$49,2,FALSE)</f>
        <v>Suspendida</v>
      </c>
      <c r="S1743" s="70">
        <v>0.3527777777777778</v>
      </c>
      <c r="T1743" s="508" t="str">
        <f>IF(G1743=$J$1,"SI","NO")</f>
        <v>NO</v>
      </c>
      <c r="U1743" s="508"/>
      <c r="V1743" s="7" t="str">
        <f ca="1">IF(color_Celda(E1743)=12106214,"ROSA",IF(color_Celda(E1743)=65535,"AMARILLO",IF(color_Celda(E1743)=5296274,"VERDE",IF(color_Celda(E1743)=16777215,"BLANCO","NO SE"))))</f>
        <v>ROSA</v>
      </c>
      <c r="W1743" s="63" t="s">
        <v>1421</v>
      </c>
      <c r="X1743" s="63" t="s">
        <v>6810</v>
      </c>
      <c r="Y1743" s="336"/>
      <c r="Z1743" s="118" t="s">
        <v>770</v>
      </c>
      <c r="AA1743" s="118" t="s">
        <v>2869</v>
      </c>
      <c r="AB1743" s="118" t="s">
        <v>1169</v>
      </c>
      <c r="AC1743" s="336"/>
    </row>
    <row r="1744" spans="1:29" ht="60" customHeight="1">
      <c r="A1744" s="336">
        <v>1744</v>
      </c>
      <c r="B1744" s="349">
        <v>45364</v>
      </c>
      <c r="C1744" s="568">
        <v>0.33333333333333331</v>
      </c>
      <c r="D1744" s="63" t="s">
        <v>6468</v>
      </c>
      <c r="E1744" s="64" t="s">
        <v>6544</v>
      </c>
      <c r="F1744" s="336">
        <v>6</v>
      </c>
      <c r="G1744" s="63" t="s">
        <v>568</v>
      </c>
      <c r="H1744" s="349">
        <v>45373</v>
      </c>
      <c r="I1744" s="65" t="s">
        <v>73</v>
      </c>
      <c r="J1744" s="65" t="s">
        <v>4931</v>
      </c>
      <c r="K1744" s="63" t="s">
        <v>1982</v>
      </c>
      <c r="L1744" s="63" t="s">
        <v>791</v>
      </c>
      <c r="M1744" s="63" t="s">
        <v>4773</v>
      </c>
      <c r="N1744" s="63" t="s">
        <v>6805</v>
      </c>
      <c r="O1744" s="167" t="str">
        <f ca="1">IF(H1744&lt;&gt;"",IF(H1744&lt;=TODAY(),"SI","NO"),"LIMBO")</f>
        <v>SI</v>
      </c>
      <c r="P1744" s="167" t="str">
        <f>IF($P$1=H1744,"DIASOL", "DIANOSOL")</f>
        <v>DIANOSOL</v>
      </c>
      <c r="Q1744" s="63" t="s">
        <v>902</v>
      </c>
      <c r="R1744" s="63" t="str">
        <f>VLOOKUP($Q1744,Resultados!$A$1:$B$49,2,FALSE)</f>
        <v>Juicio Abreviado</v>
      </c>
      <c r="S1744" s="63" t="s">
        <v>1291</v>
      </c>
      <c r="T1744" s="414" t="str">
        <f>IF(G1744=$J$1,"SI","NO")</f>
        <v>NO</v>
      </c>
      <c r="U1744" s="414"/>
      <c r="V1744" s="7" t="str">
        <f ca="1">IF(color_Celda(E1744)=12106214,"ROSA",IF(color_Celda(E1744)=65535,"AMARILLO",IF(color_Celda(E1744)=5296274,"VERDE",IF(color_Celda(E1744)=16777215,"BLANCO","NO SE"))))</f>
        <v>ROSA</v>
      </c>
      <c r="W1744" s="63" t="s">
        <v>1230</v>
      </c>
      <c r="X1744" s="63" t="s">
        <v>6811</v>
      </c>
      <c r="Y1744" s="336"/>
      <c r="Z1744" s="118" t="s">
        <v>3368</v>
      </c>
      <c r="AA1744" s="118" t="s">
        <v>1165</v>
      </c>
      <c r="AB1744" s="118" t="s">
        <v>3258</v>
      </c>
      <c r="AC1744" s="336"/>
    </row>
    <row r="1745" spans="1:29" ht="60" customHeight="1">
      <c r="A1745" s="336">
        <v>1726</v>
      </c>
      <c r="B1745" s="349">
        <v>45362</v>
      </c>
      <c r="C1745" s="568">
        <v>0.47916666666666669</v>
      </c>
      <c r="D1745" s="63" t="s">
        <v>6435</v>
      </c>
      <c r="E1745" s="64" t="s">
        <v>6436</v>
      </c>
      <c r="F1745" s="336">
        <v>5</v>
      </c>
      <c r="G1745" s="63" t="s">
        <v>3323</v>
      </c>
      <c r="H1745" s="349">
        <v>45373</v>
      </c>
      <c r="I1745" s="65" t="s">
        <v>749</v>
      </c>
      <c r="J1745" s="65" t="s">
        <v>1221</v>
      </c>
      <c r="K1745" s="336">
        <f>IFERROR(VLOOKUP(J1745,Jueces!$A$1:$B$11,2,FALSE),"")</f>
        <v>6</v>
      </c>
      <c r="L1745" s="63" t="s">
        <v>4790</v>
      </c>
      <c r="M1745" s="63" t="s">
        <v>3755</v>
      </c>
      <c r="N1745" s="63" t="s">
        <v>6805</v>
      </c>
      <c r="O1745" s="78" t="str">
        <f ca="1">IF(H1745&lt;&gt;"",IF(H1745&lt;=TODAY(),"SI","NO"),"LIMBO")</f>
        <v>SI</v>
      </c>
      <c r="P1745" s="78" t="str">
        <f>IF($P$1=H1745,"DIASOL", "DIANOSOL")</f>
        <v>DIANOSOL</v>
      </c>
      <c r="Q1745" s="63" t="s">
        <v>902</v>
      </c>
      <c r="R1745" s="63" t="str">
        <f>VLOOKUP($Q1745,Resultados!$A$1:$B$49,2,FALSE)</f>
        <v>Juicio Abreviado</v>
      </c>
      <c r="S1745" s="63" t="s">
        <v>1524</v>
      </c>
      <c r="T1745" s="81" t="str">
        <f>IF(G1745=$J$1,"SI","NO")</f>
        <v>NO</v>
      </c>
      <c r="U1745" s="81"/>
      <c r="V1745" s="7" t="str">
        <f ca="1">IF(color_Celda(E1745)=12106214,"ROSA",IF(color_Celda(E1745)=65535,"AMARILLO",IF(color_Celda(E1745)=5296274,"VERDE",IF(color_Celda(E1745)=16777215,"BLANCO","NO SE"))))</f>
        <v>ROSA</v>
      </c>
      <c r="W1745" s="63" t="s">
        <v>1119</v>
      </c>
      <c r="X1745" s="336"/>
      <c r="Y1745" s="336"/>
      <c r="Z1745" s="118" t="s">
        <v>743</v>
      </c>
      <c r="AA1745" s="118" t="s">
        <v>1167</v>
      </c>
      <c r="AB1745" s="118" t="s">
        <v>5776</v>
      </c>
      <c r="AC1745" s="336"/>
    </row>
    <row r="1746" spans="1:29" ht="60" customHeight="1">
      <c r="A1746" s="336">
        <v>1693</v>
      </c>
      <c r="B1746" s="349">
        <v>45341</v>
      </c>
      <c r="C1746" s="568">
        <v>0.47430555555555554</v>
      </c>
      <c r="D1746" s="336" t="s">
        <v>6067</v>
      </c>
      <c r="E1746" s="64" t="s">
        <v>6068</v>
      </c>
      <c r="F1746" s="336">
        <v>3</v>
      </c>
      <c r="G1746" s="63" t="s">
        <v>29</v>
      </c>
      <c r="H1746" s="383">
        <v>45373</v>
      </c>
      <c r="I1746" s="65" t="s">
        <v>1083</v>
      </c>
      <c r="J1746" s="65" t="s">
        <v>1216</v>
      </c>
      <c r="K1746" s="336">
        <f>IFERROR(VLOOKUP(J1746,Jueces!$A$1:$B$11,2,FALSE),"")</f>
        <v>1</v>
      </c>
      <c r="L1746" s="63" t="s">
        <v>4791</v>
      </c>
      <c r="M1746" s="63" t="s">
        <v>2036</v>
      </c>
      <c r="N1746" s="63" t="s">
        <v>6803</v>
      </c>
      <c r="O1746" s="206" t="str">
        <f ca="1">IF(H1746&lt;&gt;"",IF(H1746&lt;=TODAY(),"SI","NO"),"LIMBO")</f>
        <v>SI</v>
      </c>
      <c r="P1746" s="206" t="str">
        <f>IF($P$1=H1746,"DIASOL", "DIANOSOL")</f>
        <v>DIANOSOL</v>
      </c>
      <c r="Q1746" s="63" t="s">
        <v>151</v>
      </c>
      <c r="R1746" s="63" t="str">
        <f>VLOOKUP($Q1746,Resultados!$A$1:$B$49,2,FALSE)</f>
        <v>Prisión Preventiva</v>
      </c>
      <c r="S1746" s="63" t="s">
        <v>2935</v>
      </c>
      <c r="T1746" s="267" t="str">
        <f>IF(G1746=$J$1,"SI","NO")</f>
        <v>NO</v>
      </c>
      <c r="U1746" s="267"/>
      <c r="V1746" s="7" t="str">
        <f ca="1">IF(color_Celda(E1746)=12106214,"ROSA",IF(color_Celda(E1746)=65535,"AMARILLO",IF(color_Celda(E1746)=5296274,"VERDE",IF(color_Celda(E1746)=16777215,"BLANCO","NO SE"))))</f>
        <v>ROSA</v>
      </c>
      <c r="W1746" s="63" t="s">
        <v>1128</v>
      </c>
      <c r="X1746" s="63" t="s">
        <v>6804</v>
      </c>
      <c r="Y1746" s="336"/>
      <c r="Z1746" s="118" t="s">
        <v>743</v>
      </c>
      <c r="AA1746" s="118" t="s">
        <v>3378</v>
      </c>
      <c r="AB1746" s="118" t="s">
        <v>3258</v>
      </c>
      <c r="AC1746" s="336"/>
    </row>
    <row r="1747" spans="1:29" ht="60" customHeight="1">
      <c r="A1747" s="336">
        <v>1780</v>
      </c>
      <c r="B1747" s="349">
        <v>45349</v>
      </c>
      <c r="C1747" s="568">
        <v>0.54166666666666663</v>
      </c>
      <c r="D1747" s="63" t="s">
        <v>6237</v>
      </c>
      <c r="E1747" s="355" t="s">
        <v>6540</v>
      </c>
      <c r="F1747" s="336">
        <v>4</v>
      </c>
      <c r="G1747" s="336" t="s">
        <v>3791</v>
      </c>
      <c r="H1747" s="383">
        <v>45373</v>
      </c>
      <c r="I1747" s="65" t="s">
        <v>1083</v>
      </c>
      <c r="J1747" s="349" t="s">
        <v>35</v>
      </c>
      <c r="K1747" s="336">
        <f>IFERROR(VLOOKUP(J1747,Jueces!$A$1:$B$11,2,FALSE),"")</f>
        <v>3</v>
      </c>
      <c r="L1747" s="63" t="s">
        <v>6623</v>
      </c>
      <c r="M1747" s="63" t="s">
        <v>1144</v>
      </c>
      <c r="N1747" s="150" t="s">
        <v>6808</v>
      </c>
      <c r="O1747" s="78" t="str">
        <f ca="1">IF(H1747&lt;&gt;"",IF(H1747&lt;=TODAY(),"SI","NO"),"LIMBO")</f>
        <v>SI</v>
      </c>
      <c r="P1747" s="78" t="str">
        <f>IF($P$1=H1747,"DIASOL", "DIANOSOL")</f>
        <v>DIANOSOL</v>
      </c>
      <c r="Q1747" s="63" t="s">
        <v>910</v>
      </c>
      <c r="R1747" s="63" t="str">
        <f>VLOOKUP($Q1747,Resultados!$A$1:$B$49,2,FALSE)</f>
        <v>Suspendida</v>
      </c>
      <c r="S1747" s="63" t="s">
        <v>1491</v>
      </c>
      <c r="T1747" s="81" t="str">
        <f>IF(G1747=$J$1,"SI","NO")</f>
        <v>NO</v>
      </c>
      <c r="U1747" s="81"/>
      <c r="V1747" s="7" t="str">
        <f ca="1">IF(color_Celda(E1747)=12106214,"ROSA",IF(color_Celda(E1747)=65535,"AMARILLO",IF(color_Celda(E1747)=5296274,"VERDE",IF(color_Celda(E1747)=16777215,"BLANCO","NO SE"))))</f>
        <v>ROSA</v>
      </c>
      <c r="W1747" s="63" t="s">
        <v>1164</v>
      </c>
      <c r="X1747" s="150" t="s">
        <v>6807</v>
      </c>
      <c r="Y1747" s="336"/>
      <c r="Z1747" s="118" t="s">
        <v>770</v>
      </c>
      <c r="AA1747" s="118" t="s">
        <v>2869</v>
      </c>
      <c r="AB1747" s="118" t="s">
        <v>1171</v>
      </c>
      <c r="AC1747" s="336"/>
    </row>
    <row r="1748" spans="1:29" ht="60" customHeight="1">
      <c r="A1748" s="336">
        <v>1746</v>
      </c>
      <c r="B1748" s="349">
        <v>45364</v>
      </c>
      <c r="C1748" s="568">
        <v>0.38055555555555554</v>
      </c>
      <c r="D1748" s="63" t="s">
        <v>6471</v>
      </c>
      <c r="E1748" s="355" t="s">
        <v>6472</v>
      </c>
      <c r="F1748" s="336">
        <v>5</v>
      </c>
      <c r="G1748" s="63" t="s">
        <v>1434</v>
      </c>
      <c r="H1748" s="349">
        <v>45373</v>
      </c>
      <c r="I1748" s="65" t="s">
        <v>1083</v>
      </c>
      <c r="J1748" s="65" t="s">
        <v>4932</v>
      </c>
      <c r="K1748" s="63" t="s">
        <v>1982</v>
      </c>
      <c r="L1748" s="63" t="s">
        <v>2412</v>
      </c>
      <c r="M1748" s="63" t="s">
        <v>1960</v>
      </c>
      <c r="N1748" s="63" t="s">
        <v>1744</v>
      </c>
      <c r="O1748" s="233" t="str">
        <f ca="1">IF(H1748&lt;&gt;"",IF(H1748&lt;=TODAY(),"SI","NO"),"LIMBO")</f>
        <v>SI</v>
      </c>
      <c r="P1748" s="233" t="str">
        <f>IF($P$1=H1748,"DIASOL", "DIANOSOL")</f>
        <v>DIANOSOL</v>
      </c>
      <c r="Q1748" s="63" t="s">
        <v>151</v>
      </c>
      <c r="R1748" s="63" t="str">
        <f>VLOOKUP($Q1748,Resultados!$A$1:$B$49,2,FALSE)</f>
        <v>Prisión Preventiva</v>
      </c>
      <c r="S1748" s="63" t="s">
        <v>2366</v>
      </c>
      <c r="T1748" s="508" t="str">
        <f>IF(G1748=$J$1,"SI","NO")</f>
        <v>NO</v>
      </c>
      <c r="U1748" s="508"/>
      <c r="V1748" s="7" t="str">
        <f ca="1">IF(color_Celda(E1748)=12106214,"ROSA",IF(color_Celda(E1748)=65535,"AMARILLO",IF(color_Celda(E1748)=5296274,"VERDE",IF(color_Celda(E1748)=16777215,"BLANCO","NO SE"))))</f>
        <v>ROSA</v>
      </c>
      <c r="W1748" s="63" t="s">
        <v>3158</v>
      </c>
      <c r="X1748" s="63" t="s">
        <v>6650</v>
      </c>
      <c r="Y1748" s="336"/>
      <c r="Z1748" s="118" t="s">
        <v>3368</v>
      </c>
      <c r="AA1748" s="118" t="s">
        <v>2828</v>
      </c>
      <c r="AB1748" s="118" t="s">
        <v>1173</v>
      </c>
      <c r="AC1748" s="336"/>
    </row>
    <row r="1749" spans="1:29" ht="60" customHeight="1">
      <c r="A1749" s="336">
        <v>1750</v>
      </c>
      <c r="B1749" s="349">
        <v>45364</v>
      </c>
      <c r="C1749" s="568">
        <v>0.46388888888888885</v>
      </c>
      <c r="D1749" s="63" t="s">
        <v>6480</v>
      </c>
      <c r="E1749" s="355" t="s">
        <v>6479</v>
      </c>
      <c r="F1749" s="336">
        <v>6</v>
      </c>
      <c r="G1749" s="63" t="s">
        <v>283</v>
      </c>
      <c r="H1749" s="349">
        <v>45373</v>
      </c>
      <c r="I1749" s="65" t="s">
        <v>1083</v>
      </c>
      <c r="J1749" s="65" t="s">
        <v>78</v>
      </c>
      <c r="K1749" s="336">
        <f>IFERROR(VLOOKUP(J1749,Jueces!$A$1:$B$11,2,FALSE),"")</f>
        <v>8</v>
      </c>
      <c r="L1749" s="63" t="s">
        <v>4790</v>
      </c>
      <c r="M1749" s="63" t="s">
        <v>4773</v>
      </c>
      <c r="N1749" s="245" t="s">
        <v>6801</v>
      </c>
      <c r="O1749" s="167" t="str">
        <f ca="1">IF(H1749&lt;&gt;"",IF(H1749&lt;=TODAY(),"SI","NO"),"LIMBO")</f>
        <v>SI</v>
      </c>
      <c r="P1749" s="167" t="str">
        <f>IF($P$1=H1749,"DIASOL", "DIANOSOL")</f>
        <v>DIANOSOL</v>
      </c>
      <c r="Q1749" s="63" t="s">
        <v>902</v>
      </c>
      <c r="R1749" s="63" t="str">
        <f>VLOOKUP($Q1749,Resultados!$A$1:$B$49,2,FALSE)</f>
        <v>Juicio Abreviado</v>
      </c>
      <c r="S1749" s="63" t="s">
        <v>3157</v>
      </c>
      <c r="T1749" s="414" t="str">
        <f>IF(G1749=$J$1,"SI","NO")</f>
        <v>NO</v>
      </c>
      <c r="U1749" s="414"/>
      <c r="V1749" s="7" t="str">
        <f ca="1">IF(color_Celda(E1749)=12106214,"ROSA",IF(color_Celda(E1749)=65535,"AMARILLO",IF(color_Celda(E1749)=5296274,"VERDE",IF(color_Celda(E1749)=16777215,"BLANCO","NO SE"))))</f>
        <v>ROSA</v>
      </c>
      <c r="W1749" s="63" t="s">
        <v>3513</v>
      </c>
      <c r="X1749" s="567" t="s">
        <v>6802</v>
      </c>
      <c r="Y1749" s="336"/>
      <c r="Z1749" s="118" t="s">
        <v>1039</v>
      </c>
      <c r="AA1749" s="118" t="s">
        <v>1165</v>
      </c>
      <c r="AB1749" s="118" t="s">
        <v>1170</v>
      </c>
      <c r="AC1749" s="336"/>
    </row>
    <row r="1750" spans="1:29" ht="60" customHeight="1">
      <c r="A1750" s="336">
        <v>1756</v>
      </c>
      <c r="B1750" s="349">
        <v>45365</v>
      </c>
      <c r="C1750" s="568">
        <v>0.33333333333333331</v>
      </c>
      <c r="D1750" s="375" t="s">
        <v>6499</v>
      </c>
      <c r="E1750" s="355" t="s">
        <v>6500</v>
      </c>
      <c r="F1750" s="336">
        <v>5</v>
      </c>
      <c r="G1750" s="63" t="s">
        <v>2766</v>
      </c>
      <c r="H1750" s="349">
        <v>45373</v>
      </c>
      <c r="I1750" s="65" t="s">
        <v>1083</v>
      </c>
      <c r="J1750" s="65" t="s">
        <v>31</v>
      </c>
      <c r="K1750" s="336">
        <f>IFERROR(VLOOKUP(J1750,Jueces!$A$1:$B$11,2,FALSE),"")</f>
        <v>2</v>
      </c>
      <c r="L1750" s="63" t="s">
        <v>806</v>
      </c>
      <c r="M1750" s="7" t="s">
        <v>4674</v>
      </c>
      <c r="N1750" s="63" t="s">
        <v>6805</v>
      </c>
      <c r="O1750" s="78" t="str">
        <f ca="1">IF(H1750&lt;&gt;"",IF(H1750&lt;=TODAY(),"SI","NO"),"LIMBO")</f>
        <v>SI</v>
      </c>
      <c r="P1750" s="78" t="str">
        <f>IF($P$1=H1750,"DIASOL", "DIANOSOL")</f>
        <v>DIANOSOL</v>
      </c>
      <c r="Q1750" s="63" t="s">
        <v>902</v>
      </c>
      <c r="R1750" s="63" t="str">
        <f>VLOOKUP($Q1750,Resultados!$A$1:$B$49,2,FALSE)</f>
        <v>Juicio Abreviado</v>
      </c>
      <c r="S1750" s="63" t="s">
        <v>1570</v>
      </c>
      <c r="T1750" s="81" t="str">
        <f>IF(G1750=$J$1,"SI","NO")</f>
        <v>NO</v>
      </c>
      <c r="U1750" s="81"/>
      <c r="V1750" s="7" t="str">
        <f ca="1">IF(color_Celda(E1750)=12106214,"ROSA",IF(color_Celda(E1750)=65535,"AMARILLO",IF(color_Celda(E1750)=5296274,"VERDE",IF(color_Celda(E1750)=16777215,"BLANCO","NO SE"))))</f>
        <v>ROSA</v>
      </c>
      <c r="W1750" s="63" t="s">
        <v>1239</v>
      </c>
      <c r="X1750" s="63" t="s">
        <v>6650</v>
      </c>
      <c r="Y1750" s="336"/>
      <c r="Z1750" s="118" t="s">
        <v>748</v>
      </c>
      <c r="AA1750" s="118" t="s">
        <v>1167</v>
      </c>
      <c r="AB1750" s="118" t="s">
        <v>1169</v>
      </c>
      <c r="AC1750" s="336" t="s">
        <v>1792</v>
      </c>
    </row>
    <row r="1751" spans="1:29" ht="60" customHeight="1">
      <c r="A1751" s="336">
        <v>1802</v>
      </c>
      <c r="B1751" s="349">
        <v>45363</v>
      </c>
      <c r="C1751" s="568">
        <v>0.3972222222222222</v>
      </c>
      <c r="D1751" s="349" t="s">
        <v>6445</v>
      </c>
      <c r="E1751" s="355" t="s">
        <v>6446</v>
      </c>
      <c r="F1751" s="336">
        <v>5</v>
      </c>
      <c r="G1751" s="63" t="s">
        <v>1434</v>
      </c>
      <c r="H1751" s="383">
        <v>45373</v>
      </c>
      <c r="I1751" s="63" t="s">
        <v>75</v>
      </c>
      <c r="J1751" s="63" t="s">
        <v>78</v>
      </c>
      <c r="K1751" s="63">
        <f>IFERROR(VLOOKUP(J1751,Jueces!$A$1:$B$11,2,FALSE),"")</f>
        <v>8</v>
      </c>
      <c r="L1751" s="63" t="s">
        <v>4783</v>
      </c>
      <c r="M1751" s="7" t="s">
        <v>3755</v>
      </c>
      <c r="N1751" s="72" t="s">
        <v>6798</v>
      </c>
      <c r="O1751" s="206" t="str">
        <f ca="1">IF(H1751&lt;&gt;"",IF(H1751&lt;=TODAY(),"SI","NO"),"LIMBO")</f>
        <v>SI</v>
      </c>
      <c r="P1751" s="206" t="str">
        <f>IF($P$1=H1751,"DIASOL", "DIANOSOL")</f>
        <v>DIANOSOL</v>
      </c>
      <c r="Q1751" s="336" t="s">
        <v>151</v>
      </c>
      <c r="R1751" s="63" t="str">
        <f>VLOOKUP($Q1751,Resultados!$A$1:$B$49,2,FALSE)</f>
        <v>Prisión Preventiva</v>
      </c>
      <c r="S1751" s="63" t="s">
        <v>1240</v>
      </c>
      <c r="T1751" s="267" t="str">
        <f>IF(G1751=$J$1,"SI","NO")</f>
        <v>NO</v>
      </c>
      <c r="U1751" s="329"/>
      <c r="V1751" s="7" t="str">
        <f ca="1">IF(color_Celda(E1751)=12106214,"ROSA",IF(color_Celda(E1751)=65535,"AMARILLO",IF(color_Celda(E1751)=5296274,"VERDE",IF(color_Celda(E1751)=16777215,"BLANCO","NO SE"))))</f>
        <v>ROSA</v>
      </c>
      <c r="W1751" s="63" t="s">
        <v>5174</v>
      </c>
      <c r="X1751" s="150" t="s">
        <v>6799</v>
      </c>
      <c r="Y1751" s="336"/>
      <c r="Z1751" s="118" t="s">
        <v>3368</v>
      </c>
      <c r="AA1751" s="118" t="s">
        <v>2869</v>
      </c>
      <c r="AB1751" s="118" t="s">
        <v>1171</v>
      </c>
      <c r="AC1751" s="336"/>
    </row>
    <row r="1752" spans="1:29" ht="60" customHeight="1">
      <c r="A1752" s="336">
        <v>1762</v>
      </c>
      <c r="B1752" s="349">
        <v>45365</v>
      </c>
      <c r="C1752" s="568">
        <v>0.39583333333333331</v>
      </c>
      <c r="D1752" s="336" t="s">
        <v>6504</v>
      </c>
      <c r="E1752" s="355" t="s">
        <v>6505</v>
      </c>
      <c r="F1752" s="336">
        <v>5</v>
      </c>
      <c r="G1752" s="63" t="s">
        <v>1435</v>
      </c>
      <c r="H1752" s="349">
        <v>45373</v>
      </c>
      <c r="I1752" s="65" t="s">
        <v>75</v>
      </c>
      <c r="J1752" s="65" t="s">
        <v>33</v>
      </c>
      <c r="K1752" s="336">
        <f>IFERROR(VLOOKUP(J1752,Jueces!$A$1:$B$11,2,FALSE),"")</f>
        <v>4</v>
      </c>
      <c r="L1752" s="63" t="s">
        <v>4790</v>
      </c>
      <c r="M1752" s="63" t="s">
        <v>4674</v>
      </c>
      <c r="N1752" s="63" t="s">
        <v>4977</v>
      </c>
      <c r="O1752" s="78" t="str">
        <f ca="1">IF(H1752&lt;&gt;"",IF(H1752&lt;=TODAY(),"SI","NO"),"LIMBO")</f>
        <v>SI</v>
      </c>
      <c r="P1752" s="78" t="str">
        <f>IF($P$1=H1752,"DIASOL", "DIANOSOL")</f>
        <v>DIANOSOL</v>
      </c>
      <c r="Q1752" s="63" t="s">
        <v>897</v>
      </c>
      <c r="R1752" s="63" t="str">
        <f>VLOOKUP($Q1752,Resultados!$A$1:$B$49,2,FALSE)</f>
        <v>Libertad</v>
      </c>
      <c r="S1752" s="63" t="s">
        <v>4252</v>
      </c>
      <c r="T1752" s="81" t="str">
        <f>IF(G1752=$J$1,"SI","NO")</f>
        <v>SI</v>
      </c>
      <c r="U1752" s="81"/>
      <c r="V1752" s="7" t="str">
        <f ca="1">IF(color_Celda(E1752)=12106214,"ROSA",IF(color_Celda(E1752)=65535,"AMARILLO",IF(color_Celda(E1752)=5296274,"VERDE",IF(color_Celda(E1752)=16777215,"BLANCO","NO SE"))))</f>
        <v>ROSA</v>
      </c>
      <c r="W1752" s="63" t="s">
        <v>1396</v>
      </c>
      <c r="X1752" s="562" t="s">
        <v>6800</v>
      </c>
      <c r="Y1752" s="336"/>
      <c r="Z1752" s="118" t="s">
        <v>748</v>
      </c>
      <c r="AA1752" s="118" t="s">
        <v>2828</v>
      </c>
      <c r="AB1752" s="118" t="s">
        <v>1173</v>
      </c>
      <c r="AC1752" s="336"/>
    </row>
    <row r="1753" spans="1:29" ht="60" customHeight="1">
      <c r="A1753" s="336">
        <v>1758</v>
      </c>
      <c r="B1753" s="349">
        <v>45365</v>
      </c>
      <c r="C1753" s="568">
        <v>0.33333333333333331</v>
      </c>
      <c r="D1753" s="63" t="s">
        <v>6784</v>
      </c>
      <c r="E1753" s="355" t="s">
        <v>6501</v>
      </c>
      <c r="F1753" s="336">
        <v>5</v>
      </c>
      <c r="G1753" s="63" t="s">
        <v>2752</v>
      </c>
      <c r="H1753" s="349">
        <v>45373</v>
      </c>
      <c r="I1753" s="65" t="s">
        <v>2011</v>
      </c>
      <c r="J1753" s="65" t="s">
        <v>1216</v>
      </c>
      <c r="K1753" s="336">
        <f>IFERROR(VLOOKUP(J1753,Jueces!$A$1:$B$11,2,FALSE),"")</f>
        <v>1</v>
      </c>
      <c r="L1753" s="63" t="s">
        <v>4791</v>
      </c>
      <c r="M1753" s="339" t="s">
        <v>5626</v>
      </c>
      <c r="N1753" s="63" t="s">
        <v>6821</v>
      </c>
      <c r="O1753" s="78" t="str">
        <f ca="1">IF(H1753&lt;&gt;"",IF(H1753&lt;=TODAY(),"SI","NO"),"LIMBO")</f>
        <v>SI</v>
      </c>
      <c r="P1753" s="78" t="str">
        <f>IF($P$1=H1753,"DIASOL", "DIANOSOL")</f>
        <v>DIANOSOL</v>
      </c>
      <c r="Q1753" s="63" t="s">
        <v>151</v>
      </c>
      <c r="R1753" s="63" t="str">
        <f>VLOOKUP($Q1753,Resultados!$A$1:$B$49,2,FALSE)</f>
        <v>Prisión Preventiva</v>
      </c>
      <c r="S1753" s="63" t="s">
        <v>5392</v>
      </c>
      <c r="T1753" s="81" t="str">
        <f>IF(G1753=$J$1,"SI","NO")</f>
        <v>NO</v>
      </c>
      <c r="U1753" s="81"/>
      <c r="V1753" s="7" t="str">
        <f ca="1">IF(color_Celda(E1753)=12106214,"ROSA",IF(color_Celda(E1753)=65535,"AMARILLO",IF(color_Celda(E1753)=5296274,"VERDE",IF(color_Celda(E1753)=16777215,"BLANCO","NO SE"))))</f>
        <v>ROSA</v>
      </c>
      <c r="W1753" s="63" t="s">
        <v>6796</v>
      </c>
      <c r="X1753" s="63" t="s">
        <v>6797</v>
      </c>
      <c r="Y1753" s="336"/>
      <c r="Z1753" s="118" t="s">
        <v>770</v>
      </c>
      <c r="AA1753" s="118" t="s">
        <v>3378</v>
      </c>
      <c r="AB1753" s="118" t="s">
        <v>1170</v>
      </c>
      <c r="AC1753" s="336"/>
    </row>
    <row r="1754" spans="1:29" ht="60" customHeight="1">
      <c r="A1754" s="336">
        <v>1783</v>
      </c>
      <c r="B1754" s="349">
        <v>45359</v>
      </c>
      <c r="C1754" s="568">
        <v>0.3659722222222222</v>
      </c>
      <c r="D1754" s="336" t="s">
        <v>6380</v>
      </c>
      <c r="E1754" s="355" t="s">
        <v>6381</v>
      </c>
      <c r="F1754" s="336">
        <v>5</v>
      </c>
      <c r="G1754" s="63" t="s">
        <v>2815</v>
      </c>
      <c r="H1754" s="383">
        <v>45376</v>
      </c>
      <c r="I1754" s="65" t="s">
        <v>73</v>
      </c>
      <c r="J1754" s="65" t="s">
        <v>4746</v>
      </c>
      <c r="K1754" s="63" t="s">
        <v>3941</v>
      </c>
      <c r="L1754" s="63" t="s">
        <v>569</v>
      </c>
      <c r="M1754" s="63" t="s">
        <v>4871</v>
      </c>
      <c r="N1754" s="336" t="s">
        <v>621</v>
      </c>
      <c r="O1754" s="63" t="str">
        <f ca="1">IF(H1754&lt;&gt;"",IF(H1754&lt;=TODAY(),"SI","NO"),"LIMBO")</f>
        <v>SI</v>
      </c>
      <c r="P1754" s="63" t="str">
        <f>IF($P$1=H1754,"DIASOL", "DIANOSOL")</f>
        <v>DIANOSOL</v>
      </c>
      <c r="Q1754" s="63" t="s">
        <v>151</v>
      </c>
      <c r="R1754" s="63" t="str">
        <f>VLOOKUP($Q1754,Resultados!$A$1:$B$49,2,FALSE)</f>
        <v>Prisión Preventiva</v>
      </c>
      <c r="S1754" s="63"/>
      <c r="T1754" s="72" t="str">
        <f>IF(G1754=$J$1,"SI","NO")</f>
        <v>NO</v>
      </c>
      <c r="U1754" s="72"/>
      <c r="V1754" s="7" t="str">
        <f ca="1">IF(color_Celda(E1754)=12106214,"ROSA",IF(color_Celda(E1754)=65535,"AMARILLO",IF(color_Celda(E1754)=5296274,"VERDE",IF(color_Celda(E1754)=16777215,"BLANCO","NO SE"))))</f>
        <v>ROSA</v>
      </c>
      <c r="W1754" s="336"/>
      <c r="X1754" s="336"/>
      <c r="Y1754" s="336"/>
      <c r="Z1754" s="313" t="s">
        <v>743</v>
      </c>
      <c r="AA1754" s="313"/>
      <c r="AB1754" s="313" t="s">
        <v>1169</v>
      </c>
      <c r="AC1754" s="336"/>
    </row>
    <row r="1755" spans="1:29" ht="60" customHeight="1">
      <c r="A1755" s="336">
        <v>1731</v>
      </c>
      <c r="B1755" s="349">
        <v>45363</v>
      </c>
      <c r="C1755" s="568">
        <v>0.34236111111111112</v>
      </c>
      <c r="D1755" s="63" t="s">
        <v>6441</v>
      </c>
      <c r="E1755" s="64" t="s">
        <v>6523</v>
      </c>
      <c r="F1755" s="336">
        <v>5</v>
      </c>
      <c r="G1755" s="63" t="s">
        <v>29</v>
      </c>
      <c r="H1755" s="349">
        <v>45376</v>
      </c>
      <c r="I1755" s="65" t="s">
        <v>73</v>
      </c>
      <c r="J1755" s="65" t="s">
        <v>33</v>
      </c>
      <c r="K1755" s="336">
        <f>IFERROR(VLOOKUP(J1755,Jueces!$A$1:$B$11,2,FALSE),"")</f>
        <v>4</v>
      </c>
      <c r="L1755" s="63" t="s">
        <v>2077</v>
      </c>
      <c r="M1755" s="339" t="s">
        <v>3381</v>
      </c>
      <c r="N1755" s="336" t="s">
        <v>621</v>
      </c>
      <c r="O1755" s="63" t="str">
        <f ca="1">IF(H1755&lt;&gt;"",IF(H1755&lt;=TODAY(),"SI","NO"),"LIMBO")</f>
        <v>SI</v>
      </c>
      <c r="P1755" s="63" t="str">
        <f>IF($P$1=H1755,"DIASOL", "DIANOSOL")</f>
        <v>DIANOSOL</v>
      </c>
      <c r="Q1755" s="63" t="s">
        <v>151</v>
      </c>
      <c r="R1755" s="63" t="str">
        <f>VLOOKUP($Q1755,Resultados!$A$1:$B$49,2,FALSE)</f>
        <v>Prisión Preventiva</v>
      </c>
      <c r="S1755" s="63"/>
      <c r="T1755" s="72" t="str">
        <f>IF(G1755=$J$1,"SI","NO")</f>
        <v>NO</v>
      </c>
      <c r="U1755" s="72"/>
      <c r="V1755" s="7" t="str">
        <f ca="1">IF(color_Celda(E1755)=12106214,"ROSA",IF(color_Celda(E1755)=65535,"AMARILLO",IF(color_Celda(E1755)=5296274,"VERDE",IF(color_Celda(E1755)=16777215,"BLANCO","NO SE"))))</f>
        <v>ROSA</v>
      </c>
      <c r="W1755" s="336"/>
      <c r="X1755" s="336"/>
      <c r="Y1755" s="336"/>
      <c r="Z1755" s="313" t="s">
        <v>770</v>
      </c>
      <c r="AA1755" s="313" t="s">
        <v>2828</v>
      </c>
      <c r="AB1755" s="313" t="s">
        <v>5776</v>
      </c>
      <c r="AC1755" s="336"/>
    </row>
    <row r="1756" spans="1:29" ht="60" customHeight="1">
      <c r="A1756" s="336">
        <v>1750</v>
      </c>
      <c r="B1756" s="349">
        <v>45363</v>
      </c>
      <c r="C1756" s="568">
        <v>0.52986111111111112</v>
      </c>
      <c r="D1756" s="63" t="s">
        <v>6458</v>
      </c>
      <c r="E1756" s="64" t="s">
        <v>6459</v>
      </c>
      <c r="F1756" s="336">
        <v>6</v>
      </c>
      <c r="G1756" s="63" t="s">
        <v>1435</v>
      </c>
      <c r="H1756" s="349">
        <v>45376</v>
      </c>
      <c r="I1756" s="65" t="s">
        <v>73</v>
      </c>
      <c r="J1756" s="65" t="s">
        <v>78</v>
      </c>
      <c r="K1756" s="336">
        <f>IFERROR(VLOOKUP(J1756,Jueces!$A$1:$B$11,2,FALSE),"")</f>
        <v>8</v>
      </c>
      <c r="L1756" s="63" t="s">
        <v>4788</v>
      </c>
      <c r="M1756" s="63" t="s">
        <v>1956</v>
      </c>
      <c r="N1756" s="63" t="s">
        <v>6861</v>
      </c>
      <c r="O1756" s="63" t="str">
        <f ca="1">IF(H1756&lt;&gt;"",IF(H1756&lt;=TODAY(),"SI","NO"),"LIMBO")</f>
        <v>SI</v>
      </c>
      <c r="P1756" s="63" t="str">
        <f>IF($P$1=H1756,"DIASOL", "DIANOSOL")</f>
        <v>DIANOSOL</v>
      </c>
      <c r="Q1756" s="63" t="s">
        <v>897</v>
      </c>
      <c r="R1756" s="63" t="str">
        <f>VLOOKUP($Q1756,Resultados!$A$1:$B$49,2,FALSE)</f>
        <v>Libertad</v>
      </c>
      <c r="S1756" s="63"/>
      <c r="T1756" s="72" t="str">
        <f>IF(G1756=$J$1,"SI","NO")</f>
        <v>SI</v>
      </c>
      <c r="U1756" s="72"/>
      <c r="V1756" s="7" t="str">
        <f ca="1">IF(color_Celda(E1756)=12106214,"ROSA",IF(color_Celda(E1756)=65535,"AMARILLO",IF(color_Celda(E1756)=5296274,"VERDE",IF(color_Celda(E1756)=16777215,"BLANCO","NO SE"))))</f>
        <v>ROSA</v>
      </c>
      <c r="W1756" s="336"/>
      <c r="X1756" s="336"/>
      <c r="Y1756" s="336"/>
      <c r="Z1756" s="313" t="s">
        <v>6423</v>
      </c>
      <c r="AA1756" s="313" t="s">
        <v>1167</v>
      </c>
      <c r="AB1756" s="313" t="s">
        <v>1173</v>
      </c>
      <c r="AC1756" s="336"/>
    </row>
    <row r="1757" spans="1:29" ht="60" customHeight="1">
      <c r="A1757" s="336">
        <v>1761</v>
      </c>
      <c r="B1757" s="349">
        <v>45365</v>
      </c>
      <c r="C1757" s="568">
        <v>0.39374999999999999</v>
      </c>
      <c r="D1757" s="336" t="s">
        <v>6503</v>
      </c>
      <c r="E1757" s="64" t="s">
        <v>6583</v>
      </c>
      <c r="F1757" s="336">
        <v>5</v>
      </c>
      <c r="G1757" s="63" t="s">
        <v>283</v>
      </c>
      <c r="H1757" s="349">
        <v>45376</v>
      </c>
      <c r="I1757" s="65" t="s">
        <v>73</v>
      </c>
      <c r="J1757" s="349" t="s">
        <v>4931</v>
      </c>
      <c r="K1757" s="63" t="s">
        <v>1916</v>
      </c>
      <c r="L1757" s="63" t="s">
        <v>791</v>
      </c>
      <c r="M1757" s="63" t="s">
        <v>1866</v>
      </c>
      <c r="N1757" s="336" t="s">
        <v>3463</v>
      </c>
      <c r="O1757" s="63" t="str">
        <f ca="1">IF(H1757&lt;&gt;"",IF(H1757&lt;=TODAY(),"SI","NO"),"LIMBO")</f>
        <v>SI</v>
      </c>
      <c r="P1757" s="63" t="str">
        <f>IF($P$1=H1757,"DIASOL", "DIANOSOL")</f>
        <v>DIANOSOL</v>
      </c>
      <c r="Q1757" s="63" t="s">
        <v>902</v>
      </c>
      <c r="R1757" s="63" t="str">
        <f>VLOOKUP($Q1757,Resultados!$A$1:$B$49,2,FALSE)</f>
        <v>Juicio Abreviado</v>
      </c>
      <c r="S1757" s="63"/>
      <c r="T1757" s="72" t="str">
        <f>IF(G1757=$J$1,"SI","NO")</f>
        <v>NO</v>
      </c>
      <c r="U1757" s="72"/>
      <c r="V1757" s="7" t="str">
        <f ca="1">IF(color_Celda(E1757)=12106214,"ROSA",IF(color_Celda(E1757)=65535,"AMARILLO",IF(color_Celda(E1757)=5296274,"VERDE",IF(color_Celda(E1757)=16777215,"BLANCO","NO SE"))))</f>
        <v>ROSA</v>
      </c>
      <c r="W1757" s="336"/>
      <c r="X1757" s="336"/>
      <c r="Y1757" s="336"/>
      <c r="Z1757" s="313" t="s">
        <v>1038</v>
      </c>
      <c r="AA1757" s="313" t="s">
        <v>1165</v>
      </c>
      <c r="AB1757" s="313" t="s">
        <v>3258</v>
      </c>
      <c r="AC1757" s="336"/>
    </row>
    <row r="1758" spans="1:29" ht="60" customHeight="1">
      <c r="A1758" s="336">
        <v>1755</v>
      </c>
      <c r="B1758" s="349">
        <v>45365</v>
      </c>
      <c r="C1758" s="336" t="s">
        <v>73</v>
      </c>
      <c r="D1758" s="336" t="s">
        <v>6498</v>
      </c>
      <c r="E1758" s="355" t="s">
        <v>6497</v>
      </c>
      <c r="F1758" s="336">
        <v>6</v>
      </c>
      <c r="G1758" s="63" t="s">
        <v>2752</v>
      </c>
      <c r="H1758" s="349">
        <v>45376</v>
      </c>
      <c r="I1758" s="65" t="s">
        <v>749</v>
      </c>
      <c r="J1758" s="65" t="s">
        <v>1221</v>
      </c>
      <c r="K1758" s="336">
        <f>IFERROR(VLOOKUP(J1758,Jueces!$A$1:$B$11,2,FALSE),"")</f>
        <v>6</v>
      </c>
      <c r="L1758" s="63" t="s">
        <v>4778</v>
      </c>
      <c r="M1758" s="63" t="s">
        <v>2107</v>
      </c>
      <c r="N1758" s="336" t="s">
        <v>621</v>
      </c>
      <c r="O1758" s="63" t="str">
        <f ca="1">IF(H1758&lt;&gt;"",IF(H1758&lt;=TODAY(),"SI","NO"),"LIMBO")</f>
        <v>SI</v>
      </c>
      <c r="P1758" s="63" t="str">
        <f>IF($P$1=H1758,"DIASOL", "DIANOSOL")</f>
        <v>DIANOSOL</v>
      </c>
      <c r="Q1758" s="63" t="s">
        <v>151</v>
      </c>
      <c r="R1758" s="63" t="str">
        <f>VLOOKUP($Q1758,Resultados!$A$1:$B$49,2,FALSE)</f>
        <v>Prisión Preventiva</v>
      </c>
      <c r="S1758" s="63"/>
      <c r="T1758" s="72" t="str">
        <f>IF(G1758=$J$1,"SI","NO")</f>
        <v>NO</v>
      </c>
      <c r="U1758" s="72"/>
      <c r="V1758" s="7" t="str">
        <f ca="1">IF(color_Celda(E1758)=12106214,"ROSA",IF(color_Celda(E1758)=65535,"AMARILLO",IF(color_Celda(E1758)=5296274,"VERDE",IF(color_Celda(E1758)=16777215,"BLANCO","NO SE"))))</f>
        <v>ROSA</v>
      </c>
      <c r="W1758" s="336"/>
      <c r="X1758" s="336"/>
      <c r="Y1758" s="336"/>
      <c r="Z1758" s="313" t="s">
        <v>748</v>
      </c>
      <c r="AA1758" s="313" t="s">
        <v>1167</v>
      </c>
      <c r="AB1758" s="313" t="s">
        <v>1169</v>
      </c>
      <c r="AC1758" s="336"/>
    </row>
    <row r="1759" spans="1:29" ht="60" customHeight="1">
      <c r="A1759" s="336">
        <v>1760</v>
      </c>
      <c r="B1759" s="349">
        <v>45365</v>
      </c>
      <c r="C1759" s="568">
        <v>0.33333333333333331</v>
      </c>
      <c r="D1759" s="336" t="s">
        <v>6502</v>
      </c>
      <c r="E1759" s="64" t="s">
        <v>6524</v>
      </c>
      <c r="F1759" s="336">
        <v>5</v>
      </c>
      <c r="G1759" s="63" t="s">
        <v>1433</v>
      </c>
      <c r="H1759" s="349">
        <v>45376</v>
      </c>
      <c r="I1759" s="65" t="s">
        <v>1083</v>
      </c>
      <c r="J1759" s="349" t="s">
        <v>35</v>
      </c>
      <c r="K1759" s="336">
        <v>3</v>
      </c>
      <c r="L1759" s="63" t="s">
        <v>4790</v>
      </c>
      <c r="M1759" s="63" t="s">
        <v>1866</v>
      </c>
      <c r="N1759" s="336" t="s">
        <v>6859</v>
      </c>
      <c r="O1759" s="63" t="str">
        <f ca="1">IF(H1759&lt;&gt;"",IF(H1759&lt;=TODAY(),"SI","NO"),"LIMBO")</f>
        <v>SI</v>
      </c>
      <c r="P1759" s="63" t="str">
        <f>IF($P$1=H1759,"DIASOL", "DIANOSOL")</f>
        <v>DIANOSOL</v>
      </c>
      <c r="Q1759" s="63" t="s">
        <v>902</v>
      </c>
      <c r="R1759" s="63" t="str">
        <f>VLOOKUP($Q1759,Resultados!$A$1:$B$49,2,FALSE)</f>
        <v>Juicio Abreviado</v>
      </c>
      <c r="S1759" s="63"/>
      <c r="T1759" s="72" t="str">
        <f>IF(G1759=$J$1,"SI","NO")</f>
        <v>NO</v>
      </c>
      <c r="U1759" s="72"/>
      <c r="V1759" s="7" t="str">
        <f ca="1">IF(color_Celda(E1759)=12106214,"ROSA",IF(color_Celda(E1759)=65535,"AMARILLO",IF(color_Celda(E1759)=5296274,"VERDE",IF(color_Celda(E1759)=16777215,"BLANCO","NO SE"))))</f>
        <v>ROSA</v>
      </c>
      <c r="W1759" s="336"/>
      <c r="X1759" s="336"/>
      <c r="Y1759" s="336"/>
      <c r="Z1759" s="313" t="s">
        <v>770</v>
      </c>
      <c r="AA1759" s="313" t="s">
        <v>2869</v>
      </c>
      <c r="AB1759" s="313" t="s">
        <v>1173</v>
      </c>
      <c r="AC1759" s="336"/>
    </row>
    <row r="1760" spans="1:29" ht="60" customHeight="1">
      <c r="A1760" s="336">
        <v>1763</v>
      </c>
      <c r="B1760" s="349">
        <v>45365</v>
      </c>
      <c r="C1760" s="568">
        <v>0.40208333333333335</v>
      </c>
      <c r="D1760" s="63" t="s">
        <v>6506</v>
      </c>
      <c r="E1760" s="64" t="s">
        <v>6507</v>
      </c>
      <c r="F1760" s="336">
        <v>5</v>
      </c>
      <c r="G1760" s="336" t="s">
        <v>568</v>
      </c>
      <c r="H1760" s="349">
        <v>45376</v>
      </c>
      <c r="I1760" s="65" t="s">
        <v>1083</v>
      </c>
      <c r="J1760" s="349" t="s">
        <v>1221</v>
      </c>
      <c r="K1760" s="336">
        <v>6</v>
      </c>
      <c r="L1760" s="63" t="s">
        <v>806</v>
      </c>
      <c r="M1760" s="63" t="s">
        <v>3755</v>
      </c>
      <c r="N1760" s="336" t="s">
        <v>6860</v>
      </c>
      <c r="O1760" s="63" t="str">
        <f ca="1">IF(H1760&lt;&gt;"",IF(H1760&lt;=TODAY(),"SI","NO"),"LIMBO")</f>
        <v>SI</v>
      </c>
      <c r="P1760" s="63" t="str">
        <f>IF($P$1=H1760,"DIASOL", "DIANOSOL")</f>
        <v>DIANOSOL</v>
      </c>
      <c r="Q1760" s="63" t="s">
        <v>902</v>
      </c>
      <c r="R1760" s="63" t="str">
        <f>VLOOKUP($Q1760,Resultados!$A$1:$B$49,2,FALSE)</f>
        <v>Juicio Abreviado</v>
      </c>
      <c r="S1760" s="63"/>
      <c r="T1760" s="72" t="str">
        <f>IF(G1760=$J$1,"SI","NO")</f>
        <v>NO</v>
      </c>
      <c r="U1760" s="72"/>
      <c r="V1760" s="7" t="str">
        <f ca="1">IF(color_Celda(E1760)=12106214,"ROSA",IF(color_Celda(E1760)=65535,"AMARILLO",IF(color_Celda(E1760)=5296274,"VERDE",IF(color_Celda(E1760)=16777215,"BLANCO","NO SE"))))</f>
        <v>ROSA</v>
      </c>
      <c r="W1760" s="336"/>
      <c r="X1760" s="336"/>
      <c r="Y1760" s="336"/>
      <c r="Z1760" s="313" t="s">
        <v>748</v>
      </c>
      <c r="AA1760" s="313" t="s">
        <v>1165</v>
      </c>
      <c r="AB1760" s="313" t="s">
        <v>3258</v>
      </c>
      <c r="AC1760" s="336"/>
    </row>
    <row r="1761" spans="1:29" ht="60" customHeight="1">
      <c r="A1761" s="336">
        <v>1768</v>
      </c>
      <c r="B1761" s="349">
        <v>45365</v>
      </c>
      <c r="C1761" s="568">
        <v>0.47291666666666665</v>
      </c>
      <c r="D1761" s="63" t="s">
        <v>6515</v>
      </c>
      <c r="E1761" s="355" t="s">
        <v>6516</v>
      </c>
      <c r="F1761" s="336">
        <v>6</v>
      </c>
      <c r="G1761" s="63" t="s">
        <v>3323</v>
      </c>
      <c r="H1761" s="349">
        <v>45376</v>
      </c>
      <c r="I1761" s="65" t="s">
        <v>1083</v>
      </c>
      <c r="J1761" s="65" t="s">
        <v>31</v>
      </c>
      <c r="K1761" s="336">
        <f>IFERROR(VLOOKUP(J1761,Jueces!$A$1:$B$11,2,FALSE),"")</f>
        <v>2</v>
      </c>
      <c r="L1761" s="63" t="s">
        <v>791</v>
      </c>
      <c r="M1761" s="63" t="s">
        <v>4773</v>
      </c>
      <c r="N1761" s="63" t="s">
        <v>2180</v>
      </c>
      <c r="O1761" s="63" t="str">
        <f ca="1">IF(H1761&lt;&gt;"",IF(H1761&lt;=TODAY(),"SI","NO"),"LIMBO")</f>
        <v>SI</v>
      </c>
      <c r="P1761" s="63" t="str">
        <f>IF($P$1=H1761,"DIASOL", "DIANOSOL")</f>
        <v>DIANOSOL</v>
      </c>
      <c r="Q1761" s="63" t="s">
        <v>902</v>
      </c>
      <c r="R1761" s="63" t="str">
        <f>VLOOKUP($Q1761,Resultados!$A$1:$B$49,2,FALSE)</f>
        <v>Juicio Abreviado</v>
      </c>
      <c r="S1761" s="63"/>
      <c r="T1761" s="72" t="str">
        <f>IF(G1761=$J$1,"SI","NO")</f>
        <v>NO</v>
      </c>
      <c r="U1761" s="72"/>
      <c r="V1761" s="7" t="str">
        <f ca="1">IF(color_Celda(E1761)=12106214,"ROSA",IF(color_Celda(E1761)=65535,"AMARILLO",IF(color_Celda(E1761)=5296274,"VERDE",IF(color_Celda(E1761)=16777215,"BLANCO","NO SE"))))</f>
        <v>ROSA</v>
      </c>
      <c r="W1761" s="336"/>
      <c r="X1761" s="336"/>
      <c r="Y1761" s="336"/>
      <c r="Z1761" s="313" t="s">
        <v>743</v>
      </c>
      <c r="AA1761" s="313" t="s">
        <v>3378</v>
      </c>
      <c r="AB1761" s="313" t="s">
        <v>1169</v>
      </c>
      <c r="AC1761" s="336"/>
    </row>
    <row r="1762" spans="1:29" ht="60" customHeight="1">
      <c r="A1762" s="336">
        <v>1774</v>
      </c>
      <c r="B1762" s="349">
        <v>45366</v>
      </c>
      <c r="C1762" s="568">
        <v>0.42638888888888887</v>
      </c>
      <c r="D1762" s="63" t="s">
        <v>6527</v>
      </c>
      <c r="E1762" s="355" t="s">
        <v>6528</v>
      </c>
      <c r="F1762" s="336">
        <v>6</v>
      </c>
      <c r="G1762" s="63" t="s">
        <v>3791</v>
      </c>
      <c r="H1762" s="349">
        <v>45376</v>
      </c>
      <c r="I1762" s="65" t="s">
        <v>75</v>
      </c>
      <c r="J1762" s="65" t="s">
        <v>33</v>
      </c>
      <c r="K1762" s="336">
        <f>IFERROR(VLOOKUP(J1762,Jueces!$A$1:$B$11,2,FALSE),"")</f>
        <v>4</v>
      </c>
      <c r="L1762" s="63" t="s">
        <v>791</v>
      </c>
      <c r="M1762" s="63" t="s">
        <v>2107</v>
      </c>
      <c r="N1762" s="63" t="s">
        <v>2953</v>
      </c>
      <c r="O1762" s="63" t="str">
        <f ca="1">IF(H1762&lt;&gt;"",IF(H1762&lt;=TODAY(),"SI","NO"),"LIMBO")</f>
        <v>SI</v>
      </c>
      <c r="P1762" s="63" t="str">
        <f>IF($P$1=H1762,"DIASOL", "DIANOSOL")</f>
        <v>DIANOSOL</v>
      </c>
      <c r="Q1762" s="63" t="s">
        <v>902</v>
      </c>
      <c r="R1762" s="63" t="str">
        <f>VLOOKUP($Q1762,Resultados!$A$1:$B$49,2,FALSE)</f>
        <v>Juicio Abreviado</v>
      </c>
      <c r="S1762" s="63"/>
      <c r="T1762" s="72" t="str">
        <f>IF(G1762=$J$1,"SI","NO")</f>
        <v>NO</v>
      </c>
      <c r="U1762" s="72"/>
      <c r="V1762" s="7" t="str">
        <f ca="1">IF(color_Celda(E1762)=12106214,"ROSA",IF(color_Celda(E1762)=65535,"AMARILLO",IF(color_Celda(E1762)=5296274,"VERDE",IF(color_Celda(E1762)=16777215,"BLANCO","NO SE"))))</f>
        <v>ROSA</v>
      </c>
      <c r="W1762" s="336"/>
      <c r="X1762" s="336"/>
      <c r="Y1762" s="336"/>
      <c r="Z1762" s="313" t="s">
        <v>770</v>
      </c>
      <c r="AA1762" s="313" t="s">
        <v>2828</v>
      </c>
      <c r="AB1762" s="313" t="s">
        <v>1173</v>
      </c>
      <c r="AC1762" s="336"/>
    </row>
    <row r="1763" spans="1:29" ht="60" customHeight="1">
      <c r="A1763" s="336">
        <v>1775</v>
      </c>
      <c r="B1763" s="349">
        <v>45366</v>
      </c>
      <c r="C1763" s="568">
        <v>0.42708333333333331</v>
      </c>
      <c r="D1763" s="63" t="s">
        <v>6529</v>
      </c>
      <c r="E1763" s="355" t="s">
        <v>6530</v>
      </c>
      <c r="F1763" s="336">
        <v>6</v>
      </c>
      <c r="G1763" s="63" t="s">
        <v>2766</v>
      </c>
      <c r="H1763" s="349">
        <v>45376</v>
      </c>
      <c r="I1763" s="65" t="s">
        <v>1755</v>
      </c>
      <c r="J1763" s="65" t="s">
        <v>78</v>
      </c>
      <c r="K1763" s="336">
        <f>IFERROR(VLOOKUP(J1763,Jueces!$A$1:$B$11,2,FALSE),"")</f>
        <v>8</v>
      </c>
      <c r="L1763" s="63" t="s">
        <v>4790</v>
      </c>
      <c r="M1763" s="63" t="s">
        <v>2107</v>
      </c>
      <c r="N1763" s="63" t="s">
        <v>2178</v>
      </c>
      <c r="O1763" s="63" t="str">
        <f ca="1">IF(H1763&lt;&gt;"",IF(H1763&lt;=TODAY(),"SI","NO"),"LIMBO")</f>
        <v>SI</v>
      </c>
      <c r="P1763" s="63" t="str">
        <f>IF($P$1=H1763,"DIASOL", "DIANOSOL")</f>
        <v>DIANOSOL</v>
      </c>
      <c r="Q1763" s="63" t="s">
        <v>902</v>
      </c>
      <c r="R1763" s="63" t="str">
        <f>VLOOKUP($Q1763,Resultados!$A$1:$B$49,2,FALSE)</f>
        <v>Juicio Abreviado</v>
      </c>
      <c r="S1763" s="63"/>
      <c r="T1763" s="72" t="str">
        <f>IF(G1763=$J$1,"SI","NO")</f>
        <v>NO</v>
      </c>
      <c r="U1763" s="72"/>
      <c r="V1763" s="7" t="str">
        <f ca="1">IF(color_Celda(E1763)=12106214,"ROSA",IF(color_Celda(E1763)=65535,"AMARILLO",IF(color_Celda(E1763)=5296274,"VERDE",IF(color_Celda(E1763)=16777215,"BLANCO","NO SE"))))</f>
        <v>ROSA</v>
      </c>
      <c r="W1763" s="336"/>
      <c r="X1763" s="336"/>
      <c r="Y1763" s="336"/>
      <c r="Z1763" s="313" t="s">
        <v>748</v>
      </c>
      <c r="AA1763" s="313" t="s">
        <v>2869</v>
      </c>
      <c r="AB1763" s="313" t="s">
        <v>3258</v>
      </c>
      <c r="AC1763" s="336"/>
    </row>
    <row r="1764" spans="1:29" ht="60" customHeight="1">
      <c r="A1764" s="336">
        <v>1773</v>
      </c>
      <c r="B1764" s="349">
        <v>45264</v>
      </c>
      <c r="C1764" s="568" t="s">
        <v>4401</v>
      </c>
      <c r="D1764" s="336" t="s">
        <v>4402</v>
      </c>
      <c r="E1764" s="355" t="s">
        <v>4403</v>
      </c>
      <c r="F1764" s="336">
        <v>5</v>
      </c>
      <c r="G1764" s="63" t="s">
        <v>1433</v>
      </c>
      <c r="H1764" s="383">
        <v>45377</v>
      </c>
      <c r="I1764" s="65" t="s">
        <v>73</v>
      </c>
      <c r="J1764" s="65" t="s">
        <v>4932</v>
      </c>
      <c r="K1764" s="63" t="s">
        <v>3776</v>
      </c>
      <c r="L1764" s="63" t="s">
        <v>2077</v>
      </c>
      <c r="M1764" s="63" t="s">
        <v>2107</v>
      </c>
      <c r="N1764" s="63" t="s">
        <v>6862</v>
      </c>
      <c r="O1764" s="63" t="str">
        <f ca="1">IF(H1764&lt;&gt;"",IF(H1764&lt;=TODAY(),"SI","NO"),"LIMBO")</f>
        <v>SI</v>
      </c>
      <c r="P1764" s="63" t="str">
        <f>IF($P$1=H1764,"DIASOL", "DIANOSOL")</f>
        <v>DIANOSOL</v>
      </c>
      <c r="Q1764" s="63" t="s">
        <v>911</v>
      </c>
      <c r="R1764" s="63" t="str">
        <f>VLOOKUP($Q1764,Resultados!$A$1:$B$49,2,FALSE)</f>
        <v>Prision domiciliaria</v>
      </c>
      <c r="S1764" s="63"/>
      <c r="T1764" s="72" t="str">
        <f>IF(G1764=$J$1,"SI","NO")</f>
        <v>NO</v>
      </c>
      <c r="U1764" s="72"/>
      <c r="V1764" s="7" t="str">
        <f ca="1">IF(color_Celda(E1764)=12106214,"ROSA",IF(color_Celda(E1764)=65535,"AMARILLO",IF(color_Celda(E1764)=5296274,"VERDE",IF(color_Celda(E1764)=16777215,"BLANCO","NO SE"))))</f>
        <v>ROSA</v>
      </c>
      <c r="W1764" s="336"/>
      <c r="X1764" s="336"/>
      <c r="Y1764" s="336"/>
      <c r="Z1764" s="63" t="s">
        <v>770</v>
      </c>
      <c r="AA1764" s="63" t="s">
        <v>3378</v>
      </c>
      <c r="AB1764" s="63" t="s">
        <v>1171</v>
      </c>
      <c r="AC1764" s="336"/>
    </row>
    <row r="1765" spans="1:29" ht="60" customHeight="1">
      <c r="A1765" s="336">
        <v>1752</v>
      </c>
      <c r="B1765" s="349">
        <v>45352</v>
      </c>
      <c r="C1765" s="568">
        <v>0.42777777777777781</v>
      </c>
      <c r="D1765" s="336" t="s">
        <v>6292</v>
      </c>
      <c r="E1765" s="355" t="s">
        <v>6293</v>
      </c>
      <c r="F1765" s="336">
        <v>5</v>
      </c>
      <c r="G1765" s="63" t="s">
        <v>1435</v>
      </c>
      <c r="H1765" s="383">
        <v>45377</v>
      </c>
      <c r="I1765" s="65" t="s">
        <v>73</v>
      </c>
      <c r="J1765" s="65" t="s">
        <v>78</v>
      </c>
      <c r="K1765" s="336">
        <f>IFERROR(VLOOKUP(J1765,Jueces!$A$1:$B$11,2,FALSE),"")</f>
        <v>8</v>
      </c>
      <c r="L1765" s="63" t="s">
        <v>4790</v>
      </c>
      <c r="M1765" s="63" t="s">
        <v>3755</v>
      </c>
      <c r="N1765" s="63" t="s">
        <v>6863</v>
      </c>
      <c r="O1765" s="63" t="str">
        <f ca="1">IF(H1765&lt;&gt;"",IF(H1765&lt;=TODAY(),"SI","NO"),"LIMBO")</f>
        <v>SI</v>
      </c>
      <c r="P1765" s="63" t="str">
        <f>IF($P$1=H1765,"DIASOL", "DIANOSOL")</f>
        <v>DIANOSOL</v>
      </c>
      <c r="Q1765" s="63" t="s">
        <v>897</v>
      </c>
      <c r="R1765" s="63" t="str">
        <f>VLOOKUP($Q1765,Resultados!$A$1:$B$49,2,FALSE)</f>
        <v>Libertad</v>
      </c>
      <c r="S1765" s="63"/>
      <c r="T1765" s="72" t="str">
        <f>IF(G1765=$J$1,"SI","NO")</f>
        <v>SI</v>
      </c>
      <c r="U1765" s="72"/>
      <c r="V1765" s="7" t="str">
        <f ca="1">IF(color_Celda(E1765)=12106214,"ROSA",IF(color_Celda(E1765)=65535,"AMARILLO",IF(color_Celda(E1765)=5296274,"VERDE",IF(color_Celda(E1765)=16777215,"BLANCO","NO SE"))))</f>
        <v>ROSA</v>
      </c>
      <c r="W1765" s="336"/>
      <c r="X1765" s="336"/>
      <c r="Y1765" s="336"/>
      <c r="Z1765" s="336" t="s">
        <v>748</v>
      </c>
      <c r="AA1765" s="63" t="s">
        <v>1167</v>
      </c>
      <c r="AB1765" s="63" t="s">
        <v>5776</v>
      </c>
      <c r="AC1765" s="336"/>
    </row>
    <row r="1766" spans="1:29" ht="60" customHeight="1">
      <c r="A1766" s="336">
        <v>1754</v>
      </c>
      <c r="B1766" s="349">
        <v>45365</v>
      </c>
      <c r="C1766" s="568">
        <v>0.33333333333333331</v>
      </c>
      <c r="D1766" s="336" t="s">
        <v>6495</v>
      </c>
      <c r="E1766" s="355" t="s">
        <v>6496</v>
      </c>
      <c r="F1766" s="336">
        <v>5</v>
      </c>
      <c r="G1766" s="63" t="s">
        <v>3791</v>
      </c>
      <c r="H1766" s="349">
        <v>45377</v>
      </c>
      <c r="I1766" s="65" t="s">
        <v>73</v>
      </c>
      <c r="J1766" s="65" t="s">
        <v>31</v>
      </c>
      <c r="K1766" s="336">
        <f>IFERROR(VLOOKUP(J1766,Jueces!$A$1:$B$11,2,FALSE),"")</f>
        <v>2</v>
      </c>
      <c r="L1766" s="63" t="s">
        <v>569</v>
      </c>
      <c r="M1766" s="7" t="s">
        <v>695</v>
      </c>
      <c r="N1766" s="63" t="s">
        <v>6846</v>
      </c>
      <c r="O1766" s="63" t="str">
        <f ca="1">IF(H1766&lt;&gt;"",IF(H1766&lt;=TODAY(),"SI","NO"),"LIMBO")</f>
        <v>SI</v>
      </c>
      <c r="P1766" s="63" t="str">
        <f>IF($P$1=H1766,"DIASOL", "DIANOSOL")</f>
        <v>DIANOSOL</v>
      </c>
      <c r="Q1766" s="63" t="s">
        <v>910</v>
      </c>
      <c r="R1766" s="63" t="str">
        <f>VLOOKUP($Q1766,Resultados!$A$1:$B$49,2,FALSE)</f>
        <v>Suspendida</v>
      </c>
      <c r="S1766" s="63"/>
      <c r="T1766" s="72" t="str">
        <f>IF(G1766=$J$1,"SI","NO")</f>
        <v>NO</v>
      </c>
      <c r="U1766" s="72"/>
      <c r="V1766" s="7" t="str">
        <f ca="1">IF(color_Celda(E1766)=12106214,"ROSA",IF(color_Celda(E1766)=65535,"AMARILLO",IF(color_Celda(E1766)=5296274,"VERDE",IF(color_Celda(E1766)=16777215,"BLANCO","NO SE"))))</f>
        <v>ROSA</v>
      </c>
      <c r="W1766" s="336"/>
      <c r="X1766" s="336"/>
      <c r="Y1766" s="336"/>
      <c r="Z1766" s="63" t="s">
        <v>1038</v>
      </c>
      <c r="AA1766" s="336"/>
      <c r="AB1766" s="63" t="s">
        <v>1173</v>
      </c>
      <c r="AC1766" s="336"/>
    </row>
    <row r="1767" spans="1:29" ht="60" customHeight="1">
      <c r="A1767" s="336">
        <v>1770</v>
      </c>
      <c r="B1767" s="349">
        <v>45365</v>
      </c>
      <c r="C1767" s="568">
        <v>0.51874999999999993</v>
      </c>
      <c r="D1767" s="63" t="s">
        <v>6519</v>
      </c>
      <c r="E1767" s="355" t="s">
        <v>6520</v>
      </c>
      <c r="F1767" s="336">
        <v>6</v>
      </c>
      <c r="G1767" s="63" t="s">
        <v>1434</v>
      </c>
      <c r="H1767" s="349">
        <v>45377</v>
      </c>
      <c r="I1767" s="65" t="s">
        <v>73</v>
      </c>
      <c r="J1767" s="65" t="s">
        <v>4746</v>
      </c>
      <c r="K1767" s="63" t="s">
        <v>1916</v>
      </c>
      <c r="L1767" s="63" t="s">
        <v>806</v>
      </c>
      <c r="M1767" s="63" t="s">
        <v>1866</v>
      </c>
      <c r="N1767" s="63" t="s">
        <v>6864</v>
      </c>
      <c r="O1767" s="63" t="str">
        <f ca="1">IF(H1767&lt;&gt;"",IF(H1767&lt;=TODAY(),"SI","NO"),"LIMBO")</f>
        <v>SI</v>
      </c>
      <c r="P1767" s="63" t="str">
        <f>IF($P$1=H1767,"DIASOL", "DIANOSOL")</f>
        <v>DIANOSOL</v>
      </c>
      <c r="Q1767" s="63" t="s">
        <v>151</v>
      </c>
      <c r="R1767" s="63" t="str">
        <f>VLOOKUP($Q1767,Resultados!$A$1:$B$49,2,FALSE)</f>
        <v>Prisión Preventiva</v>
      </c>
      <c r="S1767" s="63"/>
      <c r="T1767" s="72" t="str">
        <f>IF(G1767=$J$1,"SI","NO")</f>
        <v>NO</v>
      </c>
      <c r="U1767" s="72"/>
      <c r="V1767" s="7" t="str">
        <f ca="1">IF(color_Celda(E1767)=12106214,"ROSA",IF(color_Celda(E1767)=65535,"AMARILLO",IF(color_Celda(E1767)=5296274,"VERDE",IF(color_Celda(E1767)=16777215,"BLANCO","NO SE"))))</f>
        <v>ROSA</v>
      </c>
      <c r="W1767" s="336"/>
      <c r="X1767" s="336"/>
      <c r="Y1767" s="336"/>
      <c r="Z1767" s="63" t="s">
        <v>743</v>
      </c>
      <c r="AA1767" s="63" t="s">
        <v>2828</v>
      </c>
      <c r="AB1767" s="63" t="s">
        <v>1169</v>
      </c>
      <c r="AC1767" s="336"/>
    </row>
    <row r="1768" spans="1:29" ht="60" customHeight="1">
      <c r="A1768" s="336">
        <v>1764</v>
      </c>
      <c r="B1768" s="349">
        <v>45365</v>
      </c>
      <c r="C1768" s="568">
        <v>0.44097222222222227</v>
      </c>
      <c r="D1768" s="63" t="s">
        <v>6508</v>
      </c>
      <c r="E1768" s="64" t="s">
        <v>6509</v>
      </c>
      <c r="F1768" s="336">
        <v>5</v>
      </c>
      <c r="G1768" s="336" t="s">
        <v>2766</v>
      </c>
      <c r="H1768" s="349">
        <v>45377</v>
      </c>
      <c r="I1768" s="65" t="s">
        <v>1083</v>
      </c>
      <c r="J1768" s="65" t="s">
        <v>35</v>
      </c>
      <c r="K1768" s="336">
        <f>IFERROR(VLOOKUP(J1768,Jueces!$A$1:$B$11,2,FALSE),"")</f>
        <v>3</v>
      </c>
      <c r="L1768" s="63" t="s">
        <v>4791</v>
      </c>
      <c r="M1768" s="63" t="s">
        <v>4674</v>
      </c>
      <c r="N1768" s="63" t="s">
        <v>6863</v>
      </c>
      <c r="O1768" s="63" t="str">
        <f ca="1">IF(H1768&lt;&gt;"",IF(H1768&lt;=TODAY(),"SI","NO"),"LIMBO")</f>
        <v>SI</v>
      </c>
      <c r="P1768" s="63" t="str">
        <f>IF($P$1=H1768,"DIASOL", "DIANOSOL")</f>
        <v>DIANOSOL</v>
      </c>
      <c r="Q1768" s="63" t="s">
        <v>897</v>
      </c>
      <c r="R1768" s="63" t="str">
        <f>VLOOKUP($Q1768,Resultados!$A$1:$B$49,2,FALSE)</f>
        <v>Libertad</v>
      </c>
      <c r="S1768" s="63"/>
      <c r="T1768" s="72" t="str">
        <f>IF(G1768=$J$1,"SI","NO")</f>
        <v>NO</v>
      </c>
      <c r="U1768" s="72"/>
      <c r="V1768" s="7" t="str">
        <f ca="1">IF(color_Celda(E1768)=12106214,"ROSA",IF(color_Celda(E1768)=65535,"AMARILLO",IF(color_Celda(E1768)=5296274,"VERDE",IF(color_Celda(E1768)=16777215,"BLANCO","NO SE"))))</f>
        <v>ROSA</v>
      </c>
      <c r="W1768" s="336"/>
      <c r="X1768" s="336"/>
      <c r="Y1768" s="336"/>
      <c r="Z1768" s="336" t="s">
        <v>748</v>
      </c>
      <c r="AA1768" s="63" t="s">
        <v>1165</v>
      </c>
      <c r="AB1768" s="63" t="s">
        <v>3258</v>
      </c>
      <c r="AC1768" s="336"/>
    </row>
    <row r="1769" spans="1:29" ht="60" customHeight="1">
      <c r="A1769" s="336">
        <v>1771</v>
      </c>
      <c r="B1769" s="349">
        <v>45366</v>
      </c>
      <c r="C1769" s="568">
        <v>0.33333333333333331</v>
      </c>
      <c r="D1769" s="63" t="s">
        <v>6525</v>
      </c>
      <c r="E1769" s="64" t="s">
        <v>6526</v>
      </c>
      <c r="F1769" s="336">
        <v>6</v>
      </c>
      <c r="G1769" s="63" t="s">
        <v>29</v>
      </c>
      <c r="H1769" s="349">
        <v>45377</v>
      </c>
      <c r="I1769" s="65" t="s">
        <v>1083</v>
      </c>
      <c r="J1769" s="65" t="s">
        <v>31</v>
      </c>
      <c r="K1769" s="336">
        <f>IFERROR(VLOOKUP(J1769,Jueces!$A$1:$B$11,2,FALSE),"")</f>
        <v>2</v>
      </c>
      <c r="L1769" s="63" t="s">
        <v>806</v>
      </c>
      <c r="M1769" s="63" t="s">
        <v>4773</v>
      </c>
      <c r="N1769" s="63" t="s">
        <v>6865</v>
      </c>
      <c r="O1769" s="63" t="str">
        <f ca="1">IF(H1769&lt;&gt;"",IF(H1769&lt;=TODAY(),"SI","NO"),"LIMBO")</f>
        <v>SI</v>
      </c>
      <c r="P1769" s="63" t="str">
        <f>IF($P$1=H1769,"DIASOL", "DIANOSOL")</f>
        <v>DIANOSOL</v>
      </c>
      <c r="Q1769" s="63" t="s">
        <v>902</v>
      </c>
      <c r="R1769" s="63" t="str">
        <f>VLOOKUP($Q1769,Resultados!$A$1:$B$49,2,FALSE)</f>
        <v>Juicio Abreviado</v>
      </c>
      <c r="S1769" s="63"/>
      <c r="T1769" s="72" t="str">
        <f>IF(G1769=$J$1,"SI","NO")</f>
        <v>NO</v>
      </c>
      <c r="U1769" s="72"/>
      <c r="V1769" s="7" t="str">
        <f ca="1">IF(color_Celda(E1769)=12106214,"ROSA",IF(color_Celda(E1769)=65535,"AMARILLO",IF(color_Celda(E1769)=5296274,"VERDE",IF(color_Celda(E1769)=16777215,"BLANCO","NO SE"))))</f>
        <v>ROSA</v>
      </c>
      <c r="W1769" s="336"/>
      <c r="X1769" s="336"/>
      <c r="Y1769" s="336"/>
      <c r="Z1769" s="63" t="s">
        <v>1038</v>
      </c>
      <c r="AA1769" s="63" t="s">
        <v>1165</v>
      </c>
      <c r="AB1769" s="63" t="s">
        <v>1173</v>
      </c>
      <c r="AC1769" s="336"/>
    </row>
    <row r="1770" spans="1:29" ht="60" customHeight="1">
      <c r="A1770" s="336">
        <v>1776</v>
      </c>
      <c r="B1770" s="349">
        <v>45366</v>
      </c>
      <c r="C1770" s="568">
        <v>0.42708333333333331</v>
      </c>
      <c r="D1770" s="63" t="s">
        <v>6531</v>
      </c>
      <c r="E1770" s="64" t="s">
        <v>6532</v>
      </c>
      <c r="F1770" s="336">
        <v>5</v>
      </c>
      <c r="G1770" s="63" t="s">
        <v>283</v>
      </c>
      <c r="H1770" s="349">
        <v>45377</v>
      </c>
      <c r="I1770" s="65" t="s">
        <v>1083</v>
      </c>
      <c r="J1770" s="65" t="s">
        <v>1216</v>
      </c>
      <c r="K1770" s="336">
        <f>IFERROR(VLOOKUP(J1770,Jueces!$A$1:$B$11,2,FALSE),"")</f>
        <v>1</v>
      </c>
      <c r="L1770" s="63" t="s">
        <v>791</v>
      </c>
      <c r="M1770" s="63" t="s">
        <v>2079</v>
      </c>
      <c r="N1770" s="63" t="s">
        <v>6866</v>
      </c>
      <c r="O1770" s="63" t="str">
        <f ca="1">IF(H1770&lt;&gt;"",IF(H1770&lt;=TODAY(),"SI","NO"),"LIMBO")</f>
        <v>SI</v>
      </c>
      <c r="P1770" s="63" t="str">
        <f>IF($P$1=H1770,"DIASOL", "DIANOSOL")</f>
        <v>DIANOSOL</v>
      </c>
      <c r="Q1770" s="63" t="s">
        <v>151</v>
      </c>
      <c r="R1770" s="63" t="str">
        <f>VLOOKUP($Q1770,Resultados!$A$1:$B$49,2,FALSE)</f>
        <v>Prisión Preventiva</v>
      </c>
      <c r="S1770" s="63"/>
      <c r="T1770" s="72" t="str">
        <f>IF(G1770=$J$1,"SI","NO")</f>
        <v>NO</v>
      </c>
      <c r="U1770" s="72"/>
      <c r="V1770" s="7" t="str">
        <f ca="1">IF(color_Celda(E1770)=12106214,"ROSA",IF(color_Celda(E1770)=65535,"AMARILLO",IF(color_Celda(E1770)=5296274,"VERDE",IF(color_Celda(E1770)=16777215,"BLANCO","NO SE"))))</f>
        <v>ROSA</v>
      </c>
      <c r="W1770" s="336"/>
      <c r="X1770" s="336"/>
      <c r="Y1770" s="336"/>
      <c r="Z1770" s="63" t="s">
        <v>770</v>
      </c>
      <c r="AA1770" s="63" t="s">
        <v>1167</v>
      </c>
      <c r="AB1770" s="63" t="s">
        <v>1171</v>
      </c>
      <c r="AC1770" s="336"/>
    </row>
    <row r="1771" spans="1:29" ht="60" customHeight="1">
      <c r="A1771" s="336">
        <v>1779</v>
      </c>
      <c r="B1771" s="349">
        <v>45366</v>
      </c>
      <c r="C1771" s="568">
        <v>0.48749999999999999</v>
      </c>
      <c r="D1771" s="63" t="s">
        <v>6535</v>
      </c>
      <c r="E1771" s="355" t="s">
        <v>6536</v>
      </c>
      <c r="F1771" s="336">
        <v>5</v>
      </c>
      <c r="G1771" s="63" t="s">
        <v>2752</v>
      </c>
      <c r="H1771" s="349">
        <v>45377</v>
      </c>
      <c r="I1771" s="65" t="s">
        <v>1083</v>
      </c>
      <c r="J1771" s="65" t="s">
        <v>4931</v>
      </c>
      <c r="K1771" s="63" t="s">
        <v>3989</v>
      </c>
      <c r="L1771" s="63" t="s">
        <v>582</v>
      </c>
      <c r="M1771" s="339" t="s">
        <v>4202</v>
      </c>
      <c r="N1771" s="63" t="s">
        <v>621</v>
      </c>
      <c r="O1771" s="63" t="str">
        <f ca="1">IF(H1771&lt;&gt;"",IF(H1771&lt;=TODAY(),"SI","NO"),"LIMBO")</f>
        <v>SI</v>
      </c>
      <c r="P1771" s="63" t="str">
        <f>IF($P$1=H1771,"DIASOL", "DIANOSOL")</f>
        <v>DIANOSOL</v>
      </c>
      <c r="Q1771" s="63" t="s">
        <v>151</v>
      </c>
      <c r="R1771" s="63" t="str">
        <f>VLOOKUP($Q1771,Resultados!$A$1:$B$49,2,FALSE)</f>
        <v>Prisión Preventiva</v>
      </c>
      <c r="S1771" s="63"/>
      <c r="T1771" s="72" t="str">
        <f>IF(G1771=$J$1,"SI","NO")</f>
        <v>NO</v>
      </c>
      <c r="U1771" s="72"/>
      <c r="V1771" s="7" t="str">
        <f ca="1">IF(color_Celda(E1771)=12106214,"ROSA",IF(color_Celda(E1771)=65535,"AMARILLO",IF(color_Celda(E1771)=5296274,"VERDE",IF(color_Celda(E1771)=16777215,"BLANCO","NO SE"))))</f>
        <v>ROSA</v>
      </c>
      <c r="W1771" s="336"/>
      <c r="X1771" s="336"/>
      <c r="Y1771" s="336"/>
      <c r="Z1771" s="63" t="s">
        <v>743</v>
      </c>
      <c r="AA1771" s="336"/>
      <c r="AB1771" s="63" t="s">
        <v>1169</v>
      </c>
      <c r="AC1771" s="336"/>
    </row>
    <row r="1772" spans="1:29" ht="60" customHeight="1">
      <c r="A1772" s="336">
        <v>1778</v>
      </c>
      <c r="B1772" s="349">
        <v>45366</v>
      </c>
      <c r="C1772" s="568">
        <v>0.44722222222222219</v>
      </c>
      <c r="D1772" s="63" t="s">
        <v>6533</v>
      </c>
      <c r="E1772" s="64" t="s">
        <v>6534</v>
      </c>
      <c r="F1772" s="336">
        <v>6</v>
      </c>
      <c r="G1772" s="63" t="s">
        <v>2815</v>
      </c>
      <c r="H1772" s="349">
        <v>45377</v>
      </c>
      <c r="I1772" s="65" t="s">
        <v>2011</v>
      </c>
      <c r="J1772" s="65" t="s">
        <v>1216</v>
      </c>
      <c r="K1772" s="336">
        <f>IFERROR(VLOOKUP(J1772,Jueces!$A$1:$B$11,2,FALSE),"")</f>
        <v>1</v>
      </c>
      <c r="L1772" s="63" t="s">
        <v>791</v>
      </c>
      <c r="M1772" s="63" t="s">
        <v>4773</v>
      </c>
      <c r="N1772" s="63" t="s">
        <v>6867</v>
      </c>
      <c r="O1772" s="63" t="str">
        <f ca="1">IF(H1772&lt;&gt;"",IF(H1772&lt;=TODAY(),"SI","NO"),"LIMBO")</f>
        <v>SI</v>
      </c>
      <c r="P1772" s="63" t="str">
        <f>IF($P$1=H1772,"DIASOL", "DIANOSOL")</f>
        <v>DIANOSOL</v>
      </c>
      <c r="Q1772" s="63" t="s">
        <v>897</v>
      </c>
      <c r="R1772" s="63" t="str">
        <f>VLOOKUP($Q1772,Resultados!$A$1:$B$49,2,FALSE)</f>
        <v>Libertad</v>
      </c>
      <c r="S1772" s="63"/>
      <c r="T1772" s="72" t="str">
        <f>IF(G1772=$J$1,"SI","NO")</f>
        <v>NO</v>
      </c>
      <c r="U1772" s="72"/>
      <c r="V1772" s="7" t="str">
        <f ca="1">IF(color_Celda(E1772)=12106214,"ROSA",IF(color_Celda(E1772)=65535,"AMARILLO",IF(color_Celda(E1772)=5296274,"VERDE",IF(color_Celda(E1772)=16777215,"BLANCO","NO SE"))))</f>
        <v>ROSA</v>
      </c>
      <c r="W1772" s="336"/>
      <c r="X1772" s="336"/>
      <c r="Y1772" s="336"/>
      <c r="Z1772" s="63" t="s">
        <v>748</v>
      </c>
      <c r="AA1772" s="63" t="s">
        <v>2828</v>
      </c>
      <c r="AB1772" s="63" t="s">
        <v>3258</v>
      </c>
      <c r="AC1772" s="336"/>
    </row>
    <row r="1773" spans="1:29" ht="60" customHeight="1">
      <c r="A1773" s="336">
        <v>1474</v>
      </c>
      <c r="B1773" s="349">
        <v>45302</v>
      </c>
      <c r="C1773" s="568">
        <v>0.4597222222222222</v>
      </c>
      <c r="D1773" s="336" t="s">
        <v>5225</v>
      </c>
      <c r="E1773" s="355" t="s">
        <v>5226</v>
      </c>
      <c r="F1773" s="336">
        <v>7</v>
      </c>
      <c r="G1773" s="63" t="s">
        <v>2752</v>
      </c>
      <c r="H1773" s="383">
        <v>45378</v>
      </c>
      <c r="I1773" s="65" t="s">
        <v>73</v>
      </c>
      <c r="J1773" s="65" t="s">
        <v>4746</v>
      </c>
      <c r="K1773" s="63" t="s">
        <v>1916</v>
      </c>
      <c r="L1773" s="63" t="s">
        <v>4782</v>
      </c>
      <c r="M1773" s="63" t="s">
        <v>725</v>
      </c>
      <c r="N1773" s="63" t="s">
        <v>6872</v>
      </c>
      <c r="O1773" s="78" t="str">
        <f ca="1">IF(H1773&lt;&gt;"",IF(H1773&lt;=TODAY(),"SI","NO"),"LIMBO")</f>
        <v>SI</v>
      </c>
      <c r="P1773" s="78" t="str">
        <f>IF($P$1=H1773,"DIASOL", "DIANOSOL")</f>
        <v>DIANOSOL</v>
      </c>
      <c r="Q1773" s="63" t="s">
        <v>151</v>
      </c>
      <c r="R1773" s="63" t="str">
        <f>VLOOKUP($Q1773,Resultados!$A$1:$B$49,2,FALSE)</f>
        <v>Prisión Preventiva</v>
      </c>
      <c r="S1773" s="63"/>
      <c r="T1773" s="81" t="str">
        <f>IF(G1773=$J$1,"SI","NO")</f>
        <v>NO</v>
      </c>
      <c r="U1773" s="81"/>
      <c r="V1773" s="7" t="str">
        <f ca="1">IF(color_Celda(E1773)=12106214,"ROSA",IF(color_Celda(E1773)=65535,"AMARILLO",IF(color_Celda(E1773)=5296274,"VERDE",IF(color_Celda(E1773)=16777215,"BLANCO","NO SE"))))</f>
        <v>ROSA</v>
      </c>
      <c r="W1773" s="336"/>
      <c r="X1773" s="336"/>
      <c r="Y1773" s="336"/>
      <c r="Z1773" s="336" t="s">
        <v>6869</v>
      </c>
      <c r="AA1773" s="63" t="s">
        <v>1167</v>
      </c>
      <c r="AB1773" s="63" t="s">
        <v>1171</v>
      </c>
      <c r="AC1773" s="336"/>
    </row>
    <row r="1774" spans="1:29" ht="60" customHeight="1">
      <c r="A1774" s="336">
        <v>1780</v>
      </c>
      <c r="B1774" s="349">
        <v>45366</v>
      </c>
      <c r="C1774" s="568">
        <v>0.50902777777777775</v>
      </c>
      <c r="D1774" s="325" t="s">
        <v>6537</v>
      </c>
      <c r="E1774" s="64" t="s">
        <v>6538</v>
      </c>
      <c r="F1774" s="336">
        <v>7</v>
      </c>
      <c r="G1774" s="63" t="s">
        <v>1433</v>
      </c>
      <c r="H1774" s="349">
        <v>45378</v>
      </c>
      <c r="I1774" s="65" t="s">
        <v>73</v>
      </c>
      <c r="J1774" s="65" t="s">
        <v>31</v>
      </c>
      <c r="K1774" s="336">
        <f>IFERROR(VLOOKUP(J1774,Jueces!$A$1:$B$11,2,FALSE),"")</f>
        <v>2</v>
      </c>
      <c r="L1774" s="63" t="s">
        <v>4788</v>
      </c>
      <c r="M1774" s="63" t="s">
        <v>1956</v>
      </c>
      <c r="N1774" s="63" t="s">
        <v>6874</v>
      </c>
      <c r="O1774" s="167" t="str">
        <f ca="1">IF(H1774&lt;&gt;"",IF(H1774&lt;=TODAY(),"SI","NO"),"LIMBO")</f>
        <v>SI</v>
      </c>
      <c r="P1774" s="167" t="str">
        <f>IF($P$1=H1774,"DIASOL", "DIANOSOL")</f>
        <v>DIANOSOL</v>
      </c>
      <c r="Q1774" s="63" t="s">
        <v>902</v>
      </c>
      <c r="R1774" s="63" t="str">
        <f>VLOOKUP($Q1774,Resultados!$A$1:$B$49,2,FALSE)</f>
        <v>Juicio Abreviado</v>
      </c>
      <c r="S1774" s="63"/>
      <c r="T1774" s="414" t="str">
        <f>IF(G1774=$J$1,"SI","NO")</f>
        <v>NO</v>
      </c>
      <c r="U1774" s="414"/>
      <c r="V1774" s="7" t="str">
        <f ca="1">IF(color_Celda(E1774)=12106214,"ROSA",IF(color_Celda(E1774)=65535,"AMARILLO",IF(color_Celda(E1774)=5296274,"VERDE",IF(color_Celda(E1774)=16777215,"BLANCO","NO SE"))))</f>
        <v>ROSA</v>
      </c>
      <c r="W1774" s="336"/>
      <c r="X1774" s="336"/>
      <c r="Y1774" s="336"/>
      <c r="Z1774" s="336" t="s">
        <v>770</v>
      </c>
      <c r="AA1774" s="63" t="s">
        <v>2828</v>
      </c>
      <c r="AB1774" s="63" t="s">
        <v>5776</v>
      </c>
      <c r="AC1774" s="336" t="s">
        <v>1792</v>
      </c>
    </row>
    <row r="1775" spans="1:29" ht="60" customHeight="1">
      <c r="A1775" s="336">
        <v>1782</v>
      </c>
      <c r="B1775" s="349">
        <v>45369</v>
      </c>
      <c r="C1775" s="568">
        <v>0.33333333333333331</v>
      </c>
      <c r="D1775" s="63" t="s">
        <v>6542</v>
      </c>
      <c r="E1775" s="355" t="s">
        <v>6543</v>
      </c>
      <c r="F1775" s="336">
        <v>6</v>
      </c>
      <c r="G1775" s="63" t="s">
        <v>1434</v>
      </c>
      <c r="H1775" s="349">
        <v>45378</v>
      </c>
      <c r="I1775" s="65" t="s">
        <v>73</v>
      </c>
      <c r="J1775" s="65" t="s">
        <v>78</v>
      </c>
      <c r="K1775" s="336">
        <f>IFERROR(VLOOKUP(J1775,Jueces!$A$1:$B$11,2,FALSE),"")</f>
        <v>8</v>
      </c>
      <c r="L1775" s="63" t="s">
        <v>4778</v>
      </c>
      <c r="M1775" s="339" t="s">
        <v>6870</v>
      </c>
      <c r="N1775" s="63" t="s">
        <v>3046</v>
      </c>
      <c r="O1775" s="233" t="str">
        <f ca="1">IF(H1775&lt;&gt;"",IF(H1775&lt;=TODAY(),"SI","NO"),"LIMBO")</f>
        <v>SI</v>
      </c>
      <c r="P1775" s="233" t="str">
        <f>IF($P$1=H1775,"DIASOL", "DIANOSOL")</f>
        <v>DIANOSOL</v>
      </c>
      <c r="Q1775" s="63" t="s">
        <v>903</v>
      </c>
      <c r="R1775" s="63" t="str">
        <f>VLOOKUP($Q1775,Resultados!$A$1:$B$49,2,FALSE)</f>
        <v>Juicio Abreviado</v>
      </c>
      <c r="S1775" s="63" t="s">
        <v>1231</v>
      </c>
      <c r="T1775" s="508" t="str">
        <f>IF(G1775=$J$1,"SI","NO")</f>
        <v>NO</v>
      </c>
      <c r="U1775" s="508"/>
      <c r="V1775" s="7" t="str">
        <f ca="1">IF(color_Celda(E1775)=12106214,"ROSA",IF(color_Celda(E1775)=65535,"AMARILLO",IF(color_Celda(E1775)=5296274,"VERDE",IF(color_Celda(E1775)=16777215,"BLANCO","NO SE"))))</f>
        <v>ROSA</v>
      </c>
      <c r="W1775" s="63" t="s">
        <v>1373</v>
      </c>
      <c r="X1775" s="336"/>
      <c r="Y1775" s="336"/>
      <c r="Z1775" s="336" t="s">
        <v>1038</v>
      </c>
      <c r="AA1775" s="63" t="s">
        <v>2869</v>
      </c>
      <c r="AB1775" s="63" t="s">
        <v>3258</v>
      </c>
      <c r="AC1775" s="336"/>
    </row>
    <row r="1776" spans="1:29" ht="60" customHeight="1">
      <c r="A1776" s="336">
        <v>1801</v>
      </c>
      <c r="B1776" s="349">
        <v>45370</v>
      </c>
      <c r="C1776" s="568">
        <v>0.41666666666666669</v>
      </c>
      <c r="D1776" s="349" t="s">
        <v>6399</v>
      </c>
      <c r="E1776" s="355" t="s">
        <v>6400</v>
      </c>
      <c r="F1776" s="336">
        <v>5</v>
      </c>
      <c r="G1776" s="63" t="s">
        <v>29</v>
      </c>
      <c r="H1776" s="383">
        <v>45378</v>
      </c>
      <c r="I1776" s="63" t="s">
        <v>73</v>
      </c>
      <c r="J1776" s="63" t="s">
        <v>4931</v>
      </c>
      <c r="K1776" s="63" t="s">
        <v>3776</v>
      </c>
      <c r="L1776" s="63" t="s">
        <v>582</v>
      </c>
      <c r="M1776" s="7" t="s">
        <v>3755</v>
      </c>
      <c r="N1776" s="63" t="s">
        <v>6871</v>
      </c>
      <c r="O1776" s="78" t="str">
        <f ca="1">IF(H1776&lt;&gt;"",IF(H1776&lt;=TODAY(),"SI","NO"),"LIMBO")</f>
        <v>SI</v>
      </c>
      <c r="P1776" s="78" t="str">
        <f>IF($P$1=H1776,"DIASOL", "DIANOSOL")</f>
        <v>DIANOSOL</v>
      </c>
      <c r="Q1776" s="336" t="s">
        <v>151</v>
      </c>
      <c r="R1776" s="63" t="str">
        <f>VLOOKUP($Q1776,Resultados!$A$1:$B$49,2,FALSE)</f>
        <v>Prisión Preventiva</v>
      </c>
      <c r="S1776" s="336"/>
      <c r="T1776" s="81" t="str">
        <f>IF(G1776=$J$1,"SI","NO")</f>
        <v>NO</v>
      </c>
      <c r="U1776" s="75"/>
      <c r="V1776" s="7" t="str">
        <f ca="1">IF(color_Celda(E1776)=12106214,"ROSA",IF(color_Celda(E1776)=65535,"AMARILLO",IF(color_Celda(E1776)=5296274,"VERDE",IF(color_Celda(E1776)=16777215,"BLANCO","NO SE"))))</f>
        <v>ROSA</v>
      </c>
      <c r="W1776" s="336"/>
      <c r="X1776" s="336"/>
      <c r="Y1776" s="336"/>
      <c r="Z1776" s="336" t="s">
        <v>743</v>
      </c>
      <c r="AA1776" s="336"/>
      <c r="AB1776" s="63" t="s">
        <v>1171</v>
      </c>
      <c r="AC1776" s="336"/>
    </row>
    <row r="1777" spans="1:29" ht="60" customHeight="1">
      <c r="A1777" s="336">
        <v>1679</v>
      </c>
      <c r="B1777" s="349">
        <v>45373</v>
      </c>
      <c r="C1777" s="568">
        <v>0.33333333333333331</v>
      </c>
      <c r="D1777" s="63" t="s">
        <v>5998</v>
      </c>
      <c r="E1777" s="355" t="s">
        <v>5999</v>
      </c>
      <c r="F1777" s="336">
        <v>3</v>
      </c>
      <c r="G1777" s="63" t="s">
        <v>3791</v>
      </c>
      <c r="H1777" s="383">
        <v>45378</v>
      </c>
      <c r="I1777" s="65" t="s">
        <v>73</v>
      </c>
      <c r="J1777" s="349" t="s">
        <v>35</v>
      </c>
      <c r="K1777" s="336">
        <f>IFERROR(VLOOKUP(J1777,Jueces!$A$1:$B$11,2,FALSE),"")</f>
        <v>3</v>
      </c>
      <c r="L1777" s="63" t="s">
        <v>4791</v>
      </c>
      <c r="M1777" s="63" t="s">
        <v>2036</v>
      </c>
      <c r="N1777" s="63" t="s">
        <v>6873</v>
      </c>
      <c r="O1777" s="78" t="str">
        <f ca="1">IF(H1777&lt;&gt;"",IF(H1777&lt;=TODAY(),"SI","NO"),"LIMBO")</f>
        <v>SI</v>
      </c>
      <c r="P1777" s="78" t="str">
        <f>IF($P$1=H1777,"DIASOL", "DIANOSOL")</f>
        <v>DIANOSOL</v>
      </c>
      <c r="Q1777" s="63" t="s">
        <v>897</v>
      </c>
      <c r="R1777" s="63" t="str">
        <f>VLOOKUP($Q1777,Resultados!$A$1:$B$49,2,FALSE)</f>
        <v>Libertad</v>
      </c>
      <c r="S1777" s="63"/>
      <c r="T1777" s="81" t="str">
        <f>IF(G1777=$J$1,"SI","NO")</f>
        <v>NO</v>
      </c>
      <c r="U1777" s="81"/>
      <c r="V1777" s="7" t="str">
        <f ca="1">IF(color_Celda(E1777)=12106214,"ROSA",IF(color_Celda(E1777)=65535,"AMARILLO",IF(color_Celda(E1777)=5296274,"VERDE",IF(color_Celda(E1777)=16777215,"BLANCO","NO SE"))))</f>
        <v>ROSA</v>
      </c>
      <c r="W1777" s="336"/>
      <c r="X1777" s="336"/>
      <c r="Y1777" s="336"/>
      <c r="Z1777" s="336" t="s">
        <v>6868</v>
      </c>
      <c r="AA1777" s="63" t="s">
        <v>2828</v>
      </c>
      <c r="AB1777" s="63" t="s">
        <v>1173</v>
      </c>
      <c r="AC1777" s="336"/>
    </row>
    <row r="1778" spans="1:29" ht="60" customHeight="1">
      <c r="A1778" s="336">
        <v>1770</v>
      </c>
      <c r="B1778" s="349">
        <v>45365</v>
      </c>
      <c r="C1778" s="568">
        <v>0.52083333333333337</v>
      </c>
      <c r="D1778" s="63" t="s">
        <v>6521</v>
      </c>
      <c r="E1778" s="64" t="s">
        <v>6522</v>
      </c>
      <c r="F1778" s="336">
        <v>6</v>
      </c>
      <c r="G1778" s="63" t="s">
        <v>3323</v>
      </c>
      <c r="H1778" s="349">
        <v>45378</v>
      </c>
      <c r="I1778" s="65" t="s">
        <v>749</v>
      </c>
      <c r="J1778" s="65" t="s">
        <v>1221</v>
      </c>
      <c r="K1778" s="336">
        <f>IFERROR(VLOOKUP(J1778,Jueces!$A$1:$B$11,2,FALSE),"")</f>
        <v>6</v>
      </c>
      <c r="L1778" s="63" t="s">
        <v>4784</v>
      </c>
      <c r="M1778" s="330" t="s">
        <v>4929</v>
      </c>
      <c r="N1778" s="63" t="s">
        <v>621</v>
      </c>
      <c r="O1778" s="78" t="str">
        <f ca="1">IF(H1778&lt;&gt;"",IF(H1778&lt;=TODAY(),"SI","NO"),"LIMBO")</f>
        <v>SI</v>
      </c>
      <c r="P1778" s="78" t="str">
        <f>IF($P$1=H1778,"DIASOL", "DIANOSOL")</f>
        <v>DIANOSOL</v>
      </c>
      <c r="Q1778" s="63" t="s">
        <v>151</v>
      </c>
      <c r="R1778" s="63" t="str">
        <f>VLOOKUP($Q1778,Resultados!$A$1:$B$49,2,FALSE)</f>
        <v>Prisión Preventiva</v>
      </c>
      <c r="S1778" s="63"/>
      <c r="T1778" s="81" t="str">
        <f>IF(G1778=$J$1,"SI","NO")</f>
        <v>NO</v>
      </c>
      <c r="U1778" s="81"/>
      <c r="V1778" s="7" t="str">
        <f ca="1">IF(color_Celda(E1778)=12106214,"ROSA",IF(color_Celda(E1778)=65535,"AMARILLO",IF(color_Celda(E1778)=5296274,"VERDE",IF(color_Celda(E1778)=16777215,"BLANCO","NO SE"))))</f>
        <v>ROSA</v>
      </c>
      <c r="W1778" s="336"/>
      <c r="X1778" s="336"/>
      <c r="Y1778" s="336"/>
      <c r="Z1778" s="336" t="s">
        <v>748</v>
      </c>
      <c r="AA1778" s="63" t="s">
        <v>2869</v>
      </c>
      <c r="AB1778" s="63" t="s">
        <v>1169</v>
      </c>
      <c r="AC1778" s="336"/>
    </row>
    <row r="1779" spans="1:29" ht="60" customHeight="1">
      <c r="A1779" s="336">
        <v>1791</v>
      </c>
      <c r="B1779" s="349">
        <v>45369</v>
      </c>
      <c r="C1779" s="568">
        <v>0.54166666666666663</v>
      </c>
      <c r="D1779" s="63" t="s">
        <v>6557</v>
      </c>
      <c r="E1779" s="355" t="s">
        <v>6558</v>
      </c>
      <c r="F1779" s="336">
        <v>6</v>
      </c>
      <c r="G1779" s="63" t="s">
        <v>568</v>
      </c>
      <c r="H1779" s="349">
        <v>45378</v>
      </c>
      <c r="I1779" s="65" t="s">
        <v>76</v>
      </c>
      <c r="J1779" s="65" t="s">
        <v>78</v>
      </c>
      <c r="K1779" s="63" t="s">
        <v>6572</v>
      </c>
      <c r="L1779" s="63" t="s">
        <v>4788</v>
      </c>
      <c r="M1779" s="63" t="s">
        <v>2107</v>
      </c>
      <c r="N1779" s="63" t="s">
        <v>6875</v>
      </c>
      <c r="O1779" s="233" t="str">
        <f ca="1">IF(H1779&lt;&gt;"",IF(H1779&lt;=TODAY(),"SI","NO"),"LIMBO")</f>
        <v>SI</v>
      </c>
      <c r="P1779" s="233" t="str">
        <f>IF($P$1=H1779,"DIASOL", "DIANOSOL")</f>
        <v>DIANOSOL</v>
      </c>
      <c r="Q1779" s="63" t="s">
        <v>902</v>
      </c>
      <c r="R1779" s="63" t="str">
        <f>VLOOKUP($Q1779,Resultados!$A$1:$B$49,2,FALSE)</f>
        <v>Juicio Abreviado</v>
      </c>
      <c r="S1779" s="63"/>
      <c r="T1779" s="508" t="str">
        <f>IF(G1779=$J$1,"SI","NO")</f>
        <v>NO</v>
      </c>
      <c r="U1779" s="508"/>
      <c r="V1779" s="7" t="str">
        <f ca="1">IF(color_Celda(E1779)=12106214,"ROSA",IF(color_Celda(E1779)=65535,"AMARILLO",IF(color_Celda(E1779)=5296274,"VERDE",IF(color_Celda(E1779)=16777215,"BLANCO","NO SE"))))</f>
        <v>ROSA</v>
      </c>
      <c r="W1779" s="336"/>
      <c r="X1779" s="336"/>
      <c r="Y1779" s="336"/>
      <c r="Z1779" s="336" t="s">
        <v>770</v>
      </c>
      <c r="AA1779" s="63" t="s">
        <v>1165</v>
      </c>
      <c r="AB1779" s="63" t="s">
        <v>1173</v>
      </c>
      <c r="AC1779" s="336"/>
    </row>
    <row r="1780" spans="1:29" ht="60" customHeight="1">
      <c r="A1780" s="336">
        <v>1812</v>
      </c>
      <c r="B1780" s="349">
        <v>45371</v>
      </c>
      <c r="C1780" s="568">
        <v>0.54027777777777775</v>
      </c>
      <c r="D1780" s="63" t="s">
        <v>6641</v>
      </c>
      <c r="E1780" s="355" t="s">
        <v>6642</v>
      </c>
      <c r="F1780" s="336">
        <v>6</v>
      </c>
      <c r="G1780" s="63" t="s">
        <v>2766</v>
      </c>
      <c r="H1780" s="349">
        <v>45378</v>
      </c>
      <c r="I1780" s="65" t="s">
        <v>75</v>
      </c>
      <c r="J1780" s="349" t="s">
        <v>1221</v>
      </c>
      <c r="K1780" s="336">
        <f>IFERROR(VLOOKUP(J1780,Jueces!$A$1:$B$11,2,FALSE),"")</f>
        <v>6</v>
      </c>
      <c r="L1780" s="63" t="s">
        <v>805</v>
      </c>
      <c r="M1780" s="63" t="s">
        <v>1956</v>
      </c>
      <c r="N1780" s="63" t="s">
        <v>6886</v>
      </c>
      <c r="O1780" s="78" t="str">
        <f ca="1">IF(H1780&lt;&gt;"",IF(H1780&lt;=TODAY(),"SI","NO"),"LIMBO")</f>
        <v>SI</v>
      </c>
      <c r="P1780" s="78" t="str">
        <f>IF($P$1=H1780,"DIASOL", "DIANOSOL")</f>
        <v>DIANOSOL</v>
      </c>
      <c r="Q1780" s="63" t="s">
        <v>903</v>
      </c>
      <c r="R1780" s="63" t="str">
        <f>VLOOKUP($Q1780,Resultados!$A$1:$B$49,2,FALSE)</f>
        <v>Juicio Abreviado</v>
      </c>
      <c r="S1780" s="63"/>
      <c r="T1780" s="81" t="str">
        <f>IF(G1780=$J$1,"SI","NO")</f>
        <v>NO</v>
      </c>
      <c r="U1780" s="81"/>
      <c r="V1780" s="7" t="str">
        <f ca="1">IF(color_Celda(E1780)=12106214,"ROSA",IF(color_Celda(E1780)=65535,"AMARILLO",IF(color_Celda(E1780)=5296274,"VERDE",IF(color_Celda(E1780)=16777215,"BLANCO","NO SE"))))</f>
        <v>ROSA</v>
      </c>
      <c r="W1780" s="336"/>
      <c r="X1780" s="336"/>
      <c r="Y1780" s="336"/>
      <c r="Z1780" s="336" t="s">
        <v>748</v>
      </c>
      <c r="AA1780" s="63" t="s">
        <v>2869</v>
      </c>
      <c r="AB1780" s="63" t="s">
        <v>3258</v>
      </c>
      <c r="AC1780" s="336"/>
    </row>
    <row r="1781" spans="1:29" ht="60" customHeight="1">
      <c r="A1781" s="336">
        <v>1799</v>
      </c>
      <c r="B1781" s="349">
        <v>45370</v>
      </c>
      <c r="C1781" s="568">
        <v>0.50694444444444442</v>
      </c>
      <c r="D1781" s="63" t="s">
        <v>6585</v>
      </c>
      <c r="E1781" s="355" t="s">
        <v>6586</v>
      </c>
      <c r="F1781" s="336">
        <v>6</v>
      </c>
      <c r="G1781" s="63" t="s">
        <v>2815</v>
      </c>
      <c r="H1781" s="349">
        <v>45378</v>
      </c>
      <c r="I1781" s="65" t="s">
        <v>987</v>
      </c>
      <c r="J1781" s="65" t="s">
        <v>33</v>
      </c>
      <c r="K1781" s="336">
        <f>IFERROR(VLOOKUP(J1781,Jueces!$A$1:$B$11,2,FALSE),"")</f>
        <v>4</v>
      </c>
      <c r="L1781" s="63" t="s">
        <v>4791</v>
      </c>
      <c r="M1781" s="388" t="s">
        <v>3381</v>
      </c>
      <c r="N1781" s="336" t="s">
        <v>897</v>
      </c>
      <c r="O1781" s="167" t="str">
        <f ca="1">IF(H1781&lt;&gt;"",IF(H1781&lt;=TODAY(),"SI","NO"),"LIMBO")</f>
        <v>SI</v>
      </c>
      <c r="P1781" s="167" t="str">
        <f>IF($P$1=H1781,"DIASOL", "DIANOSOL")</f>
        <v>DIANOSOL</v>
      </c>
      <c r="Q1781" s="63" t="s">
        <v>897</v>
      </c>
      <c r="R1781" s="63" t="str">
        <f>VLOOKUP($Q1781,Resultados!$A$1:$B$49,2,FALSE)</f>
        <v>Libertad</v>
      </c>
      <c r="S1781" s="63"/>
      <c r="T1781" s="414" t="str">
        <f>IF(G1781=$J$1,"SI","NO")</f>
        <v>NO</v>
      </c>
      <c r="U1781" s="414"/>
      <c r="V1781" s="7" t="str">
        <f ca="1">IF(color_Celda(E1781)=12106214,"ROSA",IF(color_Celda(E1781)=65535,"AMARILLO",IF(color_Celda(E1781)=5296274,"VERDE",IF(color_Celda(E1781)=16777215,"BLANCO","NO SE"))))</f>
        <v>ROSA</v>
      </c>
      <c r="W1781" s="336"/>
      <c r="X1781" s="336"/>
      <c r="Y1781" s="336"/>
      <c r="Z1781" s="336" t="s">
        <v>770</v>
      </c>
      <c r="AA1781" s="63" t="s">
        <v>3378</v>
      </c>
      <c r="AB1781" s="63" t="s">
        <v>1171</v>
      </c>
      <c r="AC1781" s="336"/>
    </row>
    <row r="1782" spans="1:29" ht="60" customHeight="1">
      <c r="A1782" s="336">
        <v>1833</v>
      </c>
      <c r="B1782" s="349">
        <v>45371</v>
      </c>
      <c r="C1782" s="63" t="s">
        <v>2011</v>
      </c>
      <c r="D1782" s="63" t="s">
        <v>6787</v>
      </c>
      <c r="E1782" s="64" t="s">
        <v>6822</v>
      </c>
      <c r="F1782" s="336">
        <v>6</v>
      </c>
      <c r="G1782" s="63" t="s">
        <v>283</v>
      </c>
      <c r="H1782" s="349">
        <v>45378</v>
      </c>
      <c r="I1782" s="65" t="s">
        <v>1146</v>
      </c>
      <c r="J1782" s="349" t="s">
        <v>31</v>
      </c>
      <c r="K1782" s="336">
        <f>IFERROR(VLOOKUP(J1782,Jueces!$A$1:$B$11,2,FALSE),"")</f>
        <v>2</v>
      </c>
      <c r="L1782" s="63" t="s">
        <v>791</v>
      </c>
      <c r="M1782" s="63" t="s">
        <v>2107</v>
      </c>
      <c r="N1782" s="336" t="s">
        <v>6885</v>
      </c>
      <c r="O1782" s="78" t="str">
        <f ca="1">IF(H1782&lt;&gt;"",IF(H1782&lt;=TODAY(),"SI","NO"),"LIMBO")</f>
        <v>SI</v>
      </c>
      <c r="P1782" s="78" t="str">
        <f>IF($P$1=H1782,"DIASOL", "DIANOSOL")</f>
        <v>DIANOSOL</v>
      </c>
      <c r="Q1782" s="63" t="s">
        <v>902</v>
      </c>
      <c r="R1782" s="63" t="str">
        <f>VLOOKUP($Q1782,Resultados!$A$1:$B$49,2,FALSE)</f>
        <v>Juicio Abreviado</v>
      </c>
      <c r="S1782" s="63"/>
      <c r="T1782" s="81" t="str">
        <f>IF(G1782=$J$1,"SI","NO")</f>
        <v>NO</v>
      </c>
      <c r="U1782" s="81"/>
      <c r="V1782" s="7" t="str">
        <f ca="1">IF(color_Celda(E1782)=12106214,"ROSA",IF(color_Celda(E1782)=65535,"AMARILLO",IF(color_Celda(E1782)=5296274,"VERDE",IF(color_Celda(E1782)=16777215,"BLANCO","NO SE"))))</f>
        <v>ROSA</v>
      </c>
      <c r="W1782" s="336"/>
      <c r="X1782" s="336"/>
      <c r="Y1782" s="336"/>
      <c r="Z1782" s="336" t="s">
        <v>748</v>
      </c>
      <c r="AA1782" s="63" t="s">
        <v>3379</v>
      </c>
      <c r="AB1782" s="63" t="s">
        <v>1169</v>
      </c>
      <c r="AC1782" s="336"/>
    </row>
    <row r="1783" spans="1:29" ht="60" customHeight="1">
      <c r="A1783" s="336">
        <v>1841</v>
      </c>
      <c r="B1783" s="349">
        <v>45365</v>
      </c>
      <c r="C1783" s="568">
        <v>0.33333333333333331</v>
      </c>
      <c r="D1783" s="336" t="s">
        <v>6784</v>
      </c>
      <c r="E1783" s="355" t="s">
        <v>6501</v>
      </c>
      <c r="F1783" s="336">
        <v>5</v>
      </c>
      <c r="G1783" s="336" t="s">
        <v>2752</v>
      </c>
      <c r="H1783" s="383">
        <v>45378</v>
      </c>
      <c r="I1783" s="65" t="s">
        <v>74</v>
      </c>
      <c r="J1783" s="349" t="s">
        <v>1216</v>
      </c>
      <c r="K1783" s="336">
        <v>1</v>
      </c>
      <c r="L1783" s="63" t="s">
        <v>4791</v>
      </c>
      <c r="M1783" s="63" t="s">
        <v>5626</v>
      </c>
      <c r="N1783" s="63" t="s">
        <v>6888</v>
      </c>
      <c r="O1783" s="78" t="str">
        <f ca="1">IF(H1783&lt;&gt;"",IF(H1783&lt;=TODAY(),"SI","NO"),"LIMBO")</f>
        <v>SI</v>
      </c>
      <c r="P1783" s="78" t="str">
        <f>IF($P$1=H1783,"DIASOL", "DIANOSOL")</f>
        <v>DIANOSOL</v>
      </c>
      <c r="Q1783" s="63" t="s">
        <v>897</v>
      </c>
      <c r="R1783" s="63" t="str">
        <f>VLOOKUP($Q1783,Resultados!$A$1:$B$49,2,FALSE)</f>
        <v>Libertad</v>
      </c>
      <c r="S1783" s="63"/>
      <c r="T1783" s="81" t="str">
        <f>IF(G1783=$J$1,"SI","NO")</f>
        <v>NO</v>
      </c>
      <c r="U1783" s="81"/>
      <c r="V1783" s="7" t="str">
        <f ca="1">IF(color_Celda(E1783)=12106214,"ROSA",IF(color_Celda(E1783)=65535,"AMARILLO",IF(color_Celda(E1783)=5296274,"VERDE",IF(color_Celda(E1783)=16777215,"BLANCO","NO SE"))))</f>
        <v>ROSA</v>
      </c>
      <c r="W1783" s="336"/>
      <c r="X1783" s="336"/>
      <c r="Y1783" s="336"/>
      <c r="Z1783" s="336" t="s">
        <v>770</v>
      </c>
      <c r="AA1783" s="63" t="s">
        <v>3378</v>
      </c>
      <c r="AB1783" s="63" t="s">
        <v>3258</v>
      </c>
      <c r="AC1783" s="336"/>
    </row>
    <row r="1784" spans="1:29" ht="60" customHeight="1">
      <c r="A1784" s="336">
        <v>1784</v>
      </c>
      <c r="B1784" s="349">
        <v>45369</v>
      </c>
      <c r="C1784" s="568">
        <v>0.41041666666666665</v>
      </c>
      <c r="D1784" s="63" t="s">
        <v>6545</v>
      </c>
      <c r="E1784" s="64" t="s">
        <v>6548</v>
      </c>
      <c r="F1784" s="336">
        <v>2</v>
      </c>
      <c r="G1784" s="63" t="s">
        <v>29</v>
      </c>
      <c r="H1784" s="349">
        <v>45385</v>
      </c>
      <c r="I1784" s="65" t="s">
        <v>73</v>
      </c>
      <c r="J1784" s="65" t="s">
        <v>4746</v>
      </c>
      <c r="K1784" s="63" t="s">
        <v>2285</v>
      </c>
      <c r="L1784" s="63" t="s">
        <v>582</v>
      </c>
      <c r="M1784" s="63" t="s">
        <v>1956</v>
      </c>
      <c r="N1784" s="63" t="s">
        <v>6931</v>
      </c>
      <c r="O1784" s="63" t="str">
        <f ca="1">IF(H1784&lt;&gt;"",IF(H1784&lt;=TODAY(),"SI","NO"),"LIMBO")</f>
        <v>SI</v>
      </c>
      <c r="P1784" s="63" t="str">
        <f>IF($P$1=H1784,"DIASOL", "DIANOSOL")</f>
        <v>DIANOSOL</v>
      </c>
      <c r="Q1784" s="63" t="s">
        <v>1010</v>
      </c>
      <c r="R1784" s="63" t="str">
        <f>VLOOKUP($Q1784,Resultados!$A$1:$B$49,2,FALSE)</f>
        <v>Suspendida</v>
      </c>
      <c r="S1784" s="63"/>
      <c r="T1784" s="72" t="str">
        <f>IF(G1784=$J$1,"SI","NO")</f>
        <v>NO</v>
      </c>
      <c r="U1784" s="72"/>
      <c r="V1784" s="7" t="str">
        <f ca="1">IF(color_Celda(E1784)=12106214,"ROSA",IF(color_Celda(E1784)=65535,"AMARILLO",IF(color_Celda(E1784)=5296274,"VERDE",IF(color_Celda(E1784)=16777215,"BLANCO","NO SE"))))</f>
        <v>ROSA</v>
      </c>
      <c r="W1784" s="336"/>
      <c r="X1784" s="336"/>
      <c r="Y1784" s="336"/>
      <c r="Z1784" s="63" t="s">
        <v>743</v>
      </c>
      <c r="AA1784" s="336"/>
      <c r="AB1784" s="336" t="s">
        <v>1173</v>
      </c>
      <c r="AC1784" s="336"/>
    </row>
    <row r="1785" spans="1:29" ht="60" customHeight="1">
      <c r="A1785" s="336">
        <v>1793</v>
      </c>
      <c r="B1785" s="349">
        <v>45370</v>
      </c>
      <c r="C1785" s="568">
        <v>0.33333333333333331</v>
      </c>
      <c r="D1785" s="63" t="s">
        <v>6574</v>
      </c>
      <c r="E1785" s="355" t="s">
        <v>6575</v>
      </c>
      <c r="F1785" s="336">
        <v>5</v>
      </c>
      <c r="G1785" s="63" t="s">
        <v>1433</v>
      </c>
      <c r="H1785" s="349">
        <v>45385</v>
      </c>
      <c r="I1785" s="65" t="s">
        <v>73</v>
      </c>
      <c r="J1785" s="65" t="s">
        <v>35</v>
      </c>
      <c r="K1785" s="336">
        <f>IFERROR(VLOOKUP(J1785,Jueces!$A$1:$B$11,2,FALSE),"")</f>
        <v>3</v>
      </c>
      <c r="L1785" s="63" t="s">
        <v>791</v>
      </c>
      <c r="M1785" s="63" t="s">
        <v>695</v>
      </c>
      <c r="N1785" s="63" t="s">
        <v>6863</v>
      </c>
      <c r="O1785" s="63" t="str">
        <f ca="1">IF(H1785&lt;&gt;"",IF(H1785&lt;=TODAY(),"SI","NO"),"LIMBO")</f>
        <v>SI</v>
      </c>
      <c r="P1785" s="63" t="str">
        <f>IF($P$1=H1785,"DIASOL", "DIANOSOL")</f>
        <v>DIANOSOL</v>
      </c>
      <c r="Q1785" s="63" t="s">
        <v>897</v>
      </c>
      <c r="R1785" s="63" t="str">
        <f>VLOOKUP($Q1785,Resultados!$A$1:$B$49,2,FALSE)</f>
        <v>Libertad</v>
      </c>
      <c r="S1785" s="63"/>
      <c r="T1785" s="72" t="str">
        <f>IF(G1785=$J$1,"SI","NO")</f>
        <v>NO</v>
      </c>
      <c r="U1785" s="72"/>
      <c r="V1785" s="7" t="str">
        <f ca="1">IF(color_Celda(E1785)=12106214,"ROSA",IF(color_Celda(E1785)=65535,"AMARILLO",IF(color_Celda(E1785)=5296274,"VERDE",IF(color_Celda(E1785)=16777215,"BLANCO","NO SE"))))</f>
        <v>ROSA</v>
      </c>
      <c r="W1785" s="336"/>
      <c r="X1785" s="336"/>
      <c r="Y1785" s="336"/>
      <c r="Z1785" s="63" t="s">
        <v>1038</v>
      </c>
      <c r="AA1785" s="63" t="s">
        <v>3378</v>
      </c>
      <c r="AB1785" s="63" t="s">
        <v>1170</v>
      </c>
      <c r="AC1785" s="336"/>
    </row>
    <row r="1786" spans="1:29" ht="60" customHeight="1">
      <c r="A1786" s="336">
        <v>1678</v>
      </c>
      <c r="B1786" s="349">
        <v>45378</v>
      </c>
      <c r="C1786" s="70" t="s">
        <v>76</v>
      </c>
      <c r="D1786" s="63" t="s">
        <v>6040</v>
      </c>
      <c r="E1786" s="355" t="s">
        <v>6074</v>
      </c>
      <c r="F1786" s="336">
        <v>4</v>
      </c>
      <c r="G1786" s="63" t="s">
        <v>2815</v>
      </c>
      <c r="H1786" s="383">
        <v>45385</v>
      </c>
      <c r="I1786" s="65" t="s">
        <v>73</v>
      </c>
      <c r="J1786" s="349" t="s">
        <v>31</v>
      </c>
      <c r="K1786" s="336">
        <f>IFERROR(VLOOKUP(J1786,Jueces!$A$1:$B$11,2,FALSE),"")</f>
        <v>2</v>
      </c>
      <c r="L1786" s="63" t="s">
        <v>4778</v>
      </c>
      <c r="M1786" s="63" t="s">
        <v>694</v>
      </c>
      <c r="N1786" s="63" t="s">
        <v>6972</v>
      </c>
      <c r="O1786" s="63" t="str">
        <f ca="1">IF(H1786&lt;&gt;"",IF(H1786&lt;=TODAY(),"SI","NO"),"LIMBO")</f>
        <v>SI</v>
      </c>
      <c r="P1786" s="63" t="str">
        <f>IF($P$1=H1786,"DIASOL", "DIANOSOL")</f>
        <v>DIANOSOL</v>
      </c>
      <c r="Q1786" s="63" t="s">
        <v>897</v>
      </c>
      <c r="R1786" s="63" t="str">
        <f>VLOOKUP($Q1786,Resultados!$A$1:$B$49,2,FALSE)</f>
        <v>Libertad</v>
      </c>
      <c r="S1786" s="63"/>
      <c r="T1786" s="72" t="str">
        <f>IF(G1786=$J$1,"SI","NO")</f>
        <v>NO</v>
      </c>
      <c r="U1786" s="72"/>
      <c r="V1786" s="7" t="str">
        <f ca="1">IF(color_Celda(E1786)=12106214,"ROSA",IF(color_Celda(E1786)=65535,"AMARILLO",IF(color_Celda(E1786)=5296274,"VERDE",IF(color_Celda(E1786)=16777215,"BLANCO","NO SE"))))</f>
        <v>ROSA</v>
      </c>
      <c r="W1786" s="336"/>
      <c r="X1786" s="336"/>
      <c r="Y1786" s="336"/>
      <c r="Z1786" s="63" t="s">
        <v>770</v>
      </c>
      <c r="AA1786" s="63" t="s">
        <v>3378</v>
      </c>
      <c r="AB1786" s="63" t="s">
        <v>1170</v>
      </c>
      <c r="AC1786" s="336"/>
    </row>
    <row r="1787" spans="1:29" ht="60" customHeight="1">
      <c r="A1787" s="336">
        <v>1800</v>
      </c>
      <c r="B1787" s="349">
        <v>45370</v>
      </c>
      <c r="C1787" s="568">
        <v>0.51041666666666663</v>
      </c>
      <c r="D1787" s="63" t="s">
        <v>6587</v>
      </c>
      <c r="E1787" s="355" t="s">
        <v>6588</v>
      </c>
      <c r="F1787" s="336">
        <v>6</v>
      </c>
      <c r="G1787" s="63" t="s">
        <v>1435</v>
      </c>
      <c r="H1787" s="349">
        <v>45385</v>
      </c>
      <c r="I1787" s="65" t="s">
        <v>749</v>
      </c>
      <c r="J1787" s="65" t="s">
        <v>1221</v>
      </c>
      <c r="K1787" s="336">
        <f>IFERROR(VLOOKUP(J1787,Jueces!$A$1:$B$11,2,FALSE),"")</f>
        <v>6</v>
      </c>
      <c r="L1787" s="63" t="s">
        <v>4790</v>
      </c>
      <c r="M1787" s="63" t="s">
        <v>2353</v>
      </c>
      <c r="N1787" s="63" t="s">
        <v>4007</v>
      </c>
      <c r="O1787" s="63" t="str">
        <f ca="1">IF(H1787&lt;&gt;"",IF(H1787&lt;=TODAY(),"SI","NO"),"LIMBO")</f>
        <v>SI</v>
      </c>
      <c r="P1787" s="63" t="str">
        <f>IF($P$1=H1787,"DIASOL", "DIANOSOL")</f>
        <v>DIANOSOL</v>
      </c>
      <c r="Q1787" s="63" t="s">
        <v>902</v>
      </c>
      <c r="R1787" s="63" t="str">
        <f>VLOOKUP($Q1787,Resultados!$A$1:$B$49,2,FALSE)</f>
        <v>Juicio Abreviado</v>
      </c>
      <c r="S1787" s="63"/>
      <c r="T1787" s="72" t="str">
        <f>IF(G1787=$J$1,"SI","NO")</f>
        <v>SI</v>
      </c>
      <c r="U1787" s="72"/>
      <c r="V1787" s="7" t="str">
        <f ca="1">IF(color_Celda(E1787)=12106214,"ROSA",IF(color_Celda(E1787)=65535,"AMARILLO",IF(color_Celda(E1787)=5296274,"VERDE",IF(color_Celda(E1787)=16777215,"BLANCO","NO SE"))))</f>
        <v>ROSA</v>
      </c>
      <c r="W1787" s="336"/>
      <c r="X1787" s="336"/>
      <c r="Y1787" s="336"/>
      <c r="Z1787" s="63" t="s">
        <v>748</v>
      </c>
      <c r="AA1787" s="63" t="s">
        <v>2869</v>
      </c>
      <c r="AB1787" s="336" t="s">
        <v>3258</v>
      </c>
      <c r="AC1787" s="336"/>
    </row>
    <row r="1788" spans="1:29" ht="60" customHeight="1">
      <c r="A1788" s="336">
        <v>1807</v>
      </c>
      <c r="B1788" s="349">
        <v>45363</v>
      </c>
      <c r="C1788" s="568">
        <v>0.33333333333333331</v>
      </c>
      <c r="D1788" s="336" t="s">
        <v>6438</v>
      </c>
      <c r="E1788" s="355" t="s">
        <v>6437</v>
      </c>
      <c r="F1788" s="336">
        <v>5</v>
      </c>
      <c r="G1788" s="63" t="s">
        <v>3324</v>
      </c>
      <c r="H1788" s="383">
        <v>45385</v>
      </c>
      <c r="I1788" s="65" t="s">
        <v>76</v>
      </c>
      <c r="J1788" s="65" t="s">
        <v>31</v>
      </c>
      <c r="K1788" s="63" t="s">
        <v>5762</v>
      </c>
      <c r="L1788" s="63" t="s">
        <v>4791</v>
      </c>
      <c r="M1788" s="63" t="s">
        <v>1866</v>
      </c>
      <c r="N1788" s="63" t="s">
        <v>6973</v>
      </c>
      <c r="O1788" s="63" t="str">
        <f ca="1">IF(H1788&lt;&gt;"",IF(H1788&lt;=TODAY(),"SI","NO"),"LIMBO")</f>
        <v>SI</v>
      </c>
      <c r="P1788" s="63" t="str">
        <f>IF($P$1=H1788,"DIASOL", "DIANOSOL")</f>
        <v>DIANOSOL</v>
      </c>
      <c r="Q1788" s="63" t="s">
        <v>4745</v>
      </c>
      <c r="R1788" s="63" t="str">
        <f>VLOOKUP($Q1788,Resultados!$A$1:$B$49,2,FALSE)</f>
        <v>Medida de seguridad provisoria</v>
      </c>
      <c r="S1788" s="63"/>
      <c r="T1788" s="72" t="str">
        <f>IF(G1788=$J$1,"SI","NO")</f>
        <v>NO</v>
      </c>
      <c r="U1788" s="72"/>
      <c r="V1788" s="7" t="str">
        <f ca="1">IF(color_Celda(E1788)=12106214,"ROSA",IF(color_Celda(E1788)=65535,"AMARILLO",IF(color_Celda(E1788)=5296274,"VERDE",IF(color_Celda(E1788)=16777215,"BLANCO","NO SE"))))</f>
        <v>ROSA</v>
      </c>
      <c r="W1788" s="336"/>
      <c r="X1788" s="336"/>
      <c r="Y1788" s="336"/>
      <c r="Z1788" s="63" t="s">
        <v>770</v>
      </c>
      <c r="AA1788" s="63" t="s">
        <v>1165</v>
      </c>
      <c r="AB1788" s="336" t="s">
        <v>1173</v>
      </c>
      <c r="AC1788" s="336"/>
    </row>
    <row r="1789" spans="1:29" ht="60" customHeight="1">
      <c r="A1789" s="336">
        <v>1792</v>
      </c>
      <c r="B1789" s="349">
        <v>45369</v>
      </c>
      <c r="C1789" s="568">
        <v>0.53611111111111109</v>
      </c>
      <c r="D1789" s="63" t="s">
        <v>6559</v>
      </c>
      <c r="E1789" s="355" t="s">
        <v>6560</v>
      </c>
      <c r="F1789" s="336">
        <v>6</v>
      </c>
      <c r="G1789" s="63" t="s">
        <v>2766</v>
      </c>
      <c r="H1789" s="349">
        <v>45385</v>
      </c>
      <c r="I1789" s="65" t="s">
        <v>76</v>
      </c>
      <c r="J1789" s="65" t="s">
        <v>1217</v>
      </c>
      <c r="K1789" s="63" t="s">
        <v>3989</v>
      </c>
      <c r="L1789" s="63" t="s">
        <v>4789</v>
      </c>
      <c r="M1789" s="63" t="s">
        <v>2107</v>
      </c>
      <c r="N1789" s="63" t="s">
        <v>621</v>
      </c>
      <c r="O1789" s="63" t="str">
        <f ca="1">IF(H1789&lt;&gt;"",IF(H1789&lt;=TODAY(),"SI","NO"),"LIMBO")</f>
        <v>SI</v>
      </c>
      <c r="P1789" s="63" t="str">
        <f>IF($P$1=H1789,"DIASOL", "DIANOSOL")</f>
        <v>DIANOSOL</v>
      </c>
      <c r="Q1789" s="63" t="s">
        <v>151</v>
      </c>
      <c r="R1789" s="63" t="str">
        <f>VLOOKUP($Q1789,Resultados!$A$1:$B$49,2,FALSE)</f>
        <v>Prisión Preventiva</v>
      </c>
      <c r="S1789" s="63"/>
      <c r="T1789" s="72" t="str">
        <f>IF(G1789=$J$1,"SI","NO")</f>
        <v>NO</v>
      </c>
      <c r="U1789" s="72"/>
      <c r="V1789" s="7" t="str">
        <f ca="1">IF(color_Celda(E1789)=12106214,"ROSA",IF(color_Celda(E1789)=65535,"AMARILLO",IF(color_Celda(E1789)=5296274,"VERDE",IF(color_Celda(E1789)=16777215,"BLANCO","NO SE"))))</f>
        <v>ROSA</v>
      </c>
      <c r="W1789" s="336"/>
      <c r="X1789" s="336"/>
      <c r="Y1789" s="336"/>
      <c r="Z1789" s="63" t="s">
        <v>3368</v>
      </c>
      <c r="AA1789" s="63" t="s">
        <v>1167</v>
      </c>
      <c r="AB1789" s="336" t="s">
        <v>1171</v>
      </c>
      <c r="AC1789" s="336"/>
    </row>
    <row r="1790" spans="1:29" ht="60" customHeight="1">
      <c r="A1790" s="336">
        <v>1787</v>
      </c>
      <c r="B1790" s="65">
        <v>45369</v>
      </c>
      <c r="C1790" s="568">
        <v>0.47569444444444442</v>
      </c>
      <c r="D1790" s="63" t="s">
        <v>6549</v>
      </c>
      <c r="E1790" s="64" t="s">
        <v>6550</v>
      </c>
      <c r="F1790" s="336">
        <v>5</v>
      </c>
      <c r="G1790" s="63" t="s">
        <v>3791</v>
      </c>
      <c r="H1790" s="349">
        <v>45385</v>
      </c>
      <c r="I1790" s="65" t="s">
        <v>1442</v>
      </c>
      <c r="J1790" s="65" t="s">
        <v>1216</v>
      </c>
      <c r="K1790" s="63" t="s">
        <v>1483</v>
      </c>
      <c r="L1790" s="63" t="s">
        <v>2077</v>
      </c>
      <c r="M1790" s="63" t="s">
        <v>1866</v>
      </c>
      <c r="N1790" s="205" t="s">
        <v>6932</v>
      </c>
      <c r="O1790" s="63" t="str">
        <f ca="1">IF(H1790&lt;&gt;"",IF(H1790&lt;=TODAY(),"SI","NO"),"LIMBO")</f>
        <v>SI</v>
      </c>
      <c r="P1790" s="63" t="str">
        <f>IF($P$1=H1790,"DIASOL", "DIANOSOL")</f>
        <v>DIANOSOL</v>
      </c>
      <c r="Q1790" s="63" t="s">
        <v>151</v>
      </c>
      <c r="R1790" s="63" t="str">
        <f>VLOOKUP($Q1790,Resultados!$A$1:$B$49,2,FALSE)</f>
        <v>Prisión Preventiva</v>
      </c>
      <c r="S1790" s="63"/>
      <c r="T1790" s="72" t="str">
        <f>IF(G1790=$J$1,"SI","NO")</f>
        <v>NO</v>
      </c>
      <c r="U1790" s="72"/>
      <c r="V1790" s="7" t="str">
        <f ca="1">IF(color_Celda(E1790)=12106214,"ROSA",IF(color_Celda(E1790)=65535,"AMARILLO",IF(color_Celda(E1790)=5296274,"VERDE",IF(color_Celda(E1790)=16777215,"BLANCO","NO SE"))))</f>
        <v>ROSA</v>
      </c>
      <c r="W1790" s="336"/>
      <c r="X1790" s="336"/>
      <c r="Y1790" s="336"/>
      <c r="Z1790" s="63" t="s">
        <v>748</v>
      </c>
      <c r="AA1790" s="336" t="s">
        <v>2869</v>
      </c>
      <c r="AB1790" s="336" t="s">
        <v>1169</v>
      </c>
      <c r="AC1790" s="336"/>
    </row>
    <row r="1791" spans="1:29" ht="60" customHeight="1">
      <c r="A1791" s="336">
        <v>1814</v>
      </c>
      <c r="B1791" s="349">
        <v>45372</v>
      </c>
      <c r="C1791" s="568">
        <v>0.33333333333333331</v>
      </c>
      <c r="D1791" s="63" t="s">
        <v>6740</v>
      </c>
      <c r="E1791" s="64" t="s">
        <v>6741</v>
      </c>
      <c r="F1791" s="336">
        <v>7</v>
      </c>
      <c r="G1791" s="336" t="s">
        <v>5709</v>
      </c>
      <c r="H1791" s="349">
        <v>45385</v>
      </c>
      <c r="I1791" s="65" t="s">
        <v>3171</v>
      </c>
      <c r="J1791" s="65" t="s">
        <v>1217</v>
      </c>
      <c r="K1791" s="63" t="s">
        <v>1916</v>
      </c>
      <c r="L1791" s="63" t="s">
        <v>4789</v>
      </c>
      <c r="M1791" s="63" t="s">
        <v>723</v>
      </c>
      <c r="N1791" s="63" t="s">
        <v>621</v>
      </c>
      <c r="O1791" s="63" t="str">
        <f ca="1">IF(H1791&lt;&gt;"",IF(H1791&lt;=TODAY(),"SI","NO"),"LIMBO")</f>
        <v>SI</v>
      </c>
      <c r="P1791" s="63" t="str">
        <f>IF($P$1=H1791,"DIASOL", "DIANOSOL")</f>
        <v>DIANOSOL</v>
      </c>
      <c r="Q1791" s="63" t="s">
        <v>151</v>
      </c>
      <c r="R1791" s="63" t="str">
        <f>VLOOKUP($Q1791,Resultados!$A$1:$B$49,2,FALSE)</f>
        <v>Prisión Preventiva</v>
      </c>
      <c r="S1791" s="63"/>
      <c r="T1791" s="72" t="str">
        <f>IF(G1791=$J$1,"SI","NO")</f>
        <v>NO</v>
      </c>
      <c r="U1791" s="72"/>
      <c r="V1791" s="7" t="str">
        <f ca="1">IF(color_Celda(E1791)=12106214,"ROSA",IF(color_Celda(E1791)=65535,"AMARILLO",IF(color_Celda(E1791)=5296274,"VERDE",IF(color_Celda(E1791)=16777215,"BLANCO","NO SE"))))</f>
        <v>ROSA</v>
      </c>
      <c r="W1791" s="336"/>
      <c r="X1791" s="336"/>
      <c r="Y1791" s="336"/>
      <c r="Z1791" s="63" t="s">
        <v>3368</v>
      </c>
      <c r="AA1791" s="63" t="s">
        <v>2828</v>
      </c>
      <c r="AB1791" s="336" t="s">
        <v>3258</v>
      </c>
      <c r="AC1791" s="336"/>
    </row>
    <row r="1792" spans="1:29" ht="60" customHeight="1">
      <c r="A1792" s="336">
        <v>1801</v>
      </c>
      <c r="B1792" s="349">
        <v>45370</v>
      </c>
      <c r="C1792" s="568">
        <v>0.5131944444444444</v>
      </c>
      <c r="D1792" s="65" t="s">
        <v>6589</v>
      </c>
      <c r="E1792" s="355" t="s">
        <v>6590</v>
      </c>
      <c r="F1792" s="336">
        <v>6</v>
      </c>
      <c r="G1792" s="63" t="s">
        <v>568</v>
      </c>
      <c r="H1792" s="383">
        <v>45385</v>
      </c>
      <c r="I1792" s="63" t="s">
        <v>1554</v>
      </c>
      <c r="J1792" s="63" t="s">
        <v>1221</v>
      </c>
      <c r="K1792" s="63">
        <v>6</v>
      </c>
      <c r="L1792" s="63" t="s">
        <v>4778</v>
      </c>
      <c r="M1792" s="63" t="s">
        <v>5807</v>
      </c>
      <c r="N1792" s="63" t="s">
        <v>621</v>
      </c>
      <c r="O1792" s="63" t="str">
        <f ca="1">IF(H1792&lt;&gt;"",IF(H1792&lt;=TODAY(),"SI","NO"),"LIMBO")</f>
        <v>SI</v>
      </c>
      <c r="P1792" s="63" t="str">
        <f>IF($P$1=H1792,"DIASOL", "DIANOSOL")</f>
        <v>DIANOSOL</v>
      </c>
      <c r="Q1792" s="336" t="s">
        <v>151</v>
      </c>
      <c r="R1792" s="63" t="str">
        <f>VLOOKUP($Q1792,Resultados!$A$1:$B$49,2,FALSE)</f>
        <v>Prisión Preventiva</v>
      </c>
      <c r="S1792" s="336"/>
      <c r="T1792" s="72" t="str">
        <f>IF(G1792=$J$1,"SI","NO")</f>
        <v>NO</v>
      </c>
      <c r="U1792" s="336"/>
      <c r="V1792" s="7" t="str">
        <f ca="1">IF(color_Celda(E1792)=12106214,"ROSA",IF(color_Celda(E1792)=65535,"AMARILLO",IF(color_Celda(E1792)=5296274,"VERDE",IF(color_Celda(E1792)=16777215,"BLANCO","NO SE"))))</f>
        <v>ROSA</v>
      </c>
      <c r="W1792" s="336"/>
      <c r="X1792" s="336"/>
      <c r="Y1792" s="336"/>
      <c r="Z1792" s="63" t="s">
        <v>748</v>
      </c>
      <c r="AA1792" s="63" t="s">
        <v>1167</v>
      </c>
      <c r="AB1792" s="336" t="s">
        <v>1171</v>
      </c>
      <c r="AC1792" s="336"/>
    </row>
    <row r="1793" spans="1:29" ht="60" customHeight="1">
      <c r="A1793" s="336">
        <v>1790</v>
      </c>
      <c r="B1793" s="349">
        <v>45369</v>
      </c>
      <c r="C1793" s="568">
        <v>0.52083333333333337</v>
      </c>
      <c r="D1793" s="63" t="s">
        <v>6555</v>
      </c>
      <c r="E1793" s="64" t="s">
        <v>6556</v>
      </c>
      <c r="F1793" s="336">
        <v>5</v>
      </c>
      <c r="G1793" s="63" t="s">
        <v>2752</v>
      </c>
      <c r="H1793" s="349">
        <v>45386</v>
      </c>
      <c r="I1793" s="65" t="s">
        <v>73</v>
      </c>
      <c r="J1793" s="65" t="s">
        <v>4746</v>
      </c>
      <c r="K1793" s="63" t="s">
        <v>1982</v>
      </c>
      <c r="L1793" s="63" t="s">
        <v>4791</v>
      </c>
      <c r="M1793" s="63" t="s">
        <v>2107</v>
      </c>
      <c r="N1793" s="63" t="s">
        <v>6961</v>
      </c>
      <c r="O1793" s="63" t="str">
        <f ca="1">IF(H1793&lt;&gt;"",IF(H1793&lt;=TODAY(),"SI","NO"),"LIMBO")</f>
        <v>SI</v>
      </c>
      <c r="P1793" s="63" t="str">
        <f>IF($P$1=H1793,"DIASOL", "DIANOSOL")</f>
        <v>DIANOSOL</v>
      </c>
      <c r="Q1793" s="63" t="s">
        <v>151</v>
      </c>
      <c r="R1793" s="63" t="str">
        <f>VLOOKUP($Q1793,Resultados!$A$1:$B$49,2,FALSE)</f>
        <v>Prisión Preventiva</v>
      </c>
      <c r="S1793" s="63"/>
      <c r="T1793" s="72" t="str">
        <f>IF(G1793=$J$1,"SI","NO")</f>
        <v>NO</v>
      </c>
      <c r="U1793" s="72"/>
      <c r="V1793" s="7" t="str">
        <f ca="1">IF(color_Celda(E1793)=12106214,"ROSA",IF(color_Celda(E1793)=65535,"AMARILLO",IF(color_Celda(E1793)=5296274,"VERDE",IF(color_Celda(E1793)=16777215,"BLANCO","NO SE"))))</f>
        <v>ROSA</v>
      </c>
      <c r="W1793" s="336"/>
      <c r="X1793" s="336"/>
      <c r="Y1793" s="336"/>
      <c r="Z1793" s="63" t="s">
        <v>1038</v>
      </c>
      <c r="AA1793" s="63" t="s">
        <v>1165</v>
      </c>
      <c r="AB1793" s="336"/>
      <c r="AC1793" s="336"/>
    </row>
    <row r="1794" spans="1:29" ht="60" customHeight="1">
      <c r="A1794" s="336">
        <v>1794</v>
      </c>
      <c r="B1794" s="349">
        <v>45370</v>
      </c>
      <c r="C1794" s="568">
        <v>0.33333333333333331</v>
      </c>
      <c r="D1794" s="63" t="s">
        <v>5513</v>
      </c>
      <c r="E1794" s="355" t="s">
        <v>6576</v>
      </c>
      <c r="F1794" s="336">
        <v>2</v>
      </c>
      <c r="G1794" s="63" t="s">
        <v>1433</v>
      </c>
      <c r="H1794" s="349">
        <v>45386</v>
      </c>
      <c r="I1794" s="65" t="s">
        <v>73</v>
      </c>
      <c r="J1794" s="65" t="s">
        <v>4932</v>
      </c>
      <c r="K1794" s="63" t="s">
        <v>3776</v>
      </c>
      <c r="L1794" s="63" t="s">
        <v>4781</v>
      </c>
      <c r="M1794" s="63" t="s">
        <v>711</v>
      </c>
      <c r="N1794" s="63" t="s">
        <v>621</v>
      </c>
      <c r="O1794" s="63" t="str">
        <f ca="1">IF(H1794&lt;&gt;"",IF(H1794&lt;=TODAY(),"SI","NO"),"LIMBO")</f>
        <v>SI</v>
      </c>
      <c r="P1794" s="63" t="str">
        <f>IF($P$1=H1794,"DIASOL", "DIANOSOL")</f>
        <v>DIANOSOL</v>
      </c>
      <c r="Q1794" s="63" t="s">
        <v>151</v>
      </c>
      <c r="R1794" s="63" t="str">
        <f>VLOOKUP($Q1794,Resultados!$A$1:$B$49,2,FALSE)</f>
        <v>Prisión Preventiva</v>
      </c>
      <c r="S1794" s="63"/>
      <c r="T1794" s="72" t="str">
        <f>IF(G1794=$J$1,"SI","NO")</f>
        <v>NO</v>
      </c>
      <c r="U1794" s="72"/>
      <c r="V1794" s="7" t="str">
        <f ca="1">IF(color_Celda(E1794)=12106214,"ROSA",IF(color_Celda(E1794)=65535,"AMARILLO",IF(color_Celda(E1794)=5296274,"VERDE",IF(color_Celda(E1794)=16777215,"BLANCO","NO SE"))))</f>
        <v>ROSA</v>
      </c>
      <c r="W1794" s="336"/>
      <c r="X1794" s="336"/>
      <c r="Y1794" s="336"/>
      <c r="Z1794" s="63" t="s">
        <v>3368</v>
      </c>
      <c r="AA1794" s="63" t="s">
        <v>1167</v>
      </c>
      <c r="AB1794" s="336"/>
      <c r="AC1794" s="336"/>
    </row>
    <row r="1795" spans="1:29" ht="60" customHeight="1">
      <c r="A1795" s="328">
        <v>1804</v>
      </c>
      <c r="B1795" s="376">
        <v>45371</v>
      </c>
      <c r="C1795" s="377">
        <v>0.34027777777777773</v>
      </c>
      <c r="D1795" s="19" t="s">
        <v>5553</v>
      </c>
      <c r="E1795" s="420" t="s">
        <v>6633</v>
      </c>
      <c r="F1795" s="328">
        <v>3</v>
      </c>
      <c r="G1795" s="7" t="s">
        <v>29</v>
      </c>
      <c r="H1795" s="297">
        <v>45386</v>
      </c>
      <c r="I1795" s="7" t="s">
        <v>73</v>
      </c>
      <c r="J1795" s="7" t="s">
        <v>1217</v>
      </c>
      <c r="K1795" s="7" t="s">
        <v>4733</v>
      </c>
      <c r="L1795" s="7" t="s">
        <v>4785</v>
      </c>
      <c r="M1795" s="394" t="s">
        <v>1994</v>
      </c>
      <c r="N1795" s="7" t="s">
        <v>6965</v>
      </c>
      <c r="O1795" s="63" t="str">
        <f ca="1">IF(H1795&lt;&gt;"",IF(H1795&lt;=TODAY(),"SI","NO"),"LIMBO")</f>
        <v>SI</v>
      </c>
      <c r="P1795" s="63" t="str">
        <f>IF($P$1=H1795,"DIASOL", "DIANOSOL")</f>
        <v>DIANOSOL</v>
      </c>
      <c r="Q1795" s="328" t="s">
        <v>151</v>
      </c>
      <c r="R1795" s="7" t="str">
        <f>VLOOKUP($Q1795,Resultados!$A$1:$B$49,2,FALSE)</f>
        <v>Prisión Preventiva</v>
      </c>
      <c r="S1795" s="328"/>
      <c r="T1795" s="72" t="str">
        <f>IF(G1795=$J$1,"SI","NO")</f>
        <v>NO</v>
      </c>
      <c r="U1795" s="336"/>
      <c r="V1795" s="7" t="str">
        <f ca="1">IF(color_Celda(E1795)=12106214,"ROSA",IF(color_Celda(E1795)=65535,"AMARILLO",IF(color_Celda(E1795)=5296274,"VERDE",IF(color_Celda(E1795)=16777215,"BLANCO","NO SE"))))</f>
        <v>ROSA</v>
      </c>
      <c r="W1795" s="328"/>
      <c r="X1795" s="328"/>
      <c r="Y1795" s="328"/>
      <c r="Z1795" s="7" t="s">
        <v>743</v>
      </c>
      <c r="AA1795" s="328" t="s">
        <v>3378</v>
      </c>
      <c r="AB1795" s="328"/>
      <c r="AC1795" s="328"/>
    </row>
    <row r="1796" spans="1:29" ht="60" customHeight="1">
      <c r="A1796" s="336">
        <v>1808</v>
      </c>
      <c r="B1796" s="349">
        <v>45371</v>
      </c>
      <c r="C1796" s="568">
        <v>0.39166666666666666</v>
      </c>
      <c r="D1796" s="63" t="s">
        <v>6636</v>
      </c>
      <c r="E1796" s="355" t="s">
        <v>6637</v>
      </c>
      <c r="F1796" s="336">
        <v>5</v>
      </c>
      <c r="G1796" s="63" t="s">
        <v>283</v>
      </c>
      <c r="H1796" s="349">
        <v>45386</v>
      </c>
      <c r="I1796" s="65" t="s">
        <v>73</v>
      </c>
      <c r="J1796" s="65" t="s">
        <v>31</v>
      </c>
      <c r="K1796" s="336">
        <f>IFERROR(VLOOKUP(J1796,Jueces!$A$1:$B$11,2,FALSE),"")</f>
        <v>2</v>
      </c>
      <c r="L1796" s="63" t="s">
        <v>806</v>
      </c>
      <c r="M1796" s="63" t="s">
        <v>1866</v>
      </c>
      <c r="N1796" s="63" t="s">
        <v>2550</v>
      </c>
      <c r="O1796" s="63" t="str">
        <f ca="1">IF(H1796&lt;&gt;"",IF(H1796&lt;=TODAY(),"SI","NO"),"LIMBO")</f>
        <v>SI</v>
      </c>
      <c r="P1796" s="63" t="str">
        <f>IF($P$1=H1796,"DIASOL", "DIANOSOL")</f>
        <v>DIANOSOL</v>
      </c>
      <c r="Q1796" s="63" t="s">
        <v>897</v>
      </c>
      <c r="R1796" s="63" t="str">
        <f>VLOOKUP($Q1796,Resultados!$A$1:$B$49,2,FALSE)</f>
        <v>Libertad</v>
      </c>
      <c r="S1796" s="63"/>
      <c r="T1796" s="72" t="str">
        <f>IF(G1796=$J$1,"SI","NO")</f>
        <v>NO</v>
      </c>
      <c r="U1796" s="72"/>
      <c r="V1796" s="7" t="str">
        <f ca="1">IF(color_Celda(E1796)=12106214,"ROSA",IF(color_Celda(E1796)=65535,"AMARILLO",IF(color_Celda(E1796)=5296274,"VERDE",IF(color_Celda(E1796)=16777215,"BLANCO","NO SE"))))</f>
        <v>ROSA</v>
      </c>
      <c r="W1796" s="336"/>
      <c r="X1796" s="336"/>
      <c r="Y1796" s="336"/>
      <c r="Z1796" s="63" t="s">
        <v>6869</v>
      </c>
      <c r="AA1796" s="336" t="s">
        <v>2869</v>
      </c>
      <c r="AB1796" s="336"/>
      <c r="AC1796" s="336"/>
    </row>
    <row r="1797" spans="1:29" ht="60" customHeight="1">
      <c r="A1797" s="336">
        <v>1797</v>
      </c>
      <c r="B1797" s="65">
        <v>45370</v>
      </c>
      <c r="C1797" s="568">
        <v>0.3888888888888889</v>
      </c>
      <c r="D1797" s="63" t="s">
        <v>6248</v>
      </c>
      <c r="E1797" s="64" t="s">
        <v>6935</v>
      </c>
      <c r="F1797" s="336">
        <v>4</v>
      </c>
      <c r="G1797" s="63" t="s">
        <v>2815</v>
      </c>
      <c r="H1797" s="349">
        <v>45386</v>
      </c>
      <c r="I1797" s="65" t="s">
        <v>749</v>
      </c>
      <c r="J1797" s="65" t="s">
        <v>1221</v>
      </c>
      <c r="K1797" s="336">
        <f>IFERROR(VLOOKUP(J1797,Jueces!$A$1:$B$11,2,FALSE),"")</f>
        <v>6</v>
      </c>
      <c r="L1797" s="63" t="s">
        <v>4780</v>
      </c>
      <c r="M1797" s="63" t="s">
        <v>695</v>
      </c>
      <c r="N1797" s="63" t="s">
        <v>6863</v>
      </c>
      <c r="O1797" s="63" t="str">
        <f ca="1">IF(H1797&lt;&gt;"",IF(H1797&lt;=TODAY(),"SI","NO"),"LIMBO")</f>
        <v>SI</v>
      </c>
      <c r="P1797" s="63" t="str">
        <f>IF($P$1=H1797,"DIASOL", "DIANOSOL")</f>
        <v>DIANOSOL</v>
      </c>
      <c r="Q1797" s="63" t="s">
        <v>897</v>
      </c>
      <c r="R1797" s="63" t="str">
        <f>VLOOKUP($Q1797,Resultados!$A$1:$B$49,2,FALSE)</f>
        <v>Libertad</v>
      </c>
      <c r="S1797" s="63"/>
      <c r="T1797" s="72" t="str">
        <f>IF(G1797=$J$1,"SI","NO")</f>
        <v>NO</v>
      </c>
      <c r="U1797" s="72"/>
      <c r="V1797" s="7" t="str">
        <f ca="1">IF(color_Celda(E1797)=12106214,"ROSA",IF(color_Celda(E1797)=65535,"AMARILLO",IF(color_Celda(E1797)=5296274,"VERDE",IF(color_Celda(E1797)=16777215,"BLANCO","NO SE"))))</f>
        <v>ROSA</v>
      </c>
      <c r="W1797" s="336"/>
      <c r="X1797" s="336"/>
      <c r="Y1797" s="336"/>
      <c r="Z1797" s="63" t="s">
        <v>748</v>
      </c>
      <c r="AA1797" s="63" t="s">
        <v>2828</v>
      </c>
      <c r="AB1797" s="336"/>
      <c r="AC1797" s="336"/>
    </row>
    <row r="1798" spans="1:29" ht="60" customHeight="1">
      <c r="A1798" s="336">
        <v>1789</v>
      </c>
      <c r="B1798" s="349">
        <v>45369</v>
      </c>
      <c r="C1798" s="568">
        <v>0.52083333333333337</v>
      </c>
      <c r="D1798" s="63" t="s">
        <v>6553</v>
      </c>
      <c r="E1798" s="355" t="s">
        <v>6554</v>
      </c>
      <c r="F1798" s="336">
        <v>5</v>
      </c>
      <c r="G1798" s="63" t="s">
        <v>283</v>
      </c>
      <c r="H1798" s="349">
        <v>45386</v>
      </c>
      <c r="I1798" s="65" t="s">
        <v>75</v>
      </c>
      <c r="J1798" s="65" t="s">
        <v>4932</v>
      </c>
      <c r="K1798" s="63" t="s">
        <v>6573</v>
      </c>
      <c r="L1798" s="63" t="s">
        <v>4789</v>
      </c>
      <c r="M1798" s="63" t="s">
        <v>1866</v>
      </c>
      <c r="N1798" s="63" t="s">
        <v>6963</v>
      </c>
      <c r="O1798" s="63" t="str">
        <f ca="1">IF(H1798&lt;&gt;"",IF(H1798&lt;=TODAY(),"SI","NO"),"LIMBO")</f>
        <v>SI</v>
      </c>
      <c r="P1798" s="63" t="str">
        <f>IF($P$1=H1798,"DIASOL", "DIANOSOL")</f>
        <v>DIANOSOL</v>
      </c>
      <c r="Q1798" s="63" t="s">
        <v>907</v>
      </c>
      <c r="R1798" s="63" t="str">
        <f>VLOOKUP($Q1798,Resultados!$A$1:$B$49,2,FALSE)</f>
        <v>Suspensión de juicio a prueba</v>
      </c>
      <c r="S1798" s="63"/>
      <c r="T1798" s="72" t="str">
        <f>IF(G1798=$J$1,"SI","NO")</f>
        <v>NO</v>
      </c>
      <c r="U1798" s="72"/>
      <c r="V1798" s="7" t="str">
        <f ca="1">IF(color_Celda(E1798)=12106214,"ROSA",IF(color_Celda(E1798)=65535,"AMARILLO",IF(color_Celda(E1798)=5296274,"VERDE",IF(color_Celda(E1798)=16777215,"BLANCO","NO SE"))))</f>
        <v>ROSA</v>
      </c>
      <c r="W1798" s="336"/>
      <c r="X1798" s="336"/>
      <c r="Y1798" s="336"/>
      <c r="Z1798" s="63" t="s">
        <v>3368</v>
      </c>
      <c r="AA1798" s="63" t="s">
        <v>1165</v>
      </c>
      <c r="AB1798" s="336" t="s">
        <v>1169</v>
      </c>
      <c r="AC1798" s="336"/>
    </row>
    <row r="1799" spans="1:29" ht="60" customHeight="1">
      <c r="A1799" s="336">
        <v>1805</v>
      </c>
      <c r="B1799" s="349">
        <v>45371</v>
      </c>
      <c r="C1799" s="568">
        <v>0.34375</v>
      </c>
      <c r="D1799" s="63" t="s">
        <v>3924</v>
      </c>
      <c r="E1799" s="64" t="s">
        <v>3925</v>
      </c>
      <c r="F1799" s="336">
        <v>1</v>
      </c>
      <c r="G1799" s="63" t="s">
        <v>568</v>
      </c>
      <c r="H1799" s="349">
        <v>45386</v>
      </c>
      <c r="I1799" s="65" t="s">
        <v>75</v>
      </c>
      <c r="J1799" s="65" t="s">
        <v>1221</v>
      </c>
      <c r="K1799" s="336">
        <f>IFERROR(VLOOKUP(J1799,Jueces!$A$1:$B$11,2,FALSE),"")</f>
        <v>6</v>
      </c>
      <c r="L1799" s="63" t="s">
        <v>1067</v>
      </c>
      <c r="M1799" s="339" t="s">
        <v>2247</v>
      </c>
      <c r="N1799" s="63" t="s">
        <v>6962</v>
      </c>
      <c r="O1799" s="63" t="str">
        <f ca="1">IF(H1799&lt;&gt;"",IF(H1799&lt;=TODAY(),"SI","NO"),"LIMBO")</f>
        <v>SI</v>
      </c>
      <c r="P1799" s="63" t="str">
        <f>IF($P$1=H1799,"DIASOL", "DIANOSOL")</f>
        <v>DIANOSOL</v>
      </c>
      <c r="Q1799" s="63" t="s">
        <v>151</v>
      </c>
      <c r="R1799" s="63" t="str">
        <f>VLOOKUP($Q1799,Resultados!$A$1:$B$49,2,FALSE)</f>
        <v>Prisión Preventiva</v>
      </c>
      <c r="S1799" s="63"/>
      <c r="T1799" s="72" t="str">
        <f>IF(G1799=$J$1,"SI","NO")</f>
        <v>NO</v>
      </c>
      <c r="U1799" s="72"/>
      <c r="V1799" s="7" t="str">
        <f ca="1">IF(color_Celda(E1799)=12106214,"ROSA",IF(color_Celda(E1799)=65535,"AMARILLO",IF(color_Celda(E1799)=5296274,"VERDE",IF(color_Celda(E1799)=16777215,"BLANCO","NO SE"))))</f>
        <v>ROSA</v>
      </c>
      <c r="W1799" s="336"/>
      <c r="X1799" s="336"/>
      <c r="Y1799" s="336"/>
      <c r="Z1799" s="63" t="s">
        <v>748</v>
      </c>
      <c r="AA1799" s="336" t="s">
        <v>1165</v>
      </c>
      <c r="AB1799" s="336"/>
      <c r="AC1799" s="336"/>
    </row>
    <row r="1800" spans="1:29" ht="60" customHeight="1">
      <c r="A1800" s="336">
        <v>1820</v>
      </c>
      <c r="B1800" s="349">
        <v>45349</v>
      </c>
      <c r="C1800" s="568">
        <v>0.54166666666666663</v>
      </c>
      <c r="D1800" s="336" t="s">
        <v>6237</v>
      </c>
      <c r="E1800" s="355" t="s">
        <v>6540</v>
      </c>
      <c r="F1800" s="336">
        <v>4</v>
      </c>
      <c r="G1800" s="63" t="s">
        <v>1435</v>
      </c>
      <c r="H1800" s="383">
        <v>45386</v>
      </c>
      <c r="I1800" s="65" t="s">
        <v>547</v>
      </c>
      <c r="J1800" s="65" t="s">
        <v>1217</v>
      </c>
      <c r="K1800" s="63" t="s">
        <v>2285</v>
      </c>
      <c r="L1800" s="63" t="s">
        <v>2077</v>
      </c>
      <c r="M1800" s="63" t="s">
        <v>695</v>
      </c>
      <c r="N1800" s="63" t="s">
        <v>6922</v>
      </c>
      <c r="O1800" s="63" t="str">
        <f ca="1">IF(H1800&lt;&gt;"",IF(H1800&lt;=TODAY(),"SI","NO"),"LIMBO")</f>
        <v>SI</v>
      </c>
      <c r="P1800" s="63" t="str">
        <f>IF($P$1=H1800,"DIASOL", "DIANOSOL")</f>
        <v>DIANOSOL</v>
      </c>
      <c r="Q1800" s="63" t="s">
        <v>909</v>
      </c>
      <c r="R1800" s="63" t="str">
        <f>VLOOKUP($Q1800,Resultados!$A$1:$B$49,2,FALSE)</f>
        <v>Suspendida</v>
      </c>
      <c r="S1800" s="63"/>
      <c r="T1800" s="72" t="str">
        <f>IF(G1800=$J$1,"SI","NO")</f>
        <v>SI</v>
      </c>
      <c r="U1800" s="72"/>
      <c r="V1800" s="7" t="str">
        <f ca="1">IF(color_Celda(E1800)=12106214,"ROSA",IF(color_Celda(E1800)=65535,"AMARILLO",IF(color_Celda(E1800)=5296274,"VERDE",IF(color_Celda(E1800)=16777215,"BLANCO","NO SE"))))</f>
        <v>ROSA</v>
      </c>
      <c r="W1800" s="336"/>
      <c r="X1800" s="336"/>
      <c r="Y1800" s="336"/>
      <c r="Z1800" s="336"/>
      <c r="AA1800" s="63" t="s">
        <v>2828</v>
      </c>
      <c r="AB1800" s="336"/>
      <c r="AC1800" s="336"/>
    </row>
    <row r="1801" spans="1:29" ht="60" customHeight="1">
      <c r="A1801" s="336">
        <v>1803</v>
      </c>
      <c r="B1801" s="349">
        <v>45371</v>
      </c>
      <c r="C1801" s="568">
        <v>0.33333333333333331</v>
      </c>
      <c r="D1801" s="65" t="s">
        <v>6632</v>
      </c>
      <c r="E1801" s="355" t="s">
        <v>6631</v>
      </c>
      <c r="F1801" s="336">
        <v>6</v>
      </c>
      <c r="G1801" s="63" t="s">
        <v>3323</v>
      </c>
      <c r="H1801" s="383">
        <v>45386</v>
      </c>
      <c r="I1801" s="63" t="s">
        <v>987</v>
      </c>
      <c r="J1801" s="63" t="s">
        <v>31</v>
      </c>
      <c r="K1801" s="63">
        <f>IFERROR(VLOOKUP(J1801,Jueces!$A$1:$B$11,2,FALSE),"")</f>
        <v>2</v>
      </c>
      <c r="L1801" s="63" t="s">
        <v>1693</v>
      </c>
      <c r="M1801" s="63" t="s">
        <v>6783</v>
      </c>
      <c r="N1801" s="63" t="s">
        <v>6964</v>
      </c>
      <c r="O1801" s="63" t="str">
        <f ca="1">IF(H1801&lt;&gt;"",IF(H1801&lt;=TODAY(),"SI","NO"),"LIMBO")</f>
        <v>SI</v>
      </c>
      <c r="P1801" s="63" t="str">
        <f>IF($P$1=H1801,"DIASOL", "DIANOSOL")</f>
        <v>DIANOSOL</v>
      </c>
      <c r="Q1801" s="336" t="s">
        <v>151</v>
      </c>
      <c r="R1801" s="63" t="str">
        <f>VLOOKUP($Q1801,Resultados!$A$1:$B$49,2,FALSE)</f>
        <v>Prisión Preventiva</v>
      </c>
      <c r="S1801" s="336"/>
      <c r="T1801" s="72" t="str">
        <f>IF(G1801=$J$1,"SI","NO")</f>
        <v>NO</v>
      </c>
      <c r="U1801" s="336"/>
      <c r="V1801" s="7" t="str">
        <f ca="1">IF(color_Celda(E1801)=12106214,"ROSA",IF(color_Celda(E1801)=65535,"AMARILLO",IF(color_Celda(E1801)=5296274,"VERDE",IF(color_Celda(E1801)=16777215,"BLANCO","NO SE"))))</f>
        <v>ROSA</v>
      </c>
      <c r="W1801" s="336"/>
      <c r="X1801" s="336"/>
      <c r="Y1801" s="336"/>
      <c r="Z1801" s="63" t="s">
        <v>3368</v>
      </c>
      <c r="AA1801" s="63" t="s">
        <v>1167</v>
      </c>
      <c r="AB1801" s="336"/>
      <c r="AC1801" s="336"/>
    </row>
    <row r="1802" spans="1:29" ht="60" customHeight="1">
      <c r="A1802" s="336">
        <v>1835</v>
      </c>
      <c r="B1802" s="349">
        <v>45357</v>
      </c>
      <c r="C1802" s="568">
        <v>0.40277777777777773</v>
      </c>
      <c r="D1802" s="336" t="s">
        <v>5812</v>
      </c>
      <c r="E1802" s="355" t="s">
        <v>5813</v>
      </c>
      <c r="F1802" s="336">
        <v>3</v>
      </c>
      <c r="G1802" s="63" t="s">
        <v>3791</v>
      </c>
      <c r="H1802" s="383">
        <v>45386</v>
      </c>
      <c r="I1802" s="65" t="s">
        <v>228</v>
      </c>
      <c r="J1802" s="349" t="s">
        <v>1216</v>
      </c>
      <c r="K1802" s="63" t="s">
        <v>2375</v>
      </c>
      <c r="L1802" s="63" t="s">
        <v>4791</v>
      </c>
      <c r="M1802" s="63" t="s">
        <v>693</v>
      </c>
      <c r="N1802" s="63" t="s">
        <v>897</v>
      </c>
      <c r="O1802" s="63" t="str">
        <f ca="1">IF(H1802&lt;&gt;"",IF(H1802&lt;=TODAY(),"SI","NO"),"LIMBO")</f>
        <v>SI</v>
      </c>
      <c r="P1802" s="63" t="str">
        <f>IF($P$1=H1802,"DIASOL", "DIANOSOL")</f>
        <v>DIANOSOL</v>
      </c>
      <c r="Q1802" s="63" t="s">
        <v>897</v>
      </c>
      <c r="R1802" s="63" t="str">
        <f>VLOOKUP($Q1802,Resultados!$A$1:$B$49,2,FALSE)</f>
        <v>Libertad</v>
      </c>
      <c r="S1802" s="63"/>
      <c r="T1802" s="72" t="str">
        <f>IF(G1802=$J$1,"SI","NO")</f>
        <v>NO</v>
      </c>
      <c r="U1802" s="72"/>
      <c r="V1802" s="7" t="str">
        <f ca="1">IF(color_Celda(E1802)=12106214,"ROSA",IF(color_Celda(E1802)=65535,"AMARILLO",IF(color_Celda(E1802)=5296274,"VERDE",IF(color_Celda(E1802)=16777215,"BLANCO","NO SE"))))</f>
        <v>ROSA</v>
      </c>
      <c r="W1802" s="336"/>
      <c r="X1802" s="336"/>
      <c r="Y1802" s="336"/>
      <c r="Z1802" s="63" t="s">
        <v>748</v>
      </c>
      <c r="AA1802" s="63" t="s">
        <v>2869</v>
      </c>
      <c r="AB1802" s="336"/>
      <c r="AC1802" s="336"/>
    </row>
    <row r="1803" spans="1:29" ht="60" customHeight="1">
      <c r="A1803" s="336">
        <v>1795</v>
      </c>
      <c r="B1803" s="349">
        <v>45370</v>
      </c>
      <c r="C1803" s="568">
        <v>0.33333333333333331</v>
      </c>
      <c r="D1803" s="63" t="s">
        <v>6578</v>
      </c>
      <c r="E1803" s="355" t="s">
        <v>6579</v>
      </c>
      <c r="F1803" s="336">
        <v>5</v>
      </c>
      <c r="G1803" s="63" t="s">
        <v>3324</v>
      </c>
      <c r="H1803" s="349">
        <v>45387</v>
      </c>
      <c r="I1803" s="65" t="s">
        <v>73</v>
      </c>
      <c r="J1803" s="65" t="s">
        <v>31</v>
      </c>
      <c r="K1803" s="336">
        <f>IFERROR(VLOOKUP(J1803,Jueces!$A$1:$B$11,2,FALSE),"")</f>
        <v>2</v>
      </c>
      <c r="L1803" s="63" t="s">
        <v>4778</v>
      </c>
      <c r="M1803" s="63" t="s">
        <v>3755</v>
      </c>
      <c r="N1803" s="63" t="s">
        <v>6967</v>
      </c>
      <c r="O1803" s="63" t="str">
        <f ca="1">IF(H1803&lt;&gt;"",IF(H1803&lt;=TODAY(),"SI","NO"),"LIMBO")</f>
        <v>SI</v>
      </c>
      <c r="P1803" s="63" t="str">
        <f>IF($P$1=H1803,"DIASOL", "DIANOSOL")</f>
        <v>DIANOSOL</v>
      </c>
      <c r="Q1803" s="63" t="s">
        <v>897</v>
      </c>
      <c r="R1803" s="63" t="str">
        <f>VLOOKUP($Q1803,Resultados!$A$1:$B$49,2,FALSE)</f>
        <v>Libertad</v>
      </c>
      <c r="S1803" s="63"/>
      <c r="T1803" s="72" t="str">
        <f>IF(G1803=$J$1,"SI","NO")</f>
        <v>NO</v>
      </c>
      <c r="U1803" s="72"/>
      <c r="V1803" s="7" t="str">
        <f ca="1">IF(color_Celda(E1803)=12106214,"ROSA",IF(color_Celda(E1803)=65535,"AMARILLO",IF(color_Celda(E1803)=5296274,"VERDE",IF(color_Celda(E1803)=16777215,"BLANCO","NO SE"))))</f>
        <v>ROSA</v>
      </c>
      <c r="W1803" s="336"/>
      <c r="X1803" s="336"/>
      <c r="Y1803" s="336"/>
      <c r="Z1803" s="336" t="s">
        <v>1038</v>
      </c>
      <c r="AA1803" s="63" t="s">
        <v>1165</v>
      </c>
      <c r="AB1803" s="336" t="s">
        <v>1173</v>
      </c>
      <c r="AC1803" s="336"/>
    </row>
    <row r="1804" spans="1:29" ht="60" customHeight="1">
      <c r="A1804" s="336">
        <v>1810</v>
      </c>
      <c r="B1804" s="349">
        <v>45371</v>
      </c>
      <c r="C1804" s="568">
        <v>0.47361111111111115</v>
      </c>
      <c r="D1804" s="63" t="s">
        <v>6639</v>
      </c>
      <c r="E1804" s="355" t="s">
        <v>6640</v>
      </c>
      <c r="F1804" s="336">
        <v>7</v>
      </c>
      <c r="G1804" s="63" t="s">
        <v>283</v>
      </c>
      <c r="H1804" s="349">
        <v>45387</v>
      </c>
      <c r="I1804" s="65" t="s">
        <v>73</v>
      </c>
      <c r="J1804" s="349" t="s">
        <v>1217</v>
      </c>
      <c r="K1804" s="336">
        <f>IFERROR(VLOOKUP(J1804,Jueces!$A$1:$B$11,2,FALSE),"")</f>
        <v>7</v>
      </c>
      <c r="L1804" s="63" t="s">
        <v>4781</v>
      </c>
      <c r="M1804" s="63" t="s">
        <v>2201</v>
      </c>
      <c r="N1804" s="63" t="s">
        <v>1795</v>
      </c>
      <c r="O1804" s="63" t="str">
        <f ca="1">IF(H1804&lt;&gt;"",IF(H1804&lt;=TODAY(),"SI","NO"),"LIMBO")</f>
        <v>SI</v>
      </c>
      <c r="P1804" s="63" t="str">
        <f>IF($P$1=H1804,"DIASOL", "DIANOSOL")</f>
        <v>DIANOSOL</v>
      </c>
      <c r="Q1804" s="63" t="s">
        <v>151</v>
      </c>
      <c r="R1804" s="63" t="str">
        <f>VLOOKUP($Q1804,Resultados!$A$1:$B$49,2,FALSE)</f>
        <v>Prisión Preventiva</v>
      </c>
      <c r="S1804" s="63"/>
      <c r="T1804" s="72" t="str">
        <f>IF(G1804=$J$1,"SI","NO")</f>
        <v>NO</v>
      </c>
      <c r="U1804" s="72"/>
      <c r="V1804" s="7" t="str">
        <f ca="1">IF(color_Celda(E1804)=12106214,"ROSA",IF(color_Celda(E1804)=65535,"AMARILLO",IF(color_Celda(E1804)=5296274,"VERDE",IF(color_Celda(E1804)=16777215,"BLANCO","NO SE"))))</f>
        <v>ROSA</v>
      </c>
      <c r="W1804" s="336"/>
      <c r="X1804" s="336"/>
      <c r="Y1804" s="336"/>
      <c r="Z1804" s="336" t="s">
        <v>748</v>
      </c>
      <c r="AA1804" s="63" t="s">
        <v>3378</v>
      </c>
      <c r="AB1804" s="336" t="s">
        <v>1171</v>
      </c>
      <c r="AC1804" s="336"/>
    </row>
    <row r="1805" spans="1:29" ht="60" customHeight="1">
      <c r="A1805" s="336">
        <v>1814</v>
      </c>
      <c r="B1805" s="349">
        <v>45372</v>
      </c>
      <c r="C1805" s="568">
        <v>0.33333333333333331</v>
      </c>
      <c r="D1805" s="63" t="s">
        <v>6781</v>
      </c>
      <c r="E1805" s="64" t="s">
        <v>6782</v>
      </c>
      <c r="F1805" s="336">
        <v>6</v>
      </c>
      <c r="G1805" s="63" t="s">
        <v>1433</v>
      </c>
      <c r="H1805" s="349">
        <v>45387</v>
      </c>
      <c r="I1805" s="65" t="s">
        <v>73</v>
      </c>
      <c r="J1805" s="349" t="s">
        <v>4746</v>
      </c>
      <c r="K1805" s="63" t="s">
        <v>3872</v>
      </c>
      <c r="L1805" s="63" t="s">
        <v>4788</v>
      </c>
      <c r="M1805" s="63" t="s">
        <v>1866</v>
      </c>
      <c r="N1805" s="63" t="s">
        <v>6966</v>
      </c>
      <c r="O1805" s="63" t="str">
        <f ca="1">IF(H1805&lt;&gt;"",IF(H1805&lt;=TODAY(),"SI","NO"),"LIMBO")</f>
        <v>SI</v>
      </c>
      <c r="P1805" s="63" t="str">
        <f>IF($P$1=H1805,"DIASOL", "DIANOSOL")</f>
        <v>DIANOSOL</v>
      </c>
      <c r="Q1805" s="63" t="s">
        <v>903</v>
      </c>
      <c r="R1805" s="63" t="str">
        <f>VLOOKUP($Q1805,Resultados!$A$1:$B$49,2,FALSE)</f>
        <v>Juicio Abreviado</v>
      </c>
      <c r="S1805" s="63"/>
      <c r="T1805" s="72" t="str">
        <f>IF(G1805=$J$1,"SI","NO")</f>
        <v>NO</v>
      </c>
      <c r="U1805" s="72"/>
      <c r="V1805" s="7" t="str">
        <f ca="1">IF(color_Celda(E1805)=12106214,"ROSA",IF(color_Celda(E1805)=65535,"AMARILLO",IF(color_Celda(E1805)=5296274,"VERDE",IF(color_Celda(E1805)=16777215,"BLANCO","NO SE"))))</f>
        <v>ROSA</v>
      </c>
      <c r="W1805" s="336"/>
      <c r="X1805" s="336"/>
      <c r="Y1805" s="336"/>
      <c r="Z1805" s="336" t="s">
        <v>3368</v>
      </c>
      <c r="AA1805" s="63" t="s">
        <v>1167</v>
      </c>
      <c r="AB1805" s="336" t="s">
        <v>1170</v>
      </c>
      <c r="AC1805" s="336"/>
    </row>
    <row r="1806" spans="1:29" ht="60" customHeight="1">
      <c r="A1806" s="336">
        <v>1777</v>
      </c>
      <c r="B1806" s="349">
        <v>45386</v>
      </c>
      <c r="C1806" s="568">
        <v>0.41666666666666669</v>
      </c>
      <c r="D1806" s="336" t="s">
        <v>6351</v>
      </c>
      <c r="E1806" s="355" t="s">
        <v>6350</v>
      </c>
      <c r="F1806" s="336">
        <v>5</v>
      </c>
      <c r="G1806" s="63" t="s">
        <v>2766</v>
      </c>
      <c r="H1806" s="383">
        <v>45387</v>
      </c>
      <c r="I1806" s="65" t="s">
        <v>73</v>
      </c>
      <c r="J1806" s="65" t="s">
        <v>4932</v>
      </c>
      <c r="K1806" s="63" t="s">
        <v>1982</v>
      </c>
      <c r="L1806" s="63" t="s">
        <v>4791</v>
      </c>
      <c r="M1806" s="63" t="s">
        <v>695</v>
      </c>
      <c r="N1806" s="63" t="s">
        <v>6974</v>
      </c>
      <c r="O1806" s="63" t="str">
        <f ca="1">IF(H1806&lt;&gt;"",IF(H1806&lt;=TODAY(),"SI","NO"),"LIMBO")</f>
        <v>SI</v>
      </c>
      <c r="P1806" s="63" t="str">
        <f>IF($P$1=H1806,"DIASOL", "DIANOSOL")</f>
        <v>DIANOSOL</v>
      </c>
      <c r="Q1806" s="63" t="s">
        <v>911</v>
      </c>
      <c r="R1806" s="63" t="str">
        <f>VLOOKUP($Q1806,Resultados!$A$1:$B$49,2,FALSE)</f>
        <v>Prision domiciliaria</v>
      </c>
      <c r="S1806" s="63"/>
      <c r="T1806" s="72" t="str">
        <f>IF(G1806=$J$1,"SI","NO")</f>
        <v>NO</v>
      </c>
      <c r="U1806" s="72"/>
      <c r="V1806" s="7" t="str">
        <f ca="1">IF(color_Celda(E1806)=12106214,"ROSA",IF(color_Celda(E1806)=65535,"AMARILLO",IF(color_Celda(E1806)=5296274,"VERDE",IF(color_Celda(E1806)=16777215,"BLANCO","NO SE"))))</f>
        <v>ROSA</v>
      </c>
      <c r="W1806" s="336"/>
      <c r="X1806" s="336"/>
      <c r="Y1806" s="336"/>
      <c r="Z1806" s="336" t="s">
        <v>6941</v>
      </c>
      <c r="AA1806" s="63" t="s">
        <v>2828</v>
      </c>
      <c r="AB1806" s="336" t="s">
        <v>1169</v>
      </c>
      <c r="AC1806" s="336"/>
    </row>
    <row r="1807" spans="1:29" ht="60" customHeight="1">
      <c r="A1807" s="336">
        <v>1809</v>
      </c>
      <c r="B1807" s="349">
        <v>45371</v>
      </c>
      <c r="C1807" s="63" t="s">
        <v>4572</v>
      </c>
      <c r="D1807" s="325" t="s">
        <v>5373</v>
      </c>
      <c r="E1807" s="64" t="s">
        <v>6638</v>
      </c>
      <c r="F1807" s="336">
        <v>7</v>
      </c>
      <c r="G1807" s="63" t="s">
        <v>2752</v>
      </c>
      <c r="H1807" s="349">
        <v>45387</v>
      </c>
      <c r="I1807" s="65" t="s">
        <v>749</v>
      </c>
      <c r="J1807" s="65" t="s">
        <v>1221</v>
      </c>
      <c r="K1807" s="336">
        <f>IFERROR(VLOOKUP(J1807,Jueces!$A$1:$B$11,2,FALSE),"")</f>
        <v>6</v>
      </c>
      <c r="L1807" s="63" t="s">
        <v>806</v>
      </c>
      <c r="M1807" s="63" t="s">
        <v>885</v>
      </c>
      <c r="N1807" s="63" t="s">
        <v>1395</v>
      </c>
      <c r="O1807" s="63" t="str">
        <f ca="1">IF(H1807&lt;&gt;"",IF(H1807&lt;=TODAY(),"SI","NO"),"LIMBO")</f>
        <v>SI</v>
      </c>
      <c r="P1807" s="63" t="str">
        <f>IF($P$1=H1807,"DIASOL", "DIANOSOL")</f>
        <v>DIANOSOL</v>
      </c>
      <c r="Q1807" s="63" t="s">
        <v>911</v>
      </c>
      <c r="R1807" s="63" t="str">
        <f>VLOOKUP($Q1807,Resultados!$A$1:$B$49,2,FALSE)</f>
        <v>Prision domiciliaria</v>
      </c>
      <c r="S1807" s="63"/>
      <c r="T1807" s="72" t="str">
        <f>IF(G1807=$J$1,"SI","NO")</f>
        <v>NO</v>
      </c>
      <c r="U1807" s="72"/>
      <c r="V1807" s="7" t="str">
        <f ca="1">IF(color_Celda(E1807)=12106214,"ROSA",IF(color_Celda(E1807)=65535,"AMARILLO",IF(color_Celda(E1807)=5296274,"VERDE",IF(color_Celda(E1807)=16777215,"BLANCO","NO SE"))))</f>
        <v>ROSA</v>
      </c>
      <c r="W1807" s="336"/>
      <c r="X1807" s="336"/>
      <c r="Y1807" s="336"/>
      <c r="Z1807" s="336" t="s">
        <v>6869</v>
      </c>
      <c r="AA1807" s="336" t="s">
        <v>1167</v>
      </c>
      <c r="AB1807" s="336" t="s">
        <v>1173</v>
      </c>
      <c r="AC1807" s="336" t="s">
        <v>1792</v>
      </c>
    </row>
    <row r="1808" spans="1:29" ht="60" customHeight="1">
      <c r="A1808" s="336">
        <v>1781</v>
      </c>
      <c r="B1808" s="349">
        <v>45369</v>
      </c>
      <c r="C1808" s="568">
        <v>0.33333333333333331</v>
      </c>
      <c r="D1808" s="63" t="s">
        <v>3856</v>
      </c>
      <c r="E1808" s="355" t="s">
        <v>6541</v>
      </c>
      <c r="F1808" s="336">
        <v>3</v>
      </c>
      <c r="G1808" s="63" t="s">
        <v>5709</v>
      </c>
      <c r="H1808" s="349">
        <v>45387</v>
      </c>
      <c r="I1808" s="65" t="s">
        <v>1083</v>
      </c>
      <c r="J1808" s="65" t="s">
        <v>31</v>
      </c>
      <c r="K1808" s="336">
        <f>IFERROR(VLOOKUP(J1808,Jueces!$A$1:$B$11,2,FALSE),"")</f>
        <v>2</v>
      </c>
      <c r="L1808" s="63" t="s">
        <v>4786</v>
      </c>
      <c r="M1808" s="63" t="s">
        <v>783</v>
      </c>
      <c r="N1808" s="63" t="s">
        <v>6970</v>
      </c>
      <c r="O1808" s="63" t="str">
        <f ca="1">IF(H1808&lt;&gt;"",IF(H1808&lt;=TODAY(),"SI","NO"),"LIMBO")</f>
        <v>SI</v>
      </c>
      <c r="P1808" s="63" t="str">
        <f>IF($P$1=H1808,"DIASOL", "DIANOSOL")</f>
        <v>DIANOSOL</v>
      </c>
      <c r="Q1808" s="63" t="s">
        <v>151</v>
      </c>
      <c r="R1808" s="63" t="str">
        <f>VLOOKUP($Q1808,Resultados!$A$1:$B$49,2,FALSE)</f>
        <v>Prisión Preventiva</v>
      </c>
      <c r="S1808" s="63"/>
      <c r="T1808" s="72" t="str">
        <f>IF(G1808=$J$1,"SI","NO")</f>
        <v>NO</v>
      </c>
      <c r="U1808" s="72"/>
      <c r="V1808" s="7" t="str">
        <f ca="1">IF(color_Celda(E1808)=12106214,"ROSA",IF(color_Celda(E1808)=65535,"AMARILLO",IF(color_Celda(E1808)=5296274,"VERDE",IF(color_Celda(E1808)=16777215,"BLANCO","NO SE"))))</f>
        <v>ROSA</v>
      </c>
      <c r="W1808" s="336"/>
      <c r="X1808" s="336"/>
      <c r="Y1808" s="336"/>
      <c r="Z1808" s="336" t="s">
        <v>1038</v>
      </c>
      <c r="AA1808" s="63" t="s">
        <v>1165</v>
      </c>
      <c r="AB1808" s="336" t="s">
        <v>1170</v>
      </c>
      <c r="AC1808" s="336"/>
    </row>
    <row r="1809" spans="1:29" ht="60" customHeight="1">
      <c r="A1809" s="336">
        <v>1837</v>
      </c>
      <c r="B1809" s="349">
        <v>45363</v>
      </c>
      <c r="C1809" s="568">
        <v>0.50694444444444442</v>
      </c>
      <c r="D1809" s="336" t="s">
        <v>6486</v>
      </c>
      <c r="E1809" s="355" t="s">
        <v>6487</v>
      </c>
      <c r="F1809" s="336">
        <v>6</v>
      </c>
      <c r="G1809" s="63" t="s">
        <v>3791</v>
      </c>
      <c r="H1809" s="383">
        <v>45387</v>
      </c>
      <c r="I1809" s="65" t="s">
        <v>76</v>
      </c>
      <c r="J1809" s="349" t="s">
        <v>1216</v>
      </c>
      <c r="K1809" s="63" t="s">
        <v>1916</v>
      </c>
      <c r="L1809" s="63" t="s">
        <v>4778</v>
      </c>
      <c r="M1809" s="63" t="s">
        <v>6812</v>
      </c>
      <c r="N1809" s="63" t="s">
        <v>6968</v>
      </c>
      <c r="O1809" s="63" t="str">
        <f ca="1">IF(H1809&lt;&gt;"",IF(H1809&lt;=TODAY(),"SI","NO"),"LIMBO")</f>
        <v>SI</v>
      </c>
      <c r="P1809" s="63" t="str">
        <f>IF($P$1=H1809,"DIASOL", "DIANOSOL")</f>
        <v>DIANOSOL</v>
      </c>
      <c r="Q1809" s="63" t="s">
        <v>897</v>
      </c>
      <c r="R1809" s="63" t="str">
        <f>VLOOKUP($Q1809,Resultados!$A$1:$B$49,2,FALSE)</f>
        <v>Libertad</v>
      </c>
      <c r="S1809" s="63"/>
      <c r="T1809" s="72" t="str">
        <f>IF(G1809=$J$1,"SI","NO")</f>
        <v>NO</v>
      </c>
      <c r="U1809" s="72"/>
      <c r="V1809" s="7" t="str">
        <f ca="1">IF(color_Celda(E1809)=12106214,"ROSA",IF(color_Celda(E1809)=65535,"AMARILLO",IF(color_Celda(E1809)=5296274,"VERDE",IF(color_Celda(E1809)=16777215,"BLANCO","NO SE"))))</f>
        <v>ROSA</v>
      </c>
      <c r="W1809" s="336"/>
      <c r="X1809" s="336"/>
      <c r="Y1809" s="336"/>
      <c r="Z1809" s="336" t="s">
        <v>3368</v>
      </c>
      <c r="AA1809" s="63" t="s">
        <v>2828</v>
      </c>
      <c r="AB1809" s="336" t="s">
        <v>1169</v>
      </c>
      <c r="AC1809" s="336"/>
    </row>
    <row r="1810" spans="1:29" ht="60" customHeight="1">
      <c r="A1810" s="336">
        <v>1824</v>
      </c>
      <c r="B1810" s="65">
        <v>45373</v>
      </c>
      <c r="C1810" s="63" t="s">
        <v>2571</v>
      </c>
      <c r="D1810" s="63" t="s">
        <v>6773</v>
      </c>
      <c r="E1810" s="64" t="s">
        <v>6793</v>
      </c>
      <c r="F1810" s="336">
        <v>6</v>
      </c>
      <c r="G1810" s="336" t="s">
        <v>1435</v>
      </c>
      <c r="H1810" s="349">
        <v>45387</v>
      </c>
      <c r="I1810" s="65" t="s">
        <v>76</v>
      </c>
      <c r="J1810" s="65" t="s">
        <v>1217</v>
      </c>
      <c r="K1810" s="63" t="s">
        <v>2324</v>
      </c>
      <c r="L1810" s="63" t="s">
        <v>4792</v>
      </c>
      <c r="M1810" s="63" t="s">
        <v>2107</v>
      </c>
      <c r="N1810" s="63" t="s">
        <v>6971</v>
      </c>
      <c r="O1810" s="63" t="str">
        <f ca="1">IF(H1810&lt;&gt;"",IF(H1810&lt;=TODAY(),"SI","NO"),"LIMBO")</f>
        <v>SI</v>
      </c>
      <c r="P1810" s="63" t="str">
        <f>IF($P$1=H1810,"DIASOL", "DIANOSOL")</f>
        <v>DIANOSOL</v>
      </c>
      <c r="Q1810" s="63" t="s">
        <v>903</v>
      </c>
      <c r="R1810" s="63" t="str">
        <f>VLOOKUP($Q1810,Resultados!$A$1:$B$49,2,FALSE)</f>
        <v>Juicio Abreviado</v>
      </c>
      <c r="S1810" s="63"/>
      <c r="T1810" s="72" t="str">
        <f>IF(G1810=$J$1,"SI","NO")</f>
        <v>SI</v>
      </c>
      <c r="U1810" s="72"/>
      <c r="V1810" s="7" t="str">
        <f ca="1">IF(color_Celda(E1810)=12106214,"ROSA",IF(color_Celda(E1810)=65535,"AMARILLO",IF(color_Celda(E1810)=5296274,"VERDE",IF(color_Celda(E1810)=16777215,"BLANCO","NO SE"))))</f>
        <v>ROSA</v>
      </c>
      <c r="W1810" s="336"/>
      <c r="X1810" s="336"/>
      <c r="Y1810" s="336"/>
      <c r="Z1810" s="336" t="s">
        <v>748</v>
      </c>
      <c r="AA1810" s="63" t="s">
        <v>3378</v>
      </c>
      <c r="AB1810" s="336" t="s">
        <v>1171</v>
      </c>
      <c r="AC1810" s="336"/>
    </row>
    <row r="1811" spans="1:29" ht="60" customHeight="1">
      <c r="A1811" s="336">
        <v>1815</v>
      </c>
      <c r="B1811" s="349">
        <v>45372</v>
      </c>
      <c r="C1811" s="336" t="s">
        <v>3161</v>
      </c>
      <c r="D1811" s="336" t="s">
        <v>6743</v>
      </c>
      <c r="E1811" s="355" t="s">
        <v>6744</v>
      </c>
      <c r="F1811" s="336">
        <v>6</v>
      </c>
      <c r="G1811" s="63" t="s">
        <v>568</v>
      </c>
      <c r="H1811" s="349">
        <v>45387</v>
      </c>
      <c r="I1811" s="65" t="s">
        <v>75</v>
      </c>
      <c r="J1811" s="349" t="s">
        <v>1216</v>
      </c>
      <c r="K1811" s="63" t="s">
        <v>1916</v>
      </c>
      <c r="L1811" s="63" t="s">
        <v>4781</v>
      </c>
      <c r="M1811" s="63" t="s">
        <v>2107</v>
      </c>
      <c r="N1811" s="63" t="s">
        <v>6969</v>
      </c>
      <c r="O1811" s="63" t="str">
        <f ca="1">IF(H1811&lt;&gt;"",IF(H1811&lt;=TODAY(),"SI","NO"),"LIMBO")</f>
        <v>SI</v>
      </c>
      <c r="P1811" s="63" t="str">
        <f>IF($P$1=H1811,"DIASOL", "DIANOSOL")</f>
        <v>DIANOSOL</v>
      </c>
      <c r="Q1811" s="63" t="s">
        <v>902</v>
      </c>
      <c r="R1811" s="63" t="str">
        <f>VLOOKUP($Q1811,Resultados!$A$1:$B$49,2,FALSE)</f>
        <v>Juicio Abreviado</v>
      </c>
      <c r="S1811" s="63"/>
      <c r="T1811" s="72" t="str">
        <f>IF(G1811=$J$1,"SI","NO")</f>
        <v>NO</v>
      </c>
      <c r="U1811" s="72"/>
      <c r="V1811" s="7" t="str">
        <f ca="1">IF(color_Celda(E1811)=12106214,"ROSA",IF(color_Celda(E1811)=65535,"AMARILLO",IF(color_Celda(E1811)=5296274,"VERDE",IF(color_Celda(E1811)=16777215,"BLANCO","NO SE"))))</f>
        <v>ROSA</v>
      </c>
      <c r="W1811" s="336"/>
      <c r="X1811" s="336"/>
      <c r="Y1811" s="336"/>
      <c r="Z1811" s="336" t="s">
        <v>3368</v>
      </c>
      <c r="AA1811" s="63" t="s">
        <v>3379</v>
      </c>
      <c r="AB1811" s="336" t="s">
        <v>1170</v>
      </c>
      <c r="AC1811" s="336"/>
    </row>
    <row r="1812" spans="1:29" ht="60" customHeight="1">
      <c r="A1812" s="336">
        <v>1881</v>
      </c>
      <c r="B1812" s="349">
        <v>45385</v>
      </c>
      <c r="C1812" s="568">
        <v>0.41666666666666669</v>
      </c>
      <c r="D1812" s="336" t="s">
        <v>6154</v>
      </c>
      <c r="E1812" s="355" t="s">
        <v>6155</v>
      </c>
      <c r="F1812" s="336">
        <v>4</v>
      </c>
      <c r="G1812" s="336" t="s">
        <v>3791</v>
      </c>
      <c r="H1812" s="383">
        <v>45387</v>
      </c>
      <c r="I1812" s="65" t="s">
        <v>1146</v>
      </c>
      <c r="J1812" s="349" t="s">
        <v>1216</v>
      </c>
      <c r="K1812" s="63" t="s">
        <v>1916</v>
      </c>
      <c r="L1812" s="63" t="s">
        <v>4782</v>
      </c>
      <c r="M1812" s="63" t="s">
        <v>6919</v>
      </c>
      <c r="N1812" s="63" t="s">
        <v>6975</v>
      </c>
      <c r="O1812" s="63" t="str">
        <f ca="1">IF(H1812&lt;&gt;"",IF(H1812&lt;=TODAY(),"SI","NO"),"LIMBO")</f>
        <v>SI</v>
      </c>
      <c r="P1812" s="63" t="str">
        <f>IF($P$1=H1812,"DIASOL", "DIANOSOL")</f>
        <v>DIANOSOL</v>
      </c>
      <c r="Q1812" s="63" t="s">
        <v>911</v>
      </c>
      <c r="R1812" s="63" t="str">
        <f>VLOOKUP($Q1812,Resultados!$A$1:$B$49,2,FALSE)</f>
        <v>Prision domiciliaria</v>
      </c>
      <c r="S1812" s="63"/>
      <c r="T1812" s="72" t="str">
        <f>IF(G1812=$J$1,"SI","NO")</f>
        <v>NO</v>
      </c>
      <c r="U1812" s="72"/>
      <c r="V1812" s="7" t="str">
        <f ca="1">IF(color_Celda(E1812)=12106214,"ROSA",IF(color_Celda(E1812)=65535,"AMARILLO",IF(color_Celda(E1812)=5296274,"VERDE",IF(color_Celda(E1812)=16777215,"BLANCO","NO SE"))))</f>
        <v>ROSA</v>
      </c>
      <c r="W1812" s="336"/>
      <c r="X1812" s="336"/>
      <c r="Y1812" s="336"/>
      <c r="Z1812" s="336" t="s">
        <v>3368</v>
      </c>
      <c r="AA1812" s="63" t="s">
        <v>2869</v>
      </c>
      <c r="AB1812" s="336" t="s">
        <v>1173</v>
      </c>
      <c r="AC1812" s="336"/>
    </row>
    <row r="1813" spans="1:29" ht="60" customHeight="1">
      <c r="A1813" s="336">
        <v>1806</v>
      </c>
      <c r="B1813" s="349">
        <v>45371</v>
      </c>
      <c r="C1813" s="568">
        <v>0.35486111111111113</v>
      </c>
      <c r="D1813" s="63" t="s">
        <v>6634</v>
      </c>
      <c r="E1813" s="355" t="s">
        <v>6635</v>
      </c>
      <c r="F1813" s="336">
        <v>5</v>
      </c>
      <c r="G1813" s="63" t="s">
        <v>1433</v>
      </c>
      <c r="H1813" s="349">
        <v>45390</v>
      </c>
      <c r="I1813" s="65" t="s">
        <v>360</v>
      </c>
      <c r="J1813" s="349" t="s">
        <v>1217</v>
      </c>
      <c r="K1813" s="336">
        <f>IFERROR(VLOOKUP(J1813,Jueces!$A$1:$B$11,2,FALSE),"")</f>
        <v>7</v>
      </c>
      <c r="L1813" s="63" t="s">
        <v>791</v>
      </c>
      <c r="M1813" s="63" t="s">
        <v>1866</v>
      </c>
      <c r="N1813" s="63" t="s">
        <v>897</v>
      </c>
      <c r="O1813" s="63" t="str">
        <f ca="1">IF(H1813&lt;&gt;"",IF(H1813&lt;=TODAY(),"SI","NO"),"LIMBO")</f>
        <v>SI</v>
      </c>
      <c r="P1813" s="63" t="str">
        <f>IF($P$1=H1813,"DIASOL", "DIANOSOL")</f>
        <v>DIANOSOL</v>
      </c>
      <c r="Q1813" s="63" t="s">
        <v>897</v>
      </c>
      <c r="R1813" s="63" t="str">
        <f>VLOOKUP($Q1813,Resultados!$A$1:$B$49,2,FALSE)</f>
        <v>Libertad</v>
      </c>
      <c r="S1813" s="63"/>
      <c r="T1813" s="72" t="str">
        <f>IF(G1813=$J$1,"SI","NO")</f>
        <v>NO</v>
      </c>
      <c r="U1813" s="72"/>
      <c r="V1813" s="7" t="str">
        <f ca="1">IF(color_Celda(E1813)=12106214,"ROSA",IF(color_Celda(E1813)=65535,"AMARILLO",IF(color_Celda(E1813)=5296274,"VERDE",IF(color_Celda(E1813)=16777215,"BLANCO","NO SE"))))</f>
        <v>ROSA</v>
      </c>
      <c r="W1813" s="336"/>
      <c r="X1813" s="336"/>
      <c r="Y1813" s="336"/>
      <c r="Z1813" s="336" t="s">
        <v>3368</v>
      </c>
      <c r="AA1813" s="63" t="s">
        <v>3378</v>
      </c>
      <c r="AB1813" s="63" t="s">
        <v>1169</v>
      </c>
      <c r="AC1813" s="336"/>
    </row>
    <row r="1814" spans="1:29" ht="60" customHeight="1">
      <c r="A1814" s="336">
        <v>1785</v>
      </c>
      <c r="B1814" s="349">
        <v>45369</v>
      </c>
      <c r="C1814" s="568">
        <v>0.42222222222222222</v>
      </c>
      <c r="D1814" s="63" t="s">
        <v>6546</v>
      </c>
      <c r="E1814" s="355" t="s">
        <v>6547</v>
      </c>
      <c r="F1814" s="336">
        <v>5</v>
      </c>
      <c r="G1814" s="63" t="s">
        <v>5709</v>
      </c>
      <c r="H1814" s="349">
        <v>45390</v>
      </c>
      <c r="I1814" s="65" t="s">
        <v>73</v>
      </c>
      <c r="J1814" s="349" t="s">
        <v>4746</v>
      </c>
      <c r="K1814" s="63" t="s">
        <v>1341</v>
      </c>
      <c r="L1814" s="63" t="s">
        <v>1693</v>
      </c>
      <c r="M1814" s="63" t="s">
        <v>3755</v>
      </c>
      <c r="N1814" s="205" t="s">
        <v>7110</v>
      </c>
      <c r="O1814" s="63" t="str">
        <f ca="1">IF(H1814&lt;&gt;"",IF(H1814&lt;=TODAY(),"SI","NO"),"LIMBO")</f>
        <v>SI</v>
      </c>
      <c r="P1814" s="63" t="str">
        <f>IF($P$1=H1814,"DIASOL", "DIANOSOL")</f>
        <v>DIANOSOL</v>
      </c>
      <c r="Q1814" s="63" t="s">
        <v>151</v>
      </c>
      <c r="R1814" s="63" t="str">
        <f>VLOOKUP($Q1814,Resultados!$A$1:$B$49,2,FALSE)</f>
        <v>Prisión Preventiva</v>
      </c>
      <c r="S1814" s="63"/>
      <c r="T1814" s="72" t="str">
        <f>IF(G1814=$J$1,"SI","NO")</f>
        <v>NO</v>
      </c>
      <c r="U1814" s="72"/>
      <c r="V1814" s="7" t="str">
        <f ca="1">IF(color_Celda(E1814)=12106214,"ROSA",IF(color_Celda(E1814)=65535,"AMARILLO",IF(color_Celda(E1814)=5296274,"VERDE",IF(color_Celda(E1814)=16777215,"BLANCO","NO SE"))))</f>
        <v>ROSA</v>
      </c>
      <c r="W1814" s="336"/>
      <c r="X1814" s="336"/>
      <c r="Y1814" s="336"/>
      <c r="Z1814" s="336" t="s">
        <v>748</v>
      </c>
      <c r="AA1814" s="63" t="s">
        <v>2869</v>
      </c>
      <c r="AB1814" s="63" t="s">
        <v>3258</v>
      </c>
      <c r="AC1814" s="336"/>
    </row>
    <row r="1815" spans="1:29" ht="60" customHeight="1">
      <c r="A1815" s="336">
        <v>1796</v>
      </c>
      <c r="B1815" s="349">
        <v>45370</v>
      </c>
      <c r="C1815" s="568">
        <v>0.33333333333333331</v>
      </c>
      <c r="D1815" s="63" t="s">
        <v>6580</v>
      </c>
      <c r="E1815" s="355" t="s">
        <v>6581</v>
      </c>
      <c r="F1815" s="336">
        <v>5</v>
      </c>
      <c r="G1815" s="63" t="s">
        <v>568</v>
      </c>
      <c r="H1815" s="349">
        <v>45390</v>
      </c>
      <c r="I1815" s="65" t="s">
        <v>73</v>
      </c>
      <c r="J1815" s="65" t="s">
        <v>35</v>
      </c>
      <c r="K1815" s="336">
        <f>IFERROR(VLOOKUP(J1815,Jueces!$A$1:$B$11,2,FALSE),"")</f>
        <v>3</v>
      </c>
      <c r="L1815" s="63" t="s">
        <v>4778</v>
      </c>
      <c r="M1815" s="63" t="s">
        <v>695</v>
      </c>
      <c r="N1815" s="63" t="s">
        <v>577</v>
      </c>
      <c r="O1815" s="63" t="str">
        <f ca="1">IF(H1815&lt;&gt;"",IF(H1815&lt;=TODAY(),"SI","NO"),"LIMBO")</f>
        <v>SI</v>
      </c>
      <c r="P1815" s="63" t="str">
        <f>IF($P$1=H1815,"DIASOL", "DIANOSOL")</f>
        <v>DIANOSOL</v>
      </c>
      <c r="Q1815" s="63" t="s">
        <v>151</v>
      </c>
      <c r="R1815" s="63" t="str">
        <f>VLOOKUP($Q1815,Resultados!$A$1:$B$49,2,FALSE)</f>
        <v>Prisión Preventiva</v>
      </c>
      <c r="S1815" s="63"/>
      <c r="T1815" s="72" t="str">
        <f>IF(G1815=$J$1,"SI","NO")</f>
        <v>NO</v>
      </c>
      <c r="U1815" s="72"/>
      <c r="V1815" s="7" t="str">
        <f ca="1">IF(color_Celda(E1815)=12106214,"ROSA",IF(color_Celda(E1815)=65535,"AMARILLO",IF(color_Celda(E1815)=5296274,"VERDE",IF(color_Celda(E1815)=16777215,"BLANCO","NO SE"))))</f>
        <v>ROSA</v>
      </c>
      <c r="W1815" s="336"/>
      <c r="X1815" s="336"/>
      <c r="Y1815" s="336"/>
      <c r="Z1815" s="336" t="s">
        <v>770</v>
      </c>
      <c r="AA1815" s="63" t="s">
        <v>1165</v>
      </c>
      <c r="AB1815" s="63" t="s">
        <v>1171</v>
      </c>
      <c r="AC1815" s="336"/>
    </row>
    <row r="1816" spans="1:29" ht="60" customHeight="1">
      <c r="A1816" s="336">
        <v>1832</v>
      </c>
      <c r="B1816" s="349">
        <v>45371</v>
      </c>
      <c r="C1816" s="63" t="s">
        <v>2011</v>
      </c>
      <c r="D1816" s="63" t="s">
        <v>6785</v>
      </c>
      <c r="E1816" s="64" t="s">
        <v>6786</v>
      </c>
      <c r="F1816" s="336">
        <v>6</v>
      </c>
      <c r="G1816" s="63" t="s">
        <v>2766</v>
      </c>
      <c r="H1816" s="349">
        <v>45390</v>
      </c>
      <c r="I1816" s="65" t="s">
        <v>73</v>
      </c>
      <c r="J1816" s="65" t="s">
        <v>4932</v>
      </c>
      <c r="K1816" s="63" t="s">
        <v>1916</v>
      </c>
      <c r="L1816" s="63" t="s">
        <v>4777</v>
      </c>
      <c r="M1816" s="63" t="s">
        <v>2107</v>
      </c>
      <c r="N1816" s="63" t="s">
        <v>2550</v>
      </c>
      <c r="O1816" s="63" t="str">
        <f ca="1">IF(H1816&lt;&gt;"",IF(H1816&lt;=TODAY(),"SI","NO"),"LIMBO")</f>
        <v>SI</v>
      </c>
      <c r="P1816" s="63" t="str">
        <f>IF($P$1=H1816,"DIASOL", "DIANOSOL")</f>
        <v>DIANOSOL</v>
      </c>
      <c r="Q1816" s="63" t="s">
        <v>897</v>
      </c>
      <c r="R1816" s="63" t="str">
        <f>VLOOKUP($Q1816,Resultados!$A$1:$B$49,2,FALSE)</f>
        <v>Libertad</v>
      </c>
      <c r="S1816" s="63"/>
      <c r="T1816" s="72" t="str">
        <f>IF(G1816=$J$1,"SI","NO")</f>
        <v>NO</v>
      </c>
      <c r="U1816" s="72"/>
      <c r="V1816" s="7" t="str">
        <f ca="1">IF(color_Celda(E1816)=12106214,"ROSA",IF(color_Celda(E1816)=65535,"AMARILLO",IF(color_Celda(E1816)=5296274,"VERDE",IF(color_Celda(E1816)=16777215,"BLANCO","NO SE"))))</f>
        <v>ROSA</v>
      </c>
      <c r="W1816" s="336"/>
      <c r="X1816" s="336"/>
      <c r="Y1816" s="336"/>
      <c r="Z1816" s="336" t="s">
        <v>770</v>
      </c>
      <c r="AA1816" s="63" t="s">
        <v>2828</v>
      </c>
      <c r="AB1816" s="63" t="s">
        <v>1169</v>
      </c>
      <c r="AC1816" s="336"/>
    </row>
    <row r="1817" spans="1:29" ht="60" customHeight="1">
      <c r="A1817" s="336">
        <v>1822</v>
      </c>
      <c r="B1817" s="349">
        <v>45373</v>
      </c>
      <c r="C1817" s="63" t="s">
        <v>3628</v>
      </c>
      <c r="D1817" s="63" t="s">
        <v>6789</v>
      </c>
      <c r="E1817" s="64" t="s">
        <v>6771</v>
      </c>
      <c r="F1817" s="336">
        <v>7</v>
      </c>
      <c r="G1817" s="336" t="s">
        <v>283</v>
      </c>
      <c r="H1817" s="349">
        <v>45390</v>
      </c>
      <c r="I1817" s="65" t="s">
        <v>73</v>
      </c>
      <c r="J1817" s="349" t="s">
        <v>31</v>
      </c>
      <c r="K1817" s="336">
        <f>IFERROR(VLOOKUP(J1817,Jueces!$A$1:$B$11,2,FALSE),"")</f>
        <v>2</v>
      </c>
      <c r="L1817" s="63" t="s">
        <v>790</v>
      </c>
      <c r="M1817" s="63" t="s">
        <v>2201</v>
      </c>
      <c r="N1817" s="63" t="s">
        <v>7113</v>
      </c>
      <c r="O1817" s="78" t="str">
        <f ca="1">IF(H1817&lt;&gt;"",IF(H1817&lt;=TODAY(),"SI","NO"),"LIMBO")</f>
        <v>SI</v>
      </c>
      <c r="P1817" s="78" t="str">
        <f>IF($P$1=H1817,"DIASOL", "DIANOSOL")</f>
        <v>DIANOSOL</v>
      </c>
      <c r="Q1817" s="63" t="s">
        <v>902</v>
      </c>
      <c r="R1817" s="63" t="str">
        <f>VLOOKUP($Q1817,Resultados!$A$1:$B$49,2,FALSE)</f>
        <v>Juicio Abreviado</v>
      </c>
      <c r="S1817" s="63"/>
      <c r="T1817" s="81" t="str">
        <f>IF(G1817=$J$1,"SI","NO")</f>
        <v>NO</v>
      </c>
      <c r="U1817" s="81"/>
      <c r="V1817" s="7" t="str">
        <f ca="1">IF(color_Celda(E1817)=12106214,"ROSA",IF(color_Celda(E1817)=65535,"AMARILLO",IF(color_Celda(E1817)=5296274,"VERDE",IF(color_Celda(E1817)=16777215,"BLANCO","NO SE"))))</f>
        <v>ROSA</v>
      </c>
      <c r="W1817" s="336"/>
      <c r="X1817" s="336"/>
      <c r="Y1817" s="336"/>
      <c r="Z1817" s="336" t="s">
        <v>770</v>
      </c>
      <c r="AA1817" s="63" t="s">
        <v>3379</v>
      </c>
      <c r="AB1817" s="63" t="s">
        <v>3258</v>
      </c>
      <c r="AC1817" s="336"/>
    </row>
    <row r="1818" spans="1:29" ht="60" customHeight="1">
      <c r="A1818" s="336">
        <v>1829</v>
      </c>
      <c r="B1818" s="349">
        <v>45373</v>
      </c>
      <c r="C1818" s="63" t="s">
        <v>73</v>
      </c>
      <c r="D1818" s="63" t="s">
        <v>6777</v>
      </c>
      <c r="E1818" s="64" t="s">
        <v>6790</v>
      </c>
      <c r="F1818" s="336">
        <v>5</v>
      </c>
      <c r="G1818" s="336" t="s">
        <v>3324</v>
      </c>
      <c r="H1818" s="349">
        <v>45390</v>
      </c>
      <c r="I1818" s="65" t="s">
        <v>76</v>
      </c>
      <c r="J1818" s="349" t="s">
        <v>1216</v>
      </c>
      <c r="K1818" s="63" t="s">
        <v>2324</v>
      </c>
      <c r="L1818" s="63" t="s">
        <v>806</v>
      </c>
      <c r="M1818" s="63" t="s">
        <v>695</v>
      </c>
      <c r="N1818" s="63" t="s">
        <v>7111</v>
      </c>
      <c r="O1818" s="63" t="str">
        <f ca="1">IF(H1818&lt;&gt;"",IF(H1818&lt;=TODAY(),"SI","NO"),"LIMBO")</f>
        <v>SI</v>
      </c>
      <c r="P1818" s="63" t="str">
        <f>IF($P$1=H1818,"DIASOL", "DIANOSOL")</f>
        <v>DIANOSOL</v>
      </c>
      <c r="Q1818" s="63" t="s">
        <v>902</v>
      </c>
      <c r="R1818" s="63" t="str">
        <f>VLOOKUP($Q1818,Resultados!$A$1:$B$49,2,FALSE)</f>
        <v>Juicio Abreviado</v>
      </c>
      <c r="S1818" s="63"/>
      <c r="T1818" s="72" t="str">
        <f>IF(G1818=$J$1,"SI","NO")</f>
        <v>NO</v>
      </c>
      <c r="U1818" s="72"/>
      <c r="V1818" s="7" t="str">
        <f ca="1">IF(color_Celda(E1818)=12106214,"ROSA",IF(color_Celda(E1818)=65535,"AMARILLO",IF(color_Celda(E1818)=5296274,"VERDE",IF(color_Celda(E1818)=16777215,"BLANCO","NO SE"))))</f>
        <v>ROSA</v>
      </c>
      <c r="W1818" s="336"/>
      <c r="X1818" s="336"/>
      <c r="Y1818" s="336"/>
      <c r="Z1818" s="336" t="s">
        <v>748</v>
      </c>
      <c r="AA1818" s="63" t="s">
        <v>1167</v>
      </c>
      <c r="AB1818" s="63" t="s">
        <v>1171</v>
      </c>
      <c r="AC1818" s="336"/>
    </row>
    <row r="1819" spans="1:29" ht="60" customHeight="1">
      <c r="A1819" s="336">
        <v>1828</v>
      </c>
      <c r="B1819" s="349">
        <v>45373</v>
      </c>
      <c r="C1819" s="63" t="s">
        <v>73</v>
      </c>
      <c r="D1819" s="63" t="s">
        <v>6776</v>
      </c>
      <c r="E1819" s="64" t="s">
        <v>6791</v>
      </c>
      <c r="F1819" s="336">
        <v>7</v>
      </c>
      <c r="G1819" s="336" t="s">
        <v>2753</v>
      </c>
      <c r="H1819" s="349">
        <v>45390</v>
      </c>
      <c r="I1819" s="65" t="s">
        <v>1601</v>
      </c>
      <c r="J1819" s="349" t="s">
        <v>1221</v>
      </c>
      <c r="K1819" s="63" t="s">
        <v>1483</v>
      </c>
      <c r="L1819" s="63" t="s">
        <v>4789</v>
      </c>
      <c r="M1819" s="63" t="s">
        <v>2201</v>
      </c>
      <c r="N1819" s="63" t="s">
        <v>577</v>
      </c>
      <c r="O1819" s="63" t="str">
        <f ca="1">IF(H1819&lt;&gt;"",IF(H1819&lt;=TODAY(),"SI","NO"),"LIMBO")</f>
        <v>SI</v>
      </c>
      <c r="P1819" s="63" t="str">
        <f>IF($P$1=H1819,"DIASOL", "DIANOSOL")</f>
        <v>DIANOSOL</v>
      </c>
      <c r="Q1819" s="63" t="s">
        <v>151</v>
      </c>
      <c r="R1819" s="63" t="str">
        <f>VLOOKUP($Q1819,Resultados!$A$1:$B$49,2,FALSE)</f>
        <v>Prisión Preventiva</v>
      </c>
      <c r="S1819" s="63"/>
      <c r="T1819" s="72" t="str">
        <f>IF(G1819=$J$1,"SI","NO")</f>
        <v>NO</v>
      </c>
      <c r="U1819" s="72"/>
      <c r="V1819" s="7" t="str">
        <f ca="1">IF(color_Celda(E1819)=12106214,"ROSA",IF(color_Celda(E1819)=65535,"AMARILLO",IF(color_Celda(E1819)=5296274,"VERDE",IF(color_Celda(E1819)=16777215,"BLANCO","NO SE"))))</f>
        <v>ROSA</v>
      </c>
      <c r="W1819" s="336"/>
      <c r="X1819" s="336"/>
      <c r="Y1819" s="336"/>
      <c r="Z1819" s="336" t="s">
        <v>748</v>
      </c>
      <c r="AA1819" s="63" t="s">
        <v>3378</v>
      </c>
      <c r="AB1819" s="63" t="s">
        <v>1169</v>
      </c>
      <c r="AC1819" s="336"/>
    </row>
    <row r="1820" spans="1:29" ht="60" customHeight="1">
      <c r="A1820" s="336">
        <v>1826</v>
      </c>
      <c r="B1820" s="349">
        <v>45373</v>
      </c>
      <c r="C1820" s="63" t="s">
        <v>73</v>
      </c>
      <c r="D1820" s="63" t="s">
        <v>6775</v>
      </c>
      <c r="E1820" s="64" t="s">
        <v>6792</v>
      </c>
      <c r="F1820" s="336">
        <v>7</v>
      </c>
      <c r="G1820" s="336" t="s">
        <v>3791</v>
      </c>
      <c r="H1820" s="349">
        <v>45390</v>
      </c>
      <c r="I1820" s="65" t="s">
        <v>75</v>
      </c>
      <c r="J1820" s="349" t="s">
        <v>33</v>
      </c>
      <c r="K1820" s="336">
        <f>IFERROR(VLOOKUP(J1820,Jueces!$A$1:$B$11,2,FALSE),"")</f>
        <v>4</v>
      </c>
      <c r="L1820" s="63" t="s">
        <v>789</v>
      </c>
      <c r="M1820" s="63" t="s">
        <v>6823</v>
      </c>
      <c r="N1820" s="63" t="s">
        <v>5666</v>
      </c>
      <c r="O1820" s="78" t="str">
        <f ca="1">IF(H1820&lt;&gt;"",IF(H1820&lt;=TODAY(),"SI","NO"),"LIMBO")</f>
        <v>SI</v>
      </c>
      <c r="P1820" s="78" t="str">
        <f>IF($P$1=H1820,"DIASOL", "DIANOSOL")</f>
        <v>DIANOSOL</v>
      </c>
      <c r="Q1820" s="63" t="s">
        <v>902</v>
      </c>
      <c r="R1820" s="63" t="str">
        <f>VLOOKUP($Q1820,Resultados!$A$1:$B$49,2,FALSE)</f>
        <v>Juicio Abreviado</v>
      </c>
      <c r="S1820" s="63"/>
      <c r="T1820" s="81" t="str">
        <f>IF(G1820=$J$1,"SI","NO")</f>
        <v>NO</v>
      </c>
      <c r="U1820" s="81"/>
      <c r="V1820" s="7" t="str">
        <f ca="1">IF(color_Celda(E1820)=12106214,"ROSA",IF(color_Celda(E1820)=65535,"AMARILLO",IF(color_Celda(E1820)=5296274,"VERDE",IF(color_Celda(E1820)=16777215,"BLANCO","NO SE"))))</f>
        <v>ROSA</v>
      </c>
      <c r="W1820" s="336"/>
      <c r="X1820" s="336"/>
      <c r="Y1820" s="336"/>
      <c r="Z1820" s="336" t="s">
        <v>3368</v>
      </c>
      <c r="AA1820" s="63" t="s">
        <v>2869</v>
      </c>
      <c r="AB1820" s="63" t="s">
        <v>3258</v>
      </c>
      <c r="AC1820" s="336"/>
    </row>
    <row r="1821" spans="1:29" ht="60" customHeight="1">
      <c r="A1821" s="336">
        <v>1839</v>
      </c>
      <c r="B1821" s="349">
        <v>45376</v>
      </c>
      <c r="C1821" s="568">
        <v>0.33333333333333331</v>
      </c>
      <c r="D1821" s="63" t="s">
        <v>6817</v>
      </c>
      <c r="E1821" s="64" t="s">
        <v>6818</v>
      </c>
      <c r="F1821" s="336">
        <v>6</v>
      </c>
      <c r="G1821" s="336" t="s">
        <v>1435</v>
      </c>
      <c r="H1821" s="349">
        <v>45390</v>
      </c>
      <c r="I1821" s="65" t="s">
        <v>547</v>
      </c>
      <c r="J1821" s="349" t="s">
        <v>31</v>
      </c>
      <c r="K1821" s="63" t="s">
        <v>1341</v>
      </c>
      <c r="L1821" s="63" t="s">
        <v>4791</v>
      </c>
      <c r="M1821" s="63" t="s">
        <v>1956</v>
      </c>
      <c r="N1821" s="63" t="s">
        <v>6864</v>
      </c>
      <c r="O1821" s="63" t="str">
        <f ca="1">IF(H1821&lt;&gt;"",IF(H1821&lt;=TODAY(),"SI","NO"),"LIMBO")</f>
        <v>SI</v>
      </c>
      <c r="P1821" s="63" t="str">
        <f>IF($P$1=H1821,"DIASOL", "DIANOSOL")</f>
        <v>DIANOSOL</v>
      </c>
      <c r="Q1821" s="63" t="s">
        <v>151</v>
      </c>
      <c r="R1821" s="63" t="str">
        <f>VLOOKUP($Q1821,Resultados!$A$1:$B$49,2,FALSE)</f>
        <v>Prisión Preventiva</v>
      </c>
      <c r="S1821" s="63"/>
      <c r="T1821" s="72" t="str">
        <f>IF(G1821=$J$1,"SI","NO")</f>
        <v>SI</v>
      </c>
      <c r="U1821" s="72"/>
      <c r="V1821" s="7" t="str">
        <f ca="1">IF(color_Celda(E1821)=12106214,"ROSA",IF(color_Celda(E1821)=65535,"AMARILLO",IF(color_Celda(E1821)=5296274,"VERDE",IF(color_Celda(E1821)=16777215,"BLANCO","NO SE"))))</f>
        <v>ROSA</v>
      </c>
      <c r="W1821" s="336"/>
      <c r="X1821" s="336"/>
      <c r="Y1821" s="336"/>
      <c r="Z1821" s="336" t="s">
        <v>3368</v>
      </c>
      <c r="AA1821" s="63" t="s">
        <v>3378</v>
      </c>
      <c r="AB1821" s="63" t="s">
        <v>1171</v>
      </c>
      <c r="AC1821" s="336"/>
    </row>
    <row r="1822" spans="1:29" ht="60" customHeight="1">
      <c r="A1822" s="336">
        <v>1878</v>
      </c>
      <c r="B1822" s="349">
        <v>45378</v>
      </c>
      <c r="C1822" s="568">
        <v>0.52083333333333337</v>
      </c>
      <c r="D1822" s="375" t="s">
        <v>3849</v>
      </c>
      <c r="E1822" s="355" t="s">
        <v>5189</v>
      </c>
      <c r="F1822" s="336">
        <v>4</v>
      </c>
      <c r="G1822" s="63" t="s">
        <v>2753</v>
      </c>
      <c r="H1822" s="383">
        <v>45390</v>
      </c>
      <c r="I1822" s="65" t="s">
        <v>228</v>
      </c>
      <c r="J1822" s="65" t="s">
        <v>33</v>
      </c>
      <c r="K1822" s="336">
        <f>IFERROR(VLOOKUP(J1822,Jueces!$A$1:$B$11,2,FALSE),"")</f>
        <v>4</v>
      </c>
      <c r="L1822" s="63" t="s">
        <v>4791</v>
      </c>
      <c r="M1822" s="63" t="s">
        <v>1866</v>
      </c>
      <c r="N1822" s="63" t="s">
        <v>7112</v>
      </c>
      <c r="O1822" s="63" t="str">
        <f ca="1">IF(H1822&lt;&gt;"",IF(H1822&lt;=TODAY(),"SI","NO"),"LIMBO")</f>
        <v>SI</v>
      </c>
      <c r="P1822" s="63" t="str">
        <f>IF($P$1=H1822,"DIASOL", "DIANOSOL")</f>
        <v>DIANOSOL</v>
      </c>
      <c r="Q1822" s="63" t="s">
        <v>151</v>
      </c>
      <c r="R1822" s="63" t="str">
        <f>VLOOKUP($Q1822,Resultados!$A$1:$B$49,2,FALSE)</f>
        <v>Prisión Preventiva</v>
      </c>
      <c r="S1822" s="63"/>
      <c r="T1822" s="72" t="str">
        <f>IF(G1822=$J$1,"SI","NO")</f>
        <v>NO</v>
      </c>
      <c r="U1822" s="72"/>
      <c r="V1822" s="7" t="str">
        <f ca="1">IF(color_Celda(E1822)=12106214,"ROSA",IF(color_Celda(E1822)=65535,"AMARILLO",IF(color_Celda(E1822)=5296274,"VERDE",IF(color_Celda(E1822)=16777215,"BLANCO","NO SE"))))</f>
        <v>ROSA</v>
      </c>
      <c r="W1822" s="336"/>
      <c r="X1822" s="336"/>
      <c r="Y1822" s="336"/>
      <c r="Z1822" s="336" t="s">
        <v>748</v>
      </c>
      <c r="AA1822" s="63" t="s">
        <v>1167</v>
      </c>
      <c r="AB1822" s="63" t="s">
        <v>1169</v>
      </c>
      <c r="AC1822" s="336" t="s">
        <v>1792</v>
      </c>
    </row>
    <row r="1823" spans="1:29" ht="60" customHeight="1">
      <c r="A1823" s="336">
        <v>1823</v>
      </c>
      <c r="B1823" s="349">
        <v>45373</v>
      </c>
      <c r="C1823" s="63" t="s">
        <v>1687</v>
      </c>
      <c r="D1823" s="63" t="s">
        <v>6772</v>
      </c>
      <c r="E1823" s="64" t="s">
        <v>6960</v>
      </c>
      <c r="F1823" s="336">
        <v>7</v>
      </c>
      <c r="G1823" s="336" t="s">
        <v>29</v>
      </c>
      <c r="H1823" s="349">
        <v>45390</v>
      </c>
      <c r="I1823" s="65" t="s">
        <v>2011</v>
      </c>
      <c r="J1823" s="349" t="s">
        <v>1216</v>
      </c>
      <c r="K1823" s="63" t="s">
        <v>1982</v>
      </c>
      <c r="L1823" s="63" t="s">
        <v>805</v>
      </c>
      <c r="M1823" s="63" t="s">
        <v>2201</v>
      </c>
      <c r="N1823" s="63" t="s">
        <v>3621</v>
      </c>
      <c r="O1823" s="63" t="str">
        <f ca="1">IF(H1823&lt;&gt;"",IF(H1823&lt;=TODAY(),"SI","NO"),"LIMBO")</f>
        <v>SI</v>
      </c>
      <c r="P1823" s="63" t="str">
        <f>IF($P$1=H1823,"DIASOL", "DIANOSOL")</f>
        <v>DIANOSOL</v>
      </c>
      <c r="Q1823" s="63" t="s">
        <v>902</v>
      </c>
      <c r="R1823" s="63" t="str">
        <f>VLOOKUP($Q1823,Resultados!$A$1:$B$49,2,FALSE)</f>
        <v>Juicio Abreviado</v>
      </c>
      <c r="S1823" s="63"/>
      <c r="T1823" s="72" t="str">
        <f>IF(G1823=$J$1,"SI","NO")</f>
        <v>NO</v>
      </c>
      <c r="U1823" s="72"/>
      <c r="V1823" s="7" t="str">
        <f ca="1">IF(color_Celda(E1823)=12106214,"ROSA",IF(color_Celda(E1823)=65535,"AMARILLO",IF(color_Celda(E1823)=5296274,"VERDE",IF(color_Celda(E1823)=16777215,"BLANCO","NO SE"))))</f>
        <v>ROSA</v>
      </c>
      <c r="W1823" s="336"/>
      <c r="X1823" s="336"/>
      <c r="Y1823" s="336"/>
      <c r="Z1823" s="336" t="s">
        <v>770</v>
      </c>
      <c r="AA1823" s="63" t="s">
        <v>2828</v>
      </c>
      <c r="AB1823" s="63" t="s">
        <v>3258</v>
      </c>
      <c r="AC1823" s="336"/>
    </row>
    <row r="1824" spans="1:29" ht="60" customHeight="1">
      <c r="A1824" s="336">
        <v>1788</v>
      </c>
      <c r="B1824" s="349">
        <v>45369</v>
      </c>
      <c r="C1824" s="568">
        <v>0.47569444444444442</v>
      </c>
      <c r="D1824" s="63" t="s">
        <v>6551</v>
      </c>
      <c r="E1824" s="64" t="s">
        <v>6552</v>
      </c>
      <c r="F1824" s="336">
        <v>5</v>
      </c>
      <c r="G1824" s="336" t="s">
        <v>2815</v>
      </c>
      <c r="H1824" s="349">
        <v>45391</v>
      </c>
      <c r="I1824" s="65" t="s">
        <v>73</v>
      </c>
      <c r="J1824" s="349" t="s">
        <v>4746</v>
      </c>
      <c r="K1824" s="63" t="s">
        <v>4118</v>
      </c>
      <c r="L1824" s="63" t="s">
        <v>1693</v>
      </c>
      <c r="M1824" s="339" t="s">
        <v>5807</v>
      </c>
      <c r="N1824" s="205" t="s">
        <v>7115</v>
      </c>
      <c r="O1824" s="78" t="str">
        <f ca="1">IF(H1824&lt;&gt;"",IF(H1824&lt;=TODAY(),"SI","NO"),"LIMBO")</f>
        <v>SI</v>
      </c>
      <c r="P1824" s="78" t="str">
        <f>IF($P$1=H1824,"DIASOL", "DIANOSOL")</f>
        <v>DIANOSOL</v>
      </c>
      <c r="Q1824" s="63" t="s">
        <v>903</v>
      </c>
      <c r="R1824" s="63" t="str">
        <f>VLOOKUP($Q1824,Resultados!$A$1:$B$49,2,FALSE)</f>
        <v>Juicio Abreviado</v>
      </c>
      <c r="S1824" s="63"/>
      <c r="T1824" s="81" t="str">
        <f>IF(G1824=$J$1,"SI","NO")</f>
        <v>NO</v>
      </c>
      <c r="U1824" s="81"/>
      <c r="V1824" s="7" t="str">
        <f ca="1">IF(color_Celda(E1824)=12106214,"ROSA",IF(color_Celda(E1824)=65535,"AMARILLO",IF(color_Celda(E1824)=5296274,"VERDE",IF(color_Celda(E1824)=16777215,"BLANCO","NO SE"))))</f>
        <v>ROSA</v>
      </c>
      <c r="W1824" s="336"/>
      <c r="X1824" s="336"/>
      <c r="Y1824" s="336"/>
      <c r="Z1824" s="336" t="s">
        <v>3368</v>
      </c>
      <c r="AA1824" s="63" t="s">
        <v>3379</v>
      </c>
      <c r="AB1824" s="63" t="s">
        <v>1171</v>
      </c>
      <c r="AC1824" s="336"/>
    </row>
    <row r="1825" spans="1:38" ht="60" customHeight="1">
      <c r="A1825" s="336">
        <v>1798</v>
      </c>
      <c r="B1825" s="349">
        <v>45370</v>
      </c>
      <c r="C1825" s="568">
        <v>0.4694444444444445</v>
      </c>
      <c r="D1825" s="336" t="s">
        <v>5799</v>
      </c>
      <c r="E1825" s="64" t="s">
        <v>6584</v>
      </c>
      <c r="F1825" s="336">
        <v>3</v>
      </c>
      <c r="G1825" s="336" t="s">
        <v>568</v>
      </c>
      <c r="H1825" s="383">
        <v>45391</v>
      </c>
      <c r="I1825" s="65" t="s">
        <v>73</v>
      </c>
      <c r="J1825" s="349" t="s">
        <v>33</v>
      </c>
      <c r="K1825" s="336">
        <f>IFERROR(VLOOKUP(J1825,Jueces!$A$1:$B$11,2,FALSE),"")</f>
        <v>4</v>
      </c>
      <c r="L1825" s="63" t="s">
        <v>805</v>
      </c>
      <c r="M1825" s="63" t="s">
        <v>783</v>
      </c>
      <c r="N1825" s="63" t="s">
        <v>7120</v>
      </c>
      <c r="O1825" s="78" t="str">
        <f ca="1">IF(H1825&lt;&gt;"",IF(H1825&lt;=TODAY(),"SI","NO"),"LIMBO")</f>
        <v>SI</v>
      </c>
      <c r="P1825" s="78" t="str">
        <f>IF($P$1=H1825,"DIASOL", "DIANOSOL")</f>
        <v>DIANOSOL</v>
      </c>
      <c r="Q1825" s="63" t="s">
        <v>151</v>
      </c>
      <c r="R1825" s="63" t="s">
        <v>151</v>
      </c>
      <c r="S1825" s="63"/>
      <c r="T1825" s="81" t="str">
        <f>IF(G1825=$J$1,"SI","NO")</f>
        <v>NO</v>
      </c>
      <c r="U1825" s="81"/>
      <c r="V1825" s="7" t="str">
        <f ca="1">IF(color_Celda(E1825)=12106214,"ROSA",IF(color_Celda(E1825)=65535,"AMARILLO",IF(color_Celda(E1825)=5296274,"VERDE",IF(color_Celda(E1825)=16777215,"BLANCO","NO SE"))))</f>
        <v>ROSA</v>
      </c>
      <c r="W1825" s="336"/>
      <c r="X1825" s="336"/>
      <c r="Y1825" s="336"/>
      <c r="Z1825" s="336" t="s">
        <v>3368</v>
      </c>
      <c r="AA1825" s="63" t="s">
        <v>3379</v>
      </c>
      <c r="AB1825" s="63" t="s">
        <v>1169</v>
      </c>
      <c r="AC1825" s="336"/>
    </row>
    <row r="1826" spans="1:38" ht="60" customHeight="1">
      <c r="A1826" s="336">
        <v>1813</v>
      </c>
      <c r="B1826" s="349">
        <v>45372</v>
      </c>
      <c r="C1826" s="568">
        <v>0.33333333333333331</v>
      </c>
      <c r="D1826" s="63" t="s">
        <v>6739</v>
      </c>
      <c r="E1826" s="64" t="s">
        <v>6813</v>
      </c>
      <c r="F1826" s="336">
        <v>5</v>
      </c>
      <c r="G1826" s="336" t="s">
        <v>1435</v>
      </c>
      <c r="H1826" s="349">
        <v>45391</v>
      </c>
      <c r="I1826" s="65" t="s">
        <v>73</v>
      </c>
      <c r="J1826" s="349" t="s">
        <v>35</v>
      </c>
      <c r="K1826" s="336">
        <f>IFERROR(VLOOKUP(J1826,Jueces!$A$1:$B$11,2,FALSE),"")</f>
        <v>3</v>
      </c>
      <c r="L1826" s="63" t="s">
        <v>806</v>
      </c>
      <c r="M1826" s="63" t="s">
        <v>6814</v>
      </c>
      <c r="N1826" s="63" t="s">
        <v>7117</v>
      </c>
      <c r="O1826" s="78" t="str">
        <f ca="1">IF(H1826&lt;&gt;"",IF(H1826&lt;=TODAY(),"SI","NO"),"LIMBO")</f>
        <v>SI</v>
      </c>
      <c r="P1826" s="78" t="str">
        <f>IF($P$1=H1826,"DIASOL", "DIANOSOL")</f>
        <v>DIANOSOL</v>
      </c>
      <c r="Q1826" s="63" t="s">
        <v>897</v>
      </c>
      <c r="R1826" s="63" t="str">
        <f>VLOOKUP($Q1826,Resultados!$A$1:$B$49,2,FALSE)</f>
        <v>Libertad</v>
      </c>
      <c r="S1826" s="63"/>
      <c r="T1826" s="81" t="str">
        <f>IF(G1826=$J$1,"SI","NO")</f>
        <v>SI</v>
      </c>
      <c r="U1826" s="81"/>
      <c r="V1826" s="7" t="str">
        <f ca="1">IF(color_Celda(E1826)=12106214,"ROSA",IF(color_Celda(E1826)=65535,"AMARILLO",IF(color_Celda(E1826)=5296274,"VERDE",IF(color_Celda(E1826)=16777215,"BLANCO","NO SE"))))</f>
        <v>ROSA</v>
      </c>
      <c r="W1826" s="336"/>
      <c r="X1826" s="336"/>
      <c r="Y1826" s="336"/>
      <c r="Z1826" s="336" t="s">
        <v>748</v>
      </c>
      <c r="AA1826" s="63" t="s">
        <v>3378</v>
      </c>
      <c r="AB1826" s="63" t="s">
        <v>5776</v>
      </c>
      <c r="AC1826" s="336"/>
    </row>
    <row r="1827" spans="1:38" ht="60" customHeight="1">
      <c r="A1827" s="336">
        <v>1818</v>
      </c>
      <c r="B1827" s="349">
        <v>45372</v>
      </c>
      <c r="C1827" s="336" t="s">
        <v>1248</v>
      </c>
      <c r="D1827" s="336" t="s">
        <v>6749</v>
      </c>
      <c r="E1827" s="64" t="s">
        <v>6750</v>
      </c>
      <c r="F1827" s="336">
        <v>4</v>
      </c>
      <c r="G1827" s="336" t="s">
        <v>2766</v>
      </c>
      <c r="H1827" s="349">
        <v>45391</v>
      </c>
      <c r="I1827" s="65" t="s">
        <v>73</v>
      </c>
      <c r="J1827" s="349" t="s">
        <v>4932</v>
      </c>
      <c r="K1827" s="63" t="s">
        <v>1916</v>
      </c>
      <c r="L1827" s="63" t="s">
        <v>4779</v>
      </c>
      <c r="M1827" s="63" t="s">
        <v>4460</v>
      </c>
      <c r="N1827" s="118" t="s">
        <v>7114</v>
      </c>
      <c r="O1827" s="78" t="str">
        <f ca="1">IF(H1827&lt;&gt;"",IF(H1827&lt;=TODAY(),"SI","NO"),"LIMBO")</f>
        <v>SI</v>
      </c>
      <c r="P1827" s="78" t="str">
        <f>IF($P$1=H1827,"DIASOL", "DIANOSOL")</f>
        <v>DIANOSOL</v>
      </c>
      <c r="Q1827" s="63" t="s">
        <v>910</v>
      </c>
      <c r="R1827" s="63" t="str">
        <f>VLOOKUP($Q1827,Resultados!$A$1:$B$49,2,FALSE)</f>
        <v>Suspendida</v>
      </c>
      <c r="S1827" s="63"/>
      <c r="T1827" s="81" t="str">
        <f>IF(G1827=$J$1,"SI","NO")</f>
        <v>NO</v>
      </c>
      <c r="U1827" s="81"/>
      <c r="V1827" s="7" t="str">
        <f ca="1">IF(color_Celda(E1827)=12106214,"ROSA",IF(color_Celda(E1827)=65535,"AMARILLO",IF(color_Celda(E1827)=5296274,"VERDE",IF(color_Celda(E1827)=16777215,"BLANCO","NO SE"))))</f>
        <v>ROSA</v>
      </c>
      <c r="W1827" s="336"/>
      <c r="X1827" s="336"/>
      <c r="Y1827" s="336"/>
      <c r="Z1827" s="336" t="s">
        <v>748</v>
      </c>
      <c r="AA1827" s="63" t="s">
        <v>3378</v>
      </c>
      <c r="AB1827" s="63" t="s">
        <v>3258</v>
      </c>
      <c r="AC1827" s="336"/>
    </row>
    <row r="1828" spans="1:38" ht="60" customHeight="1">
      <c r="A1828" s="336">
        <v>1840</v>
      </c>
      <c r="B1828" s="349">
        <v>45376</v>
      </c>
      <c r="C1828" s="568">
        <v>0.33333333333333331</v>
      </c>
      <c r="D1828" s="63" t="s">
        <v>6819</v>
      </c>
      <c r="E1828" s="64" t="s">
        <v>6820</v>
      </c>
      <c r="F1828" s="336">
        <v>6</v>
      </c>
      <c r="G1828" s="336" t="s">
        <v>283</v>
      </c>
      <c r="H1828" s="349">
        <v>45391</v>
      </c>
      <c r="I1828" s="65" t="s">
        <v>73</v>
      </c>
      <c r="J1828" s="349" t="s">
        <v>4931</v>
      </c>
      <c r="K1828" s="63" t="s">
        <v>1341</v>
      </c>
      <c r="L1828" s="63" t="s">
        <v>4789</v>
      </c>
      <c r="M1828" s="63" t="s">
        <v>2107</v>
      </c>
      <c r="N1828" s="63" t="s">
        <v>7121</v>
      </c>
      <c r="O1828" s="78" t="str">
        <f ca="1">IF(H1828&lt;&gt;"",IF(H1828&lt;=TODAY(),"SI","NO"),"LIMBO")</f>
        <v>SI</v>
      </c>
      <c r="P1828" s="78" t="str">
        <f>IF($P$1=H1828,"DIASOL", "DIANOSOL")</f>
        <v>DIANOSOL</v>
      </c>
      <c r="Q1828" s="63" t="s">
        <v>902</v>
      </c>
      <c r="R1828" s="63" t="str">
        <f>VLOOKUP($Q1828,Resultados!$A$1:$B$49,2,FALSE)</f>
        <v>Juicio Abreviado</v>
      </c>
      <c r="S1828" s="63"/>
      <c r="T1828" s="81" t="str">
        <f>IF(G1828=$J$1,"SI","NO")</f>
        <v>NO</v>
      </c>
      <c r="U1828" s="81"/>
      <c r="V1828" s="7" t="str">
        <f ca="1">IF(color_Celda(E1828)=12106214,"ROSA",IF(color_Celda(E1828)=65535,"AMARILLO",IF(color_Celda(E1828)=5296274,"VERDE",IF(color_Celda(E1828)=16777215,"BLANCO","NO SE"))))</f>
        <v>ROSA</v>
      </c>
      <c r="W1828" s="336"/>
      <c r="X1828" s="336"/>
      <c r="Y1828" s="336"/>
      <c r="Z1828" s="336" t="s">
        <v>770</v>
      </c>
      <c r="AA1828" s="63" t="s">
        <v>2869</v>
      </c>
      <c r="AB1828" s="63" t="s">
        <v>1171</v>
      </c>
      <c r="AC1828" s="336"/>
    </row>
    <row r="1829" spans="1:38" ht="60" customHeight="1">
      <c r="A1829" s="336">
        <v>1831</v>
      </c>
      <c r="B1829" s="349">
        <v>45373</v>
      </c>
      <c r="C1829" s="63" t="s">
        <v>73</v>
      </c>
      <c r="D1829" s="63" t="s">
        <v>6779</v>
      </c>
      <c r="E1829" s="64" t="s">
        <v>6780</v>
      </c>
      <c r="F1829" s="336">
        <v>6</v>
      </c>
      <c r="G1829" s="336" t="s">
        <v>2753</v>
      </c>
      <c r="H1829" s="349">
        <v>45391</v>
      </c>
      <c r="I1829" s="65" t="s">
        <v>749</v>
      </c>
      <c r="J1829" s="349" t="s">
        <v>1221</v>
      </c>
      <c r="K1829" s="336">
        <f>IFERROR(VLOOKUP(J1829,Jueces!$A$1:$B$11,2,FALSE),"")</f>
        <v>6</v>
      </c>
      <c r="L1829" s="63" t="s">
        <v>4778</v>
      </c>
      <c r="M1829" s="63" t="s">
        <v>1956</v>
      </c>
      <c r="N1829" s="63" t="s">
        <v>6864</v>
      </c>
      <c r="O1829" s="78" t="str">
        <f ca="1">IF(H1829&lt;&gt;"",IF(H1829&lt;=TODAY(),"SI","NO"),"LIMBO")</f>
        <v>SI</v>
      </c>
      <c r="P1829" s="78" t="str">
        <f>IF($P$1=H1829,"DIASOL", "DIANOSOL")</f>
        <v>DIANOSOL</v>
      </c>
      <c r="Q1829" s="63" t="s">
        <v>151</v>
      </c>
      <c r="R1829" s="63" t="str">
        <f>VLOOKUP($Q1829,Resultados!$A$1:$B$49,2,FALSE)</f>
        <v>Prisión Preventiva</v>
      </c>
      <c r="S1829" s="63"/>
      <c r="T1829" s="81" t="str">
        <f>IF(G1829=$J$1,"SI","NO")</f>
        <v>NO</v>
      </c>
      <c r="U1829" s="81"/>
      <c r="V1829" s="7" t="str">
        <f ca="1">IF(color_Celda(E1829)=12106214,"ROSA",IF(color_Celda(E1829)=65535,"AMARILLO",IF(color_Celda(E1829)=5296274,"VERDE",IF(color_Celda(E1829)=16777215,"BLANCO","NO SE"))))</f>
        <v>ROSA</v>
      </c>
      <c r="W1829" s="336"/>
      <c r="X1829" s="336"/>
      <c r="Y1829" s="336"/>
      <c r="Z1829" s="336" t="s">
        <v>770</v>
      </c>
      <c r="AA1829" s="63" t="s">
        <v>1167</v>
      </c>
      <c r="AB1829" s="63" t="s">
        <v>1169</v>
      </c>
      <c r="AC1829" s="336"/>
    </row>
    <row r="1830" spans="1:38" ht="60" customHeight="1">
      <c r="A1830" s="336">
        <v>1852</v>
      </c>
      <c r="B1830" s="349">
        <v>45365</v>
      </c>
      <c r="C1830" s="568">
        <v>0.33333333333333331</v>
      </c>
      <c r="D1830" s="336" t="s">
        <v>6495</v>
      </c>
      <c r="E1830" s="355" t="s">
        <v>6496</v>
      </c>
      <c r="F1830" s="336">
        <v>5</v>
      </c>
      <c r="G1830" s="336" t="s">
        <v>3323</v>
      </c>
      <c r="H1830" s="383">
        <v>45391</v>
      </c>
      <c r="I1830" s="65" t="s">
        <v>76</v>
      </c>
      <c r="J1830" s="349" t="s">
        <v>1217</v>
      </c>
      <c r="K1830" s="63" t="s">
        <v>1916</v>
      </c>
      <c r="L1830" s="63" t="s">
        <v>569</v>
      </c>
      <c r="M1830" s="63" t="s">
        <v>6847</v>
      </c>
      <c r="N1830" s="63" t="s">
        <v>7116</v>
      </c>
      <c r="O1830" s="78" t="str">
        <f ca="1">IF(H1830&lt;&gt;"",IF(H1830&lt;=TODAY(),"SI","NO"),"LIMBO")</f>
        <v>SI</v>
      </c>
      <c r="P1830" s="78" t="str">
        <f>IF($P$1=H1830,"DIASOL", "DIANOSOL")</f>
        <v>DIANOSOL</v>
      </c>
      <c r="Q1830" s="63" t="s">
        <v>910</v>
      </c>
      <c r="R1830" s="63" t="str">
        <f>VLOOKUP($Q1830,Resultados!$A$1:$B$49,2,FALSE)</f>
        <v>Suspendida</v>
      </c>
      <c r="S1830" s="63"/>
      <c r="T1830" s="81" t="str">
        <f>IF(G1830=$J$1,"SI","NO")</f>
        <v>NO</v>
      </c>
      <c r="U1830" s="81"/>
      <c r="V1830" s="7" t="str">
        <f ca="1">IF(color_Celda(E1830)=12106214,"ROSA",IF(color_Celda(E1830)=65535,"AMARILLO",IF(color_Celda(E1830)=5296274,"VERDE",IF(color_Celda(E1830)=16777215,"BLANCO","NO SE"))))</f>
        <v>ROSA</v>
      </c>
      <c r="W1830" s="336"/>
      <c r="X1830" s="336"/>
      <c r="Y1830" s="336"/>
      <c r="Z1830" s="336" t="s">
        <v>748</v>
      </c>
      <c r="AA1830" s="63"/>
      <c r="AB1830" s="63" t="s">
        <v>3258</v>
      </c>
      <c r="AC1830" s="336"/>
    </row>
    <row r="1831" spans="1:38" ht="60" customHeight="1">
      <c r="A1831" s="336">
        <v>1885</v>
      </c>
      <c r="B1831" s="349">
        <v>45386</v>
      </c>
      <c r="C1831" s="568">
        <v>0.39513888888888887</v>
      </c>
      <c r="D1831" s="375" t="s">
        <v>3375</v>
      </c>
      <c r="E1831" s="355" t="s">
        <v>6927</v>
      </c>
      <c r="F1831" s="336">
        <v>1</v>
      </c>
      <c r="G1831" s="336" t="s">
        <v>2751</v>
      </c>
      <c r="H1831" s="383">
        <v>45391</v>
      </c>
      <c r="I1831" s="349" t="s">
        <v>76</v>
      </c>
      <c r="J1831" s="349" t="s">
        <v>1216</v>
      </c>
      <c r="K1831" s="336">
        <f>IFERROR(VLOOKUP(J1831,Jueces!$A$1:$B$11,2,FALSE),"")</f>
        <v>1</v>
      </c>
      <c r="L1831" s="63" t="s">
        <v>809</v>
      </c>
      <c r="M1831" s="63" t="s">
        <v>712</v>
      </c>
      <c r="N1831" s="63" t="s">
        <v>7122</v>
      </c>
      <c r="O1831" s="167" t="str">
        <f ca="1">IF(H1831&lt;&gt;"",IF(H1831&lt;=TODAY(),"SI","NO"),"LIMBO")</f>
        <v>SI</v>
      </c>
      <c r="P1831" s="167" t="str">
        <f>IF($P$1=H1831,"DIASOL", "DIANOSOL")</f>
        <v>DIANOSOL</v>
      </c>
      <c r="Q1831" s="63" t="s">
        <v>902</v>
      </c>
      <c r="R1831" s="63" t="str">
        <f>VLOOKUP($Q1831,Resultados!$A$1:$B$49,2,FALSE)</f>
        <v>Juicio Abreviado</v>
      </c>
      <c r="S1831" s="63"/>
      <c r="T1831" s="414" t="str">
        <f>IF(G1831=$J$1,"SI","NO")</f>
        <v>NO</v>
      </c>
      <c r="U1831" s="414"/>
      <c r="V1831" s="7" t="str">
        <f ca="1">IF(color_Celda(E1831)=12106214,"ROSA",IF(color_Celda(E1831)=65535,"AMARILLO",IF(color_Celda(E1831)=5296274,"VERDE",IF(color_Celda(E1831)=16777215,"BLANCO","NO SE"))))</f>
        <v>ROSA</v>
      </c>
      <c r="W1831" s="336"/>
      <c r="X1831" s="336"/>
      <c r="Y1831" s="336"/>
      <c r="Z1831" s="336" t="s">
        <v>770</v>
      </c>
      <c r="AA1831" s="63" t="s">
        <v>1167</v>
      </c>
      <c r="AB1831" s="63" t="s">
        <v>1171</v>
      </c>
      <c r="AC1831" s="336" t="s">
        <v>1792</v>
      </c>
    </row>
    <row r="1832" spans="1:38" ht="60" customHeight="1">
      <c r="A1832" s="336">
        <v>1825</v>
      </c>
      <c r="B1832" s="349">
        <v>45373</v>
      </c>
      <c r="C1832" s="63" t="s">
        <v>750</v>
      </c>
      <c r="D1832" s="63" t="s">
        <v>6774</v>
      </c>
      <c r="E1832" s="64" t="s">
        <v>6794</v>
      </c>
      <c r="F1832" s="336">
        <v>7</v>
      </c>
      <c r="G1832" s="336" t="s">
        <v>1433</v>
      </c>
      <c r="H1832" s="349">
        <v>45391</v>
      </c>
      <c r="I1832" s="65" t="s">
        <v>547</v>
      </c>
      <c r="J1832" s="349" t="s">
        <v>31</v>
      </c>
      <c r="K1832" s="336">
        <f>IFERROR(VLOOKUP(J1832,Jueces!$A$1:$B$11,2,FALSE),"")</f>
        <v>2</v>
      </c>
      <c r="L1832" s="63" t="s">
        <v>4778</v>
      </c>
      <c r="M1832" s="63" t="s">
        <v>2201</v>
      </c>
      <c r="N1832" s="63" t="s">
        <v>577</v>
      </c>
      <c r="O1832" s="78" t="str">
        <f ca="1">IF(H1832&lt;&gt;"",IF(H1832&lt;=TODAY(),"SI","NO"),"LIMBO")</f>
        <v>SI</v>
      </c>
      <c r="P1832" s="78" t="str">
        <f>IF($P$1=H1832,"DIASOL", "DIANOSOL")</f>
        <v>DIANOSOL</v>
      </c>
      <c r="Q1832" s="63" t="s">
        <v>151</v>
      </c>
      <c r="R1832" s="63" t="str">
        <f>VLOOKUP($Q1832,Resultados!$A$1:$B$49,2,FALSE)</f>
        <v>Prisión Preventiva</v>
      </c>
      <c r="S1832" s="63"/>
      <c r="T1832" s="81" t="str">
        <f>IF(G1832=$J$1,"SI","NO")</f>
        <v>NO</v>
      </c>
      <c r="U1832" s="81"/>
      <c r="V1832" s="7" t="str">
        <f ca="1">IF(color_Celda(E1832)=12106214,"ROSA",IF(color_Celda(E1832)=65535,"AMARILLO",IF(color_Celda(E1832)=5296274,"VERDE",IF(color_Celda(E1832)=16777215,"BLANCO","NO SE"))))</f>
        <v>ROSA</v>
      </c>
      <c r="W1832" s="336"/>
      <c r="X1832" s="336"/>
      <c r="Y1832" s="336"/>
      <c r="Z1832" s="336" t="s">
        <v>748</v>
      </c>
      <c r="AA1832" s="63" t="s">
        <v>2828</v>
      </c>
      <c r="AB1832" s="63" t="s">
        <v>1169</v>
      </c>
      <c r="AC1832" s="336"/>
    </row>
    <row r="1833" spans="1:38" ht="60" customHeight="1">
      <c r="A1833" s="336">
        <v>1842</v>
      </c>
      <c r="B1833" s="349">
        <v>45376</v>
      </c>
      <c r="C1833" s="70" t="s">
        <v>3309</v>
      </c>
      <c r="D1833" s="336" t="s">
        <v>3813</v>
      </c>
      <c r="E1833" s="355" t="s">
        <v>3814</v>
      </c>
      <c r="F1833" s="336">
        <v>3</v>
      </c>
      <c r="G1833" s="336" t="s">
        <v>3324</v>
      </c>
      <c r="H1833" s="383">
        <v>45391</v>
      </c>
      <c r="I1833" s="65" t="s">
        <v>987</v>
      </c>
      <c r="J1833" s="349" t="s">
        <v>31</v>
      </c>
      <c r="K1833" s="63" t="s">
        <v>1512</v>
      </c>
      <c r="L1833" s="63" t="s">
        <v>805</v>
      </c>
      <c r="M1833" s="63" t="s">
        <v>695</v>
      </c>
      <c r="N1833" s="63" t="s">
        <v>7118</v>
      </c>
      <c r="O1833" s="78" t="str">
        <f ca="1">IF(H1833&lt;&gt;"",IF(H1833&lt;=TODAY(),"SI","NO"),"LIMBO")</f>
        <v>SI</v>
      </c>
      <c r="P1833" s="78" t="str">
        <f>IF($P$1=H1833,"DIASOL", "DIANOSOL")</f>
        <v>DIANOSOL</v>
      </c>
      <c r="Q1833" s="63" t="s">
        <v>151</v>
      </c>
      <c r="R1833" s="63" t="str">
        <f>VLOOKUP($Q1833,Resultados!$A$1:$B$49,2,FALSE)</f>
        <v>Prisión Preventiva</v>
      </c>
      <c r="S1833" s="63"/>
      <c r="T1833" s="81" t="str">
        <f>IF(G1833=$J$1,"SI","NO")</f>
        <v>NO</v>
      </c>
      <c r="U1833" s="81"/>
      <c r="V1833" s="7" t="str">
        <f ca="1">IF(color_Celda(E1833)=12106214,"ROSA",IF(color_Celda(E1833)=65535,"AMARILLO",IF(color_Celda(E1833)=5296274,"VERDE",IF(color_Celda(E1833)=16777215,"BLANCO","NO SE"))))</f>
        <v>ROSA</v>
      </c>
      <c r="W1833" s="336"/>
      <c r="X1833" s="336"/>
      <c r="Y1833" s="336"/>
      <c r="Z1833" s="336" t="s">
        <v>748</v>
      </c>
      <c r="AA1833" s="63" t="s">
        <v>2828</v>
      </c>
      <c r="AB1833" s="63" t="s">
        <v>3258</v>
      </c>
      <c r="AC1833" s="336"/>
    </row>
    <row r="1834" spans="1:38" ht="60" customHeight="1">
      <c r="A1834" s="336">
        <v>1834</v>
      </c>
      <c r="B1834" s="349">
        <v>45373</v>
      </c>
      <c r="C1834" s="63" t="s">
        <v>3316</v>
      </c>
      <c r="D1834" s="63" t="s">
        <v>6825</v>
      </c>
      <c r="E1834" s="64" t="s">
        <v>6788</v>
      </c>
      <c r="F1834" s="336">
        <v>6</v>
      </c>
      <c r="G1834" s="336" t="s">
        <v>3791</v>
      </c>
      <c r="H1834" s="349">
        <v>45391</v>
      </c>
      <c r="I1834" s="65" t="s">
        <v>228</v>
      </c>
      <c r="J1834" s="349" t="s">
        <v>33</v>
      </c>
      <c r="K1834" s="336">
        <f>IFERROR(VLOOKUP(J1834,Jueces!$A$1:$B$11,2,FALSE),"")</f>
        <v>4</v>
      </c>
      <c r="L1834" s="63" t="s">
        <v>806</v>
      </c>
      <c r="M1834" s="63" t="s">
        <v>2107</v>
      </c>
      <c r="N1834" s="63" t="s">
        <v>7119</v>
      </c>
      <c r="O1834" s="78" t="str">
        <f ca="1">IF(H1834&lt;&gt;"",IF(H1834&lt;=TODAY(),"SI","NO"),"LIMBO")</f>
        <v>SI</v>
      </c>
      <c r="P1834" s="78" t="str">
        <f>IF($P$1=H1834,"DIASOL", "DIANOSOL")</f>
        <v>DIANOSOL</v>
      </c>
      <c r="Q1834" s="63" t="s">
        <v>897</v>
      </c>
      <c r="R1834" s="63" t="str">
        <f>VLOOKUP($Q1834,Resultados!$A$1:$B$49,2,FALSE)</f>
        <v>Libertad</v>
      </c>
      <c r="S1834" s="63"/>
      <c r="T1834" s="81" t="str">
        <f>IF(G1834=$J$1,"SI","NO")</f>
        <v>NO</v>
      </c>
      <c r="U1834" s="81"/>
      <c r="V1834" s="7" t="str">
        <f ca="1">IF(color_Celda(E1834)=12106214,"ROSA",IF(color_Celda(E1834)=65535,"AMARILLO",IF(color_Celda(E1834)=5296274,"VERDE",IF(color_Celda(E1834)=16777215,"BLANCO","NO SE"))))</f>
        <v>ROSA</v>
      </c>
      <c r="W1834" s="336"/>
      <c r="X1834" s="336"/>
      <c r="Y1834" s="336"/>
      <c r="Z1834" s="336" t="s">
        <v>3368</v>
      </c>
      <c r="AA1834" s="63" t="s">
        <v>2869</v>
      </c>
      <c r="AB1834" s="63" t="s">
        <v>1171</v>
      </c>
      <c r="AC1834" s="336"/>
    </row>
    <row r="1835" spans="1:38" ht="60" customHeight="1">
      <c r="A1835" s="336">
        <v>1827</v>
      </c>
      <c r="B1835" s="349">
        <v>45373</v>
      </c>
      <c r="C1835" s="70" t="s">
        <v>73</v>
      </c>
      <c r="D1835" s="336" t="s">
        <v>4287</v>
      </c>
      <c r="E1835" s="355" t="s">
        <v>4288</v>
      </c>
      <c r="F1835" s="336">
        <v>7</v>
      </c>
      <c r="G1835" s="336" t="s">
        <v>5710</v>
      </c>
      <c r="H1835" s="383">
        <v>45392</v>
      </c>
      <c r="I1835" s="65" t="s">
        <v>73</v>
      </c>
      <c r="J1835" s="349" t="s">
        <v>1217</v>
      </c>
      <c r="K1835" s="336">
        <f>IFERROR(VLOOKUP(J1835,Jueces!$A$1:$B$11,2,FALSE),"")</f>
        <v>7</v>
      </c>
      <c r="L1835" s="63" t="s">
        <v>569</v>
      </c>
      <c r="M1835" s="63" t="s">
        <v>1408</v>
      </c>
      <c r="N1835" s="63" t="s">
        <v>7125</v>
      </c>
      <c r="O1835" s="78" t="str">
        <f ca="1">IF(H1835&lt;&gt;"",IF(H1835&lt;=TODAY(),"SI","NO"),"LIMBO")</f>
        <v>SI</v>
      </c>
      <c r="P1835" s="78" t="str">
        <f>IF($P$1=H1835,"DIASOL", "DIANOSOL")</f>
        <v>DIANOSOL</v>
      </c>
      <c r="Q1835" s="63" t="s">
        <v>151</v>
      </c>
      <c r="R1835" s="63" t="str">
        <f>VLOOKUP($Q1835,Resultados!$A$1:$B$49,2,FALSE)</f>
        <v>Prisión Preventiva</v>
      </c>
      <c r="S1835" s="63"/>
      <c r="T1835" s="81" t="str">
        <f>IF(G1835=$J$1,"SI","NO")</f>
        <v>NO</v>
      </c>
      <c r="U1835" s="81"/>
      <c r="V1835" s="7" t="str">
        <f ca="1">IF(color_Celda(E1835)=12106214,"ROSA",IF(color_Celda(E1835)=65535,"AMARILLO",IF(color_Celda(E1835)=5296274,"VERDE",IF(color_Celda(E1835)=16777215,"BLANCO","NO SE"))))</f>
        <v>ROSA</v>
      </c>
      <c r="W1835" s="336"/>
      <c r="X1835" s="336"/>
      <c r="Y1835" s="336"/>
      <c r="Z1835" s="63" t="s">
        <v>770</v>
      </c>
      <c r="AA1835" s="63"/>
      <c r="AB1835" s="63" t="s">
        <v>1170</v>
      </c>
      <c r="AC1835" s="336"/>
    </row>
    <row r="1836" spans="1:38" ht="60" customHeight="1">
      <c r="A1836" s="336">
        <v>1843</v>
      </c>
      <c r="B1836" s="349">
        <v>45376</v>
      </c>
      <c r="C1836" s="63" t="s">
        <v>4475</v>
      </c>
      <c r="D1836" s="63" t="s">
        <v>6832</v>
      </c>
      <c r="E1836" s="64" t="s">
        <v>6833</v>
      </c>
      <c r="F1836" s="336">
        <v>6</v>
      </c>
      <c r="G1836" s="336" t="s">
        <v>2815</v>
      </c>
      <c r="H1836" s="349">
        <v>45392</v>
      </c>
      <c r="I1836" s="65" t="s">
        <v>73</v>
      </c>
      <c r="J1836" s="349" t="s">
        <v>1221</v>
      </c>
      <c r="K1836" s="336">
        <v>6</v>
      </c>
      <c r="L1836" s="63" t="s">
        <v>4786</v>
      </c>
      <c r="M1836" s="63" t="s">
        <v>1956</v>
      </c>
      <c r="N1836" s="63" t="s">
        <v>2550</v>
      </c>
      <c r="O1836" s="78" t="str">
        <f ca="1">IF(H1836&lt;&gt;"",IF(H1836&lt;=TODAY(),"SI","NO"),"LIMBO")</f>
        <v>SI</v>
      </c>
      <c r="P1836" s="78" t="str">
        <f>IF($P$1=H1836,"DIASOL", "DIANOSOL")</f>
        <v>DIANOSOL</v>
      </c>
      <c r="Q1836" s="63" t="s">
        <v>897</v>
      </c>
      <c r="R1836" s="63" t="str">
        <f>VLOOKUP($Q1836,Resultados!$A$1:$B$49,2,FALSE)</f>
        <v>Libertad</v>
      </c>
      <c r="S1836" s="63"/>
      <c r="T1836" s="81" t="str">
        <f>IF(G1836=$J$1,"SI","NO")</f>
        <v>NO</v>
      </c>
      <c r="U1836" s="81"/>
      <c r="V1836" s="7" t="str">
        <f ca="1">IF(color_Celda(E1836)=12106214,"ROSA",IF(color_Celda(E1836)=65535,"AMARILLO",IF(color_Celda(E1836)=5296274,"VERDE",IF(color_Celda(E1836)=16777215,"BLANCO","NO SE"))))</f>
        <v>ROSA</v>
      </c>
      <c r="W1836" s="336"/>
      <c r="X1836" s="336"/>
      <c r="Y1836" s="336"/>
      <c r="Z1836" s="63" t="s">
        <v>748</v>
      </c>
      <c r="AA1836" s="63" t="s">
        <v>2869</v>
      </c>
      <c r="AB1836" s="63" t="s">
        <v>1169</v>
      </c>
      <c r="AC1836" s="336"/>
    </row>
    <row r="1837" spans="1:38" ht="60" customHeight="1">
      <c r="A1837" s="336">
        <v>1844</v>
      </c>
      <c r="B1837" s="349">
        <v>45377</v>
      </c>
      <c r="C1837" s="63" t="s">
        <v>679</v>
      </c>
      <c r="D1837" s="63" t="s">
        <v>6834</v>
      </c>
      <c r="E1837" s="64" t="s">
        <v>6835</v>
      </c>
      <c r="F1837" s="336">
        <v>7</v>
      </c>
      <c r="G1837" s="336" t="s">
        <v>1433</v>
      </c>
      <c r="H1837" s="349">
        <v>45392</v>
      </c>
      <c r="I1837" s="65" t="s">
        <v>73</v>
      </c>
      <c r="J1837" s="349" t="s">
        <v>31</v>
      </c>
      <c r="K1837" s="336">
        <v>2</v>
      </c>
      <c r="L1837" s="63" t="s">
        <v>805</v>
      </c>
      <c r="M1837" s="63" t="s">
        <v>1378</v>
      </c>
      <c r="N1837" s="63" t="s">
        <v>577</v>
      </c>
      <c r="O1837" s="78" t="str">
        <f ca="1">IF(H1837&lt;&gt;"",IF(H1837&lt;=TODAY(),"SI","NO"),"LIMBO")</f>
        <v>SI</v>
      </c>
      <c r="P1837" s="78" t="str">
        <f>IF($P$1=H1837,"DIASOL", "DIANOSOL")</f>
        <v>DIANOSOL</v>
      </c>
      <c r="Q1837" s="63" t="s">
        <v>151</v>
      </c>
      <c r="R1837" s="63" t="str">
        <f>VLOOKUP($Q1837,Resultados!$A$1:$B$49,2,FALSE)</f>
        <v>Prisión Preventiva</v>
      </c>
      <c r="S1837" s="63"/>
      <c r="T1837" s="81" t="str">
        <f>IF(G1837=$J$1,"SI","NO")</f>
        <v>NO</v>
      </c>
      <c r="U1837" s="81"/>
      <c r="V1837" s="7" t="str">
        <f ca="1">IF(color_Celda(E1837)=12106214,"ROSA",IF(color_Celda(E1837)=65535,"AMARILLO",IF(color_Celda(E1837)=5296274,"VERDE",IF(color_Celda(E1837)=16777215,"BLANCO","NO SE"))))</f>
        <v>ROSA</v>
      </c>
      <c r="W1837" s="336"/>
      <c r="X1837" s="336"/>
      <c r="Y1837" s="336"/>
      <c r="Z1837" s="63" t="s">
        <v>3368</v>
      </c>
      <c r="AA1837" s="63" t="s">
        <v>2828</v>
      </c>
      <c r="AB1837" s="63" t="s">
        <v>5776</v>
      </c>
      <c r="AC1837" s="336"/>
    </row>
    <row r="1838" spans="1:38" ht="60" customHeight="1">
      <c r="A1838" s="328">
        <v>1845</v>
      </c>
      <c r="B1838" s="376">
        <v>45377</v>
      </c>
      <c r="C1838" s="7" t="s">
        <v>1774</v>
      </c>
      <c r="D1838" s="7" t="s">
        <v>6836</v>
      </c>
      <c r="E1838" s="40" t="s">
        <v>6837</v>
      </c>
      <c r="F1838" s="328">
        <v>6</v>
      </c>
      <c r="G1838" s="328" t="s">
        <v>568</v>
      </c>
      <c r="H1838" s="376">
        <v>45392</v>
      </c>
      <c r="I1838" s="19" t="s">
        <v>73</v>
      </c>
      <c r="J1838" s="376" t="s">
        <v>33</v>
      </c>
      <c r="K1838" s="328">
        <f>IFERROR(VLOOKUP(J1838,Jueces!$A$1:$B$11,2,FALSE),"")</f>
        <v>4</v>
      </c>
      <c r="L1838" s="7" t="s">
        <v>806</v>
      </c>
      <c r="M1838" s="7" t="s">
        <v>2107</v>
      </c>
      <c r="N1838" s="7" t="s">
        <v>7126</v>
      </c>
      <c r="O1838" s="76" t="str">
        <f ca="1">IF(H1838&lt;&gt;"",IF(H1838&lt;=TODAY(),"SI","NO"),"LIMBO")</f>
        <v>SI</v>
      </c>
      <c r="P1838" s="76" t="str">
        <f>IF($P$1=H1838,"DIASOL", "DIANOSOL")</f>
        <v>DIANOSOL</v>
      </c>
      <c r="Q1838" s="7" t="s">
        <v>902</v>
      </c>
      <c r="R1838" s="7" t="str">
        <f>VLOOKUP($Q1838,Resultados!$A$1:$B$49,2,FALSE)</f>
        <v>Juicio Abreviado</v>
      </c>
      <c r="S1838" s="7"/>
      <c r="T1838" s="342" t="str">
        <f>IF(G1838=$J$1,"SI","NO")</f>
        <v>NO</v>
      </c>
      <c r="U1838" s="342"/>
      <c r="V1838" s="7" t="str">
        <f ca="1">IF(color_Celda(E1838)=12106214,"ROSA",IF(color_Celda(E1838)=65535,"AMARILLO",IF(color_Celda(E1838)=5296274,"VERDE",IF(color_Celda(E1838)=16777215,"BLANCO","NO SE"))))</f>
        <v>ROSA</v>
      </c>
      <c r="W1838" s="328"/>
      <c r="X1838" s="328"/>
      <c r="Y1838" s="328"/>
      <c r="Z1838" s="7" t="s">
        <v>770</v>
      </c>
      <c r="AA1838" s="7" t="s">
        <v>3379</v>
      </c>
      <c r="AB1838" s="7" t="s">
        <v>1171</v>
      </c>
      <c r="AC1838" s="328"/>
    </row>
    <row r="1839" spans="1:38" customFormat="1" ht="60" customHeight="1">
      <c r="A1839" s="336">
        <v>1851</v>
      </c>
      <c r="B1839" s="349">
        <v>45377</v>
      </c>
      <c r="C1839" s="63" t="s">
        <v>1130</v>
      </c>
      <c r="D1839" s="63" t="s">
        <v>6843</v>
      </c>
      <c r="E1839" s="64" t="s">
        <v>6844</v>
      </c>
      <c r="F1839" s="336">
        <v>5</v>
      </c>
      <c r="G1839" s="336" t="s">
        <v>29</v>
      </c>
      <c r="H1839" s="349">
        <v>45392</v>
      </c>
      <c r="I1839" s="65" t="s">
        <v>73</v>
      </c>
      <c r="J1839" s="349" t="s">
        <v>35</v>
      </c>
      <c r="K1839" s="336">
        <v>3</v>
      </c>
      <c r="L1839" s="63" t="s">
        <v>2077</v>
      </c>
      <c r="M1839" s="63" t="s">
        <v>6845</v>
      </c>
      <c r="N1839" s="63" t="s">
        <v>7123</v>
      </c>
      <c r="O1839" s="380" t="str">
        <f ca="1">IF(H1839&lt;&gt;"",IF(H1839&lt;=TODAY(),"SI","NO"),"LIMBO")</f>
        <v>SI</v>
      </c>
      <c r="P1839" s="380" t="str">
        <f>IF($P$1=H1839,"DIASOL", "DIANOSOL")</f>
        <v>DIANOSOL</v>
      </c>
      <c r="Q1839" s="63" t="s">
        <v>911</v>
      </c>
      <c r="R1839" s="63" t="str">
        <f>VLOOKUP($Q1839,Resultados!$A$1:$B$49,2,FALSE)</f>
        <v>Prision domiciliaria</v>
      </c>
      <c r="S1839" s="63"/>
      <c r="T1839" s="81" t="str">
        <f>IF(G1839=$J$1,"SI","NO")</f>
        <v>NO</v>
      </c>
      <c r="U1839" s="81"/>
      <c r="V1839" s="7" t="str">
        <f ca="1">IF(color_Celda(E1839)=12106214,"ROSA",IF(color_Celda(E1839)=65535,"AMARILLO",IF(color_Celda(E1839)=5296274,"VERDE",IF(color_Celda(E1839)=16777215,"BLANCO","NO SE"))))</f>
        <v>ROSA</v>
      </c>
      <c r="W1839" s="336"/>
      <c r="X1839" s="336"/>
      <c r="Y1839" s="384"/>
      <c r="Z1839" s="63" t="s">
        <v>3368</v>
      </c>
      <c r="AA1839" s="63" t="s">
        <v>2828</v>
      </c>
      <c r="AB1839" s="63" t="s">
        <v>3258</v>
      </c>
      <c r="AC1839" s="336"/>
      <c r="AD1839" s="75"/>
      <c r="AE1839" s="563"/>
      <c r="AF1839" s="85"/>
      <c r="AG1839" s="85"/>
      <c r="AH1839" s="85"/>
      <c r="AI1839" s="85"/>
      <c r="AJ1839" s="564" t="s">
        <v>6829</v>
      </c>
      <c r="AK1839" s="565"/>
      <c r="AL1839" s="566" t="s">
        <v>6830</v>
      </c>
    </row>
    <row r="1840" spans="1:38" ht="60" customHeight="1">
      <c r="A1840" s="336">
        <v>1864</v>
      </c>
      <c r="B1840" s="349">
        <v>45378</v>
      </c>
      <c r="C1840" s="568" t="s">
        <v>3437</v>
      </c>
      <c r="D1840" s="336" t="s">
        <v>6883</v>
      </c>
      <c r="E1840" s="355" t="s">
        <v>6910</v>
      </c>
      <c r="F1840" s="336">
        <v>6</v>
      </c>
      <c r="G1840" s="336" t="s">
        <v>283</v>
      </c>
      <c r="H1840" s="349">
        <v>45392</v>
      </c>
      <c r="I1840" s="65" t="s">
        <v>73</v>
      </c>
      <c r="J1840" s="349" t="s">
        <v>4746</v>
      </c>
      <c r="K1840" s="63" t="s">
        <v>1916</v>
      </c>
      <c r="L1840" s="63" t="s">
        <v>4778</v>
      </c>
      <c r="M1840" s="339" t="s">
        <v>6905</v>
      </c>
      <c r="N1840" s="63" t="s">
        <v>7124</v>
      </c>
      <c r="O1840" s="78" t="str">
        <f ca="1">IF(H1840&lt;&gt;"",IF(H1840&lt;=TODAY(),"SI","NO"),"LIMBO")</f>
        <v>SI</v>
      </c>
      <c r="P1840" s="78" t="str">
        <f>IF($P$1=H1840,"DIASOL", "DIANOSOL")</f>
        <v>DIANOSOL</v>
      </c>
      <c r="Q1840" s="63" t="s">
        <v>903</v>
      </c>
      <c r="R1840" s="63" t="str">
        <f>VLOOKUP($Q1840,Resultados!$A$1:$B$49,2,FALSE)</f>
        <v>Juicio Abreviado</v>
      </c>
      <c r="S1840" s="63"/>
      <c r="T1840" s="81" t="str">
        <f>IF(G1840=$J$1,"SI","NO")</f>
        <v>NO</v>
      </c>
      <c r="U1840" s="81"/>
      <c r="V1840" s="7" t="str">
        <f ca="1">IF(color_Celda(E1840)=12106214,"ROSA",IF(color_Celda(E1840)=65535,"AMARILLO",IF(color_Celda(E1840)=5296274,"VERDE",IF(color_Celda(E1840)=16777215,"BLANCO","NO SE"))))</f>
        <v>ROSA</v>
      </c>
      <c r="W1840" s="336"/>
      <c r="X1840" s="336"/>
      <c r="Y1840" s="336"/>
      <c r="Z1840" s="63" t="s">
        <v>748</v>
      </c>
      <c r="AA1840" s="63" t="s">
        <v>3378</v>
      </c>
      <c r="AB1840" s="63" t="s">
        <v>1170</v>
      </c>
      <c r="AC1840" s="336"/>
    </row>
    <row r="1841" spans="1:29" ht="60" customHeight="1">
      <c r="A1841" s="336">
        <v>1840</v>
      </c>
      <c r="B1841" s="349">
        <v>45376</v>
      </c>
      <c r="C1841" s="63" t="s">
        <v>1797</v>
      </c>
      <c r="D1841" s="325" t="s">
        <v>6827</v>
      </c>
      <c r="E1841" s="64" t="s">
        <v>6828</v>
      </c>
      <c r="F1841" s="336">
        <v>5</v>
      </c>
      <c r="G1841" s="336" t="s">
        <v>1435</v>
      </c>
      <c r="H1841" s="349">
        <v>45392</v>
      </c>
      <c r="I1841" s="65" t="s">
        <v>76</v>
      </c>
      <c r="J1841" s="349" t="s">
        <v>1221</v>
      </c>
      <c r="K1841" s="336">
        <f>IFERROR(VLOOKUP(J1841,Jueces!$A$1:$B$11,2,FALSE),"")</f>
        <v>6</v>
      </c>
      <c r="L1841" s="63" t="s">
        <v>791</v>
      </c>
      <c r="M1841" s="63" t="s">
        <v>3381</v>
      </c>
      <c r="N1841" s="63" t="s">
        <v>7019</v>
      </c>
      <c r="O1841" s="63" t="str">
        <f ca="1">IF(H1841&lt;&gt;"",IF(H1841&lt;=TODAY(),"SI","NO"),"LIMBO")</f>
        <v>SI</v>
      </c>
      <c r="P1841" s="63" t="str">
        <f>IF($P$1=H1841,"DIASOL", "DIANOSOL")</f>
        <v>DIANOSOL</v>
      </c>
      <c r="Q1841" s="63" t="s">
        <v>909</v>
      </c>
      <c r="R1841" s="63" t="str">
        <f>VLOOKUP($Q1841,Resultados!$A$1:$B$49,2,FALSE)</f>
        <v>Suspendida</v>
      </c>
      <c r="S1841" s="63"/>
      <c r="T1841" s="72" t="str">
        <f>IF(G1841=$J$1,"SI","NO")</f>
        <v>SI</v>
      </c>
      <c r="U1841" s="72"/>
      <c r="V1841" s="7" t="str">
        <f ca="1">IF(color_Celda(E1841)=12106214,"ROSA",IF(color_Celda(E1841)=65535,"AMARILLO",IF(color_Celda(E1841)=5296274,"VERDE",IF(color_Celda(E1841)=16777215,"BLANCO","NO SE"))))</f>
        <v>ROSA</v>
      </c>
      <c r="W1841" s="336"/>
      <c r="X1841" s="336"/>
      <c r="Y1841" s="336"/>
      <c r="Z1841" s="336"/>
      <c r="AA1841" s="63" t="s">
        <v>2869</v>
      </c>
      <c r="AB1841" s="336"/>
      <c r="AC1841" s="336" t="s">
        <v>1792</v>
      </c>
    </row>
    <row r="1842" spans="1:29" ht="60" customHeight="1">
      <c r="A1842" s="336">
        <v>1848</v>
      </c>
      <c r="B1842" s="349">
        <v>45376</v>
      </c>
      <c r="C1842" s="63" t="s">
        <v>3265</v>
      </c>
      <c r="D1842" s="63" t="s">
        <v>6852</v>
      </c>
      <c r="E1842" s="64" t="s">
        <v>6841</v>
      </c>
      <c r="F1842" s="336">
        <v>7</v>
      </c>
      <c r="G1842" s="336" t="s">
        <v>2766</v>
      </c>
      <c r="H1842" s="349">
        <v>45392</v>
      </c>
      <c r="I1842" s="65" t="s">
        <v>76</v>
      </c>
      <c r="J1842" s="349" t="s">
        <v>1216</v>
      </c>
      <c r="K1842" s="63" t="s">
        <v>1483</v>
      </c>
      <c r="L1842" s="63" t="s">
        <v>805</v>
      </c>
      <c r="M1842" s="63" t="s">
        <v>2201</v>
      </c>
      <c r="N1842" s="63" t="s">
        <v>577</v>
      </c>
      <c r="O1842" s="78" t="str">
        <f ca="1">IF(H1842&lt;&gt;"",IF(H1842&lt;=TODAY(),"SI","NO"),"LIMBO")</f>
        <v>SI</v>
      </c>
      <c r="P1842" s="78" t="str">
        <f>IF($P$1=H1842,"DIASOL", "DIANOSOL")</f>
        <v>DIANOSOL</v>
      </c>
      <c r="Q1842" s="63" t="s">
        <v>151</v>
      </c>
      <c r="R1842" s="63" t="str">
        <f>VLOOKUP($Q1842,Resultados!$A$1:$B$49,2,FALSE)</f>
        <v>Prisión Preventiva</v>
      </c>
      <c r="S1842" s="63"/>
      <c r="T1842" s="81" t="str">
        <f>IF(G1842=$J$1,"SI","NO")</f>
        <v>NO</v>
      </c>
      <c r="U1842" s="81"/>
      <c r="V1842" s="7" t="str">
        <f ca="1">IF(color_Celda(E1842)=12106214,"ROSA",IF(color_Celda(E1842)=65535,"AMARILLO",IF(color_Celda(E1842)=5296274,"VERDE",IF(color_Celda(E1842)=16777215,"BLANCO","NO SE"))))</f>
        <v>ROSA</v>
      </c>
      <c r="W1842" s="336"/>
      <c r="X1842" s="336"/>
      <c r="Y1842" s="336"/>
      <c r="Z1842" s="63" t="s">
        <v>770</v>
      </c>
      <c r="AA1842" s="63" t="s">
        <v>1167</v>
      </c>
      <c r="AB1842" s="63" t="s">
        <v>1169</v>
      </c>
      <c r="AC1842" s="336"/>
    </row>
    <row r="1843" spans="1:29" ht="60" customHeight="1">
      <c r="A1843" s="336">
        <v>1858</v>
      </c>
      <c r="B1843" s="349">
        <v>45377</v>
      </c>
      <c r="C1843" s="336" t="s">
        <v>74</v>
      </c>
      <c r="D1843" s="336" t="s">
        <v>6857</v>
      </c>
      <c r="E1843" s="355" t="s">
        <v>6996</v>
      </c>
      <c r="F1843" s="336">
        <v>6</v>
      </c>
      <c r="G1843" s="336" t="s">
        <v>1434</v>
      </c>
      <c r="H1843" s="349">
        <v>45392</v>
      </c>
      <c r="I1843" s="65" t="s">
        <v>75</v>
      </c>
      <c r="J1843" s="349" t="s">
        <v>31</v>
      </c>
      <c r="K1843" s="63" t="s">
        <v>2324</v>
      </c>
      <c r="L1843" s="63" t="s">
        <v>4767</v>
      </c>
      <c r="M1843" s="63" t="s">
        <v>6858</v>
      </c>
      <c r="N1843" s="63" t="s">
        <v>7127</v>
      </c>
      <c r="O1843" s="78" t="str">
        <f ca="1">IF(H1843&lt;&gt;"",IF(H1843&lt;=TODAY(),"SI","NO"),"LIMBO")</f>
        <v>SI</v>
      </c>
      <c r="P1843" s="78" t="str">
        <f>IF($P$1=H1843,"DIASOL", "DIANOSOL")</f>
        <v>DIANOSOL</v>
      </c>
      <c r="Q1843" s="63" t="s">
        <v>902</v>
      </c>
      <c r="R1843" s="63" t="str">
        <f>VLOOKUP($Q1843,Resultados!$A$1:$B$49,2,FALSE)</f>
        <v>Juicio Abreviado</v>
      </c>
      <c r="S1843" s="63"/>
      <c r="T1843" s="81" t="str">
        <f>IF(G1843=$J$1,"SI","NO")</f>
        <v>NO</v>
      </c>
      <c r="U1843" s="81"/>
      <c r="V1843" s="7" t="str">
        <f ca="1">IF(color_Celda(E1843)=12106214,"ROSA",IF(color_Celda(E1843)=65535,"AMARILLO",IF(color_Celda(E1843)=5296274,"VERDE",IF(color_Celda(E1843)=16777215,"BLANCO","NO SE"))))</f>
        <v>ROSA</v>
      </c>
      <c r="W1843" s="336"/>
      <c r="X1843" s="336"/>
      <c r="Y1843" s="336"/>
      <c r="Z1843" s="63" t="s">
        <v>3368</v>
      </c>
      <c r="AA1843" s="63" t="s">
        <v>3378</v>
      </c>
      <c r="AB1843" s="63" t="s">
        <v>3258</v>
      </c>
      <c r="AC1843" s="336"/>
    </row>
    <row r="1844" spans="1:29" ht="60" customHeight="1">
      <c r="A1844" s="336">
        <v>1853</v>
      </c>
      <c r="B1844" s="349">
        <v>45376</v>
      </c>
      <c r="C1844" s="336" t="s">
        <v>75</v>
      </c>
      <c r="D1844" s="336" t="s">
        <v>6848</v>
      </c>
      <c r="E1844" s="355" t="s">
        <v>6849</v>
      </c>
      <c r="F1844" s="336">
        <v>7</v>
      </c>
      <c r="G1844" s="336" t="s">
        <v>3324</v>
      </c>
      <c r="H1844" s="349">
        <v>45392</v>
      </c>
      <c r="I1844" s="65" t="s">
        <v>547</v>
      </c>
      <c r="J1844" s="349" t="s">
        <v>1216</v>
      </c>
      <c r="K1844" s="336">
        <v>1</v>
      </c>
      <c r="L1844" s="63" t="s">
        <v>4791</v>
      </c>
      <c r="M1844" s="63" t="s">
        <v>2201</v>
      </c>
      <c r="N1844" s="63" t="s">
        <v>7128</v>
      </c>
      <c r="O1844" s="78" t="str">
        <f ca="1">IF(H1844&lt;&gt;"",IF(H1844&lt;=TODAY(),"SI","NO"),"LIMBO")</f>
        <v>SI</v>
      </c>
      <c r="P1844" s="78" t="str">
        <f>IF($P$1=H1844,"DIASOL", "DIANOSOL")</f>
        <v>DIANOSOL</v>
      </c>
      <c r="Q1844" s="63" t="s">
        <v>902</v>
      </c>
      <c r="R1844" s="63" t="str">
        <f>VLOOKUP($Q1844,Resultados!$A$1:$B$49,2,FALSE)</f>
        <v>Juicio Abreviado</v>
      </c>
      <c r="S1844" s="63"/>
      <c r="T1844" s="81" t="str">
        <f>IF(G1844=$J$1,"SI","NO")</f>
        <v>NO</v>
      </c>
      <c r="U1844" s="81"/>
      <c r="V1844" s="7" t="str">
        <f ca="1">IF(color_Celda(E1844)=12106214,"ROSA",IF(color_Celda(E1844)=65535,"AMARILLO",IF(color_Celda(E1844)=5296274,"VERDE",IF(color_Celda(E1844)=16777215,"BLANCO","NO SE"))))</f>
        <v>ROSA</v>
      </c>
      <c r="W1844" s="336"/>
      <c r="X1844" s="336"/>
      <c r="Y1844" s="336"/>
      <c r="Z1844" s="63" t="s">
        <v>770</v>
      </c>
      <c r="AA1844" s="63" t="s">
        <v>1167</v>
      </c>
      <c r="AB1844" s="63" t="s">
        <v>1171</v>
      </c>
      <c r="AC1844" s="336"/>
    </row>
    <row r="1845" spans="1:29" ht="60" customHeight="1">
      <c r="A1845" s="336">
        <v>1862</v>
      </c>
      <c r="B1845" s="349">
        <v>45378</v>
      </c>
      <c r="C1845" s="336" t="s">
        <v>1235</v>
      </c>
      <c r="D1845" s="336" t="s">
        <v>6881</v>
      </c>
      <c r="E1845" s="355" t="s">
        <v>6904</v>
      </c>
      <c r="F1845" s="336">
        <v>6</v>
      </c>
      <c r="G1845" s="336" t="s">
        <v>3323</v>
      </c>
      <c r="H1845" s="349">
        <v>45392</v>
      </c>
      <c r="I1845" s="65" t="s">
        <v>77</v>
      </c>
      <c r="J1845" s="349" t="s">
        <v>1217</v>
      </c>
      <c r="K1845" s="63" t="s">
        <v>2324</v>
      </c>
      <c r="L1845" s="63" t="s">
        <v>4778</v>
      </c>
      <c r="M1845" s="63" t="s">
        <v>2107</v>
      </c>
      <c r="N1845" s="63" t="s">
        <v>4526</v>
      </c>
      <c r="O1845" s="78" t="str">
        <f ca="1">IF(H1845&lt;&gt;"",IF(H1845&lt;=TODAY(),"SI","NO"),"LIMBO")</f>
        <v>SI</v>
      </c>
      <c r="P1845" s="78" t="str">
        <f>IF($P$1=H1845,"DIASOL", "DIANOSOL")</f>
        <v>DIANOSOL</v>
      </c>
      <c r="Q1845" s="63" t="s">
        <v>903</v>
      </c>
      <c r="R1845" s="63" t="str">
        <f>VLOOKUP($Q1845,Resultados!$A$1:$B$49,2,FALSE)</f>
        <v>Juicio Abreviado</v>
      </c>
      <c r="S1845" s="63"/>
      <c r="T1845" s="81" t="str">
        <f>IF(G1845=$J$1,"SI","NO")</f>
        <v>NO</v>
      </c>
      <c r="U1845" s="81"/>
      <c r="V1845" s="7" t="str">
        <f ca="1">IF(color_Celda(E1845)=12106214,"ROSA",IF(color_Celda(E1845)=65535,"AMARILLO",IF(color_Celda(E1845)=5296274,"VERDE",IF(color_Celda(E1845)=16777215,"BLANCO","NO SE"))))</f>
        <v>ROSA</v>
      </c>
      <c r="W1845" s="336"/>
      <c r="X1845" s="336"/>
      <c r="Y1845" s="336"/>
      <c r="Z1845" s="63" t="s">
        <v>748</v>
      </c>
      <c r="AA1845" s="63" t="s">
        <v>3379</v>
      </c>
      <c r="AB1845" s="63" t="s">
        <v>1170</v>
      </c>
      <c r="AC1845" s="336"/>
    </row>
    <row r="1846" spans="1:29" ht="60" customHeight="1">
      <c r="A1846" s="336">
        <v>1846</v>
      </c>
      <c r="B1846" s="349">
        <v>45377</v>
      </c>
      <c r="C1846" s="63" t="s">
        <v>1904</v>
      </c>
      <c r="D1846" s="63" t="s">
        <v>6838</v>
      </c>
      <c r="E1846" s="64" t="s">
        <v>6839</v>
      </c>
      <c r="F1846" s="336">
        <v>7</v>
      </c>
      <c r="G1846" s="336" t="s">
        <v>3791</v>
      </c>
      <c r="H1846" s="349">
        <v>45392</v>
      </c>
      <c r="I1846" s="65" t="s">
        <v>987</v>
      </c>
      <c r="J1846" s="349" t="s">
        <v>33</v>
      </c>
      <c r="K1846" s="336">
        <f>IFERROR(VLOOKUP(J1846,Jueces!$A$1:$B$11,2,FALSE),"")</f>
        <v>4</v>
      </c>
      <c r="L1846" s="63" t="s">
        <v>4781</v>
      </c>
      <c r="M1846" s="63" t="s">
        <v>2201</v>
      </c>
      <c r="N1846" s="63" t="s">
        <v>577</v>
      </c>
      <c r="O1846" s="63" t="str">
        <f ca="1">IF(H1846&lt;&gt;"",IF(H1846&lt;=TODAY(),"SI","NO"),"LIMBO")</f>
        <v>SI</v>
      </c>
      <c r="P1846" s="63" t="str">
        <f>IF($P$1=H1846,"DIASOL", "DIANOSOL")</f>
        <v>DIANOSOL</v>
      </c>
      <c r="Q1846" s="63" t="s">
        <v>151</v>
      </c>
      <c r="R1846" s="63" t="str">
        <f>VLOOKUP($Q1846,Resultados!$A$1:$B$49,2,FALSE)</f>
        <v>Prisión Preventiva</v>
      </c>
      <c r="S1846" s="63"/>
      <c r="T1846" s="72" t="str">
        <f>IF(G1846=$J$1,"SI","NO")</f>
        <v>NO</v>
      </c>
      <c r="U1846" s="72"/>
      <c r="V1846" s="7" t="str">
        <f ca="1">IF(color_Celda(E1846)=12106214,"ROSA",IF(color_Celda(E1846)=65535,"AMARILLO",IF(color_Celda(E1846)=5296274,"VERDE",IF(color_Celda(E1846)=16777215,"BLANCO","NO SE"))))</f>
        <v>ROSA</v>
      </c>
      <c r="W1846" s="336"/>
      <c r="X1846" s="336"/>
      <c r="Y1846" s="336"/>
      <c r="Z1846" s="63" t="s">
        <v>3368</v>
      </c>
      <c r="AA1846" s="63" t="s">
        <v>3378</v>
      </c>
      <c r="AB1846" s="63" t="s">
        <v>1169</v>
      </c>
      <c r="AC1846" s="336"/>
    </row>
    <row r="1847" spans="1:29" ht="60" customHeight="1">
      <c r="A1847" s="336">
        <v>1882</v>
      </c>
      <c r="B1847" s="349">
        <v>45369</v>
      </c>
      <c r="C1847" s="568">
        <v>0.41041666666666665</v>
      </c>
      <c r="D1847" s="336" t="s">
        <v>6545</v>
      </c>
      <c r="E1847" s="355" t="s">
        <v>6548</v>
      </c>
      <c r="F1847" s="336">
        <v>2</v>
      </c>
      <c r="G1847" s="336" t="s">
        <v>2815</v>
      </c>
      <c r="H1847" s="383">
        <v>45393</v>
      </c>
      <c r="I1847" s="65" t="s">
        <v>73</v>
      </c>
      <c r="J1847" s="349" t="s">
        <v>4746</v>
      </c>
      <c r="K1847" s="63" t="s">
        <v>1916</v>
      </c>
      <c r="L1847" s="63" t="s">
        <v>582</v>
      </c>
      <c r="M1847" s="63" t="s">
        <v>1956</v>
      </c>
      <c r="N1847" s="63" t="s">
        <v>7130</v>
      </c>
      <c r="O1847" s="78" t="str">
        <f ca="1">IF(H1847&lt;&gt;"",IF(H1847&lt;=TODAY(),"SI","NO"),"LIMBO")</f>
        <v>SI</v>
      </c>
      <c r="P1847" s="78" t="str">
        <f>IF($P$1=H1847,"DIASOL", "DIANOSOL")</f>
        <v>DIANOSOL</v>
      </c>
      <c r="Q1847" s="63" t="s">
        <v>902</v>
      </c>
      <c r="R1847" s="63" t="str">
        <f>VLOOKUP($Q1847,Resultados!$A$1:$B$49,2,FALSE)</f>
        <v>Juicio Abreviado</v>
      </c>
      <c r="S1847" s="63"/>
      <c r="T1847" s="81" t="str">
        <f>IF(G1847=$J$1,"SI","NO")</f>
        <v>NO</v>
      </c>
      <c r="U1847" s="81"/>
      <c r="V1847" s="7" t="str">
        <f ca="1">IF(color_Celda(E1847)=12106214,"ROSA",IF(color_Celda(E1847)=65535,"AMARILLO",IF(color_Celda(E1847)=5296274,"VERDE",IF(color_Celda(E1847)=16777215,"BLANCO","NO SE"))))</f>
        <v>ROSA</v>
      </c>
      <c r="W1847" s="336"/>
      <c r="X1847" s="336"/>
      <c r="Y1847" s="336"/>
      <c r="Z1847" s="63" t="s">
        <v>748</v>
      </c>
      <c r="AA1847" s="63"/>
      <c r="AB1847" s="63" t="s">
        <v>3258</v>
      </c>
      <c r="AC1847" s="336"/>
    </row>
    <row r="1848" spans="1:29" ht="60" customHeight="1">
      <c r="A1848" s="336">
        <v>1830</v>
      </c>
      <c r="B1848" s="349">
        <v>45373</v>
      </c>
      <c r="C1848" s="63" t="s">
        <v>73</v>
      </c>
      <c r="D1848" s="63" t="s">
        <v>6778</v>
      </c>
      <c r="E1848" s="64" t="s">
        <v>6795</v>
      </c>
      <c r="F1848" s="336">
        <v>6</v>
      </c>
      <c r="G1848" s="336" t="s">
        <v>3323</v>
      </c>
      <c r="H1848" s="349">
        <v>45393</v>
      </c>
      <c r="I1848" s="65" t="s">
        <v>73</v>
      </c>
      <c r="J1848" s="349" t="s">
        <v>1217</v>
      </c>
      <c r="K1848" s="63">
        <v>7</v>
      </c>
      <c r="L1848" s="63" t="s">
        <v>4781</v>
      </c>
      <c r="M1848" s="63" t="s">
        <v>2107</v>
      </c>
      <c r="N1848" s="63" t="s">
        <v>577</v>
      </c>
      <c r="O1848" s="78" t="str">
        <f ca="1">IF(H1848&lt;&gt;"",IF(H1848&lt;=TODAY(),"SI","NO"),"LIMBO")</f>
        <v>SI</v>
      </c>
      <c r="P1848" s="78" t="str">
        <f>IF($P$1=H1848,"DIASOL", "DIANOSOL")</f>
        <v>DIANOSOL</v>
      </c>
      <c r="Q1848" s="63" t="s">
        <v>151</v>
      </c>
      <c r="R1848" s="63" t="str">
        <f>VLOOKUP($Q1848,Resultados!$A$1:$B$49,2,FALSE)</f>
        <v>Prisión Preventiva</v>
      </c>
      <c r="S1848" s="63"/>
      <c r="T1848" s="81" t="str">
        <f>IF(G1848=$J$1,"SI","NO")</f>
        <v>NO</v>
      </c>
      <c r="U1848" s="81"/>
      <c r="V1848" s="7" t="str">
        <f ca="1">IF(color_Celda(E1848)=12106214,"ROSA",IF(color_Celda(E1848)=65535,"AMARILLO",IF(color_Celda(E1848)=5296274,"VERDE",IF(color_Celda(E1848)=16777215,"BLANCO","NO SE"))))</f>
        <v>ROSA</v>
      </c>
      <c r="W1848" s="336"/>
      <c r="X1848" s="336"/>
      <c r="Y1848" s="336"/>
      <c r="Z1848" s="63" t="s">
        <v>770</v>
      </c>
      <c r="AA1848" s="63" t="s">
        <v>1167</v>
      </c>
      <c r="AB1848" s="63" t="s">
        <v>1171</v>
      </c>
      <c r="AC1848" s="336"/>
    </row>
    <row r="1849" spans="1:29" ht="69.900000000000006" customHeight="1">
      <c r="A1849" s="336">
        <v>1856</v>
      </c>
      <c r="B1849" s="349">
        <v>45377</v>
      </c>
      <c r="C1849" s="336" t="s">
        <v>2739</v>
      </c>
      <c r="D1849" s="336" t="s">
        <v>6855</v>
      </c>
      <c r="E1849" s="64" t="s">
        <v>6887</v>
      </c>
      <c r="F1849" s="336">
        <v>7</v>
      </c>
      <c r="G1849" s="336" t="s">
        <v>3791</v>
      </c>
      <c r="H1849" s="349">
        <v>45393</v>
      </c>
      <c r="I1849" s="65" t="s">
        <v>73</v>
      </c>
      <c r="J1849" s="349" t="s">
        <v>33</v>
      </c>
      <c r="K1849" s="336">
        <v>4</v>
      </c>
      <c r="L1849" s="63" t="s">
        <v>789</v>
      </c>
      <c r="M1849" s="63" t="s">
        <v>725</v>
      </c>
      <c r="N1849" s="63" t="s">
        <v>897</v>
      </c>
      <c r="O1849" s="78" t="str">
        <f ca="1">IF(H1849&lt;&gt;"",IF(H1849&lt;=TODAY(),"SI","NO"),"LIMBO")</f>
        <v>SI</v>
      </c>
      <c r="P1849" s="78" t="str">
        <f>IF($P$1=H1849,"DIASOL", "DIANOSOL")</f>
        <v>DIANOSOL</v>
      </c>
      <c r="Q1849" s="63" t="s">
        <v>897</v>
      </c>
      <c r="R1849" s="63" t="str">
        <f>VLOOKUP($Q1849,Resultados!$A$1:$B$49,2,FALSE)</f>
        <v>Libertad</v>
      </c>
      <c r="S1849" s="63"/>
      <c r="T1849" s="81" t="str">
        <f>IF(G1849=$J$1,"SI","NO")</f>
        <v>NO</v>
      </c>
      <c r="U1849" s="81"/>
      <c r="V1849" s="7" t="str">
        <f ca="1">IF(color_Celda(E1849)=12106214,"ROSA",IF(color_Celda(E1849)=65535,"AMARILLO",IF(color_Celda(E1849)=5296274,"VERDE",IF(color_Celda(E1849)=16777215,"BLANCO","NO SE"))))</f>
        <v>ROSA</v>
      </c>
      <c r="W1849" s="336"/>
      <c r="X1849" s="336"/>
      <c r="Y1849" s="336"/>
      <c r="Z1849" s="63" t="s">
        <v>3368</v>
      </c>
      <c r="AA1849" s="63" t="s">
        <v>1167</v>
      </c>
      <c r="AB1849" s="63" t="s">
        <v>1170</v>
      </c>
      <c r="AC1849" s="336"/>
    </row>
    <row r="1850" spans="1:29" ht="60" customHeight="1">
      <c r="A1850" s="336">
        <v>1839</v>
      </c>
      <c r="B1850" s="349">
        <v>45376</v>
      </c>
      <c r="C1850" s="63" t="s">
        <v>1081</v>
      </c>
      <c r="D1850" s="63" t="s">
        <v>6826</v>
      </c>
      <c r="E1850" s="64" t="s">
        <v>6934</v>
      </c>
      <c r="F1850" s="336">
        <v>7</v>
      </c>
      <c r="G1850" s="336" t="s">
        <v>1434</v>
      </c>
      <c r="H1850" s="349">
        <v>45393</v>
      </c>
      <c r="I1850" s="65" t="s">
        <v>749</v>
      </c>
      <c r="J1850" s="349" t="s">
        <v>1221</v>
      </c>
      <c r="K1850" s="336">
        <f>IFERROR(VLOOKUP(J1850,Jueces!$A$1:$B$11,2,FALSE),"")</f>
        <v>6</v>
      </c>
      <c r="L1850" s="63" t="s">
        <v>4790</v>
      </c>
      <c r="M1850" s="63" t="s">
        <v>2201</v>
      </c>
      <c r="N1850" s="63" t="s">
        <v>7129</v>
      </c>
      <c r="O1850" s="78" t="str">
        <f ca="1">IF(H1850&lt;&gt;"",IF(H1850&lt;=TODAY(),"SI","NO"),"LIMBO")</f>
        <v>SI</v>
      </c>
      <c r="P1850" s="78" t="str">
        <f>IF($P$1=H1850,"DIASOL", "DIANOSOL")</f>
        <v>DIANOSOL</v>
      </c>
      <c r="Q1850" s="63" t="s">
        <v>902</v>
      </c>
      <c r="R1850" s="63" t="str">
        <f>VLOOKUP($Q1850,Resultados!$A$1:$B$49,2,FALSE)</f>
        <v>Juicio Abreviado</v>
      </c>
      <c r="S1850" s="63"/>
      <c r="T1850" s="81" t="str">
        <f>IF(G1850=$J$1,"SI","NO")</f>
        <v>NO</v>
      </c>
      <c r="U1850" s="81"/>
      <c r="V1850" s="7" t="str">
        <f ca="1">IF(color_Celda(E1850)=12106214,"ROSA",IF(color_Celda(E1850)=65535,"AMARILLO",IF(color_Celda(E1850)=5296274,"VERDE",IF(color_Celda(E1850)=16777215,"BLANCO","NO SE"))))</f>
        <v>ROSA</v>
      </c>
      <c r="W1850" s="336"/>
      <c r="X1850" s="336"/>
      <c r="Y1850" s="336"/>
      <c r="Z1850" s="63" t="s">
        <v>748</v>
      </c>
      <c r="AA1850" s="63" t="s">
        <v>2828</v>
      </c>
      <c r="AB1850" s="63" t="s">
        <v>1169</v>
      </c>
      <c r="AC1850" s="336"/>
    </row>
    <row r="1851" spans="1:29" ht="60" customHeight="1">
      <c r="A1851" s="336">
        <v>1655</v>
      </c>
      <c r="B1851" s="349">
        <v>45387</v>
      </c>
      <c r="C1851" s="70" t="s">
        <v>3738</v>
      </c>
      <c r="D1851" s="336" t="s">
        <v>5986</v>
      </c>
      <c r="E1851" s="355" t="s">
        <v>5987</v>
      </c>
      <c r="F1851" s="336">
        <v>3</v>
      </c>
      <c r="G1851" s="336" t="s">
        <v>29</v>
      </c>
      <c r="H1851" s="383">
        <v>45393</v>
      </c>
      <c r="I1851" s="65" t="s">
        <v>1083</v>
      </c>
      <c r="J1851" s="65" t="s">
        <v>1216</v>
      </c>
      <c r="K1851" s="336">
        <f>IFERROR(VLOOKUP(J1851,Jueces!$A$1:$B$11,2,FALSE),"")</f>
        <v>1</v>
      </c>
      <c r="L1851" s="63" t="s">
        <v>1693</v>
      </c>
      <c r="M1851" s="63" t="s">
        <v>693</v>
      </c>
      <c r="N1851" s="63" t="s">
        <v>7132</v>
      </c>
      <c r="O1851" s="78" t="str">
        <f ca="1">IF(H1851&lt;&gt;"",IF(H1851&lt;=TODAY(),"SI","NO"),"LIMBO")</f>
        <v>SI</v>
      </c>
      <c r="P1851" s="78" t="str">
        <f>IF($P$1=H1851,"DIASOL", "DIANOSOL")</f>
        <v>DIANOSOL</v>
      </c>
      <c r="Q1851" s="63" t="s">
        <v>151</v>
      </c>
      <c r="R1851" s="63" t="str">
        <f>VLOOKUP($Q1851,Resultados!$A$1:$B$49,2,FALSE)</f>
        <v>Prisión Preventiva</v>
      </c>
      <c r="S1851" s="63"/>
      <c r="T1851" s="81" t="str">
        <f>IF(G1851=$J$1,"SI","NO")</f>
        <v>NO</v>
      </c>
      <c r="U1851" s="81"/>
      <c r="V1851" s="7" t="str">
        <f ca="1">IF(color_Celda(E1851)=12106214,"ROSA",IF(color_Celda(E1851)=65535,"AMARILLO",IF(color_Celda(E1851)=5296274,"VERDE",IF(color_Celda(E1851)=16777215,"BLANCO","NO SE"))))</f>
        <v>ROSA</v>
      </c>
      <c r="W1851" s="336"/>
      <c r="X1851" s="336"/>
      <c r="Y1851" s="336"/>
      <c r="Z1851" s="63" t="s">
        <v>3368</v>
      </c>
      <c r="AA1851" s="63" t="s">
        <v>3378</v>
      </c>
      <c r="AB1851" s="63" t="s">
        <v>5776</v>
      </c>
      <c r="AC1851" s="336"/>
    </row>
    <row r="1852" spans="1:29" ht="60" customHeight="1">
      <c r="A1852" s="336">
        <v>1855</v>
      </c>
      <c r="B1852" s="349">
        <v>45377</v>
      </c>
      <c r="C1852" s="336" t="s">
        <v>4363</v>
      </c>
      <c r="D1852" s="63" t="s">
        <v>6853</v>
      </c>
      <c r="E1852" s="355" t="s">
        <v>6854</v>
      </c>
      <c r="F1852" s="336">
        <v>7</v>
      </c>
      <c r="G1852" s="336" t="s">
        <v>568</v>
      </c>
      <c r="H1852" s="349">
        <v>45393</v>
      </c>
      <c r="I1852" s="65" t="s">
        <v>76</v>
      </c>
      <c r="J1852" s="349" t="s">
        <v>31</v>
      </c>
      <c r="K1852" s="63" t="s">
        <v>2324</v>
      </c>
      <c r="L1852" s="63" t="s">
        <v>4778</v>
      </c>
      <c r="M1852" s="63" t="s">
        <v>2201</v>
      </c>
      <c r="N1852" s="63" t="s">
        <v>7131</v>
      </c>
      <c r="O1852" s="78" t="str">
        <f ca="1">IF(H1852&lt;&gt;"",IF(H1852&lt;=TODAY(),"SI","NO"),"LIMBO")</f>
        <v>SI</v>
      </c>
      <c r="P1852" s="78" t="str">
        <f>IF($P$1=H1852,"DIASOL", "DIANOSOL")</f>
        <v>DIANOSOL</v>
      </c>
      <c r="Q1852" s="63" t="s">
        <v>151</v>
      </c>
      <c r="R1852" s="63" t="str">
        <f>VLOOKUP($Q1852,Resultados!$A$1:$B$49,2,FALSE)</f>
        <v>Prisión Preventiva</v>
      </c>
      <c r="S1852" s="63"/>
      <c r="T1852" s="81" t="str">
        <f>IF(G1852=$J$1,"SI","NO")</f>
        <v>NO</v>
      </c>
      <c r="U1852" s="81"/>
      <c r="V1852" s="7" t="str">
        <f ca="1">IF(color_Celda(E1852)=12106214,"ROSA",IF(color_Celda(E1852)=65535,"AMARILLO",IF(color_Celda(E1852)=5296274,"VERDE",IF(color_Celda(E1852)=16777215,"BLANCO","NO SE"))))</f>
        <v>ROSA</v>
      </c>
      <c r="W1852" s="336"/>
      <c r="X1852" s="336"/>
      <c r="Y1852" s="336"/>
      <c r="Z1852" s="63" t="s">
        <v>3368</v>
      </c>
      <c r="AA1852" s="63" t="s">
        <v>3379</v>
      </c>
      <c r="AB1852" s="63" t="s">
        <v>3258</v>
      </c>
      <c r="AC1852" s="336"/>
    </row>
    <row r="1853" spans="1:29" ht="60" customHeight="1">
      <c r="A1853" s="336">
        <v>1871</v>
      </c>
      <c r="B1853" s="349">
        <v>45378</v>
      </c>
      <c r="C1853" s="568">
        <v>0.41250000000000003</v>
      </c>
      <c r="D1853" s="63" t="s">
        <v>6896</v>
      </c>
      <c r="E1853" s="64" t="s">
        <v>6897</v>
      </c>
      <c r="F1853" s="336">
        <v>7</v>
      </c>
      <c r="G1853" s="336" t="s">
        <v>5710</v>
      </c>
      <c r="H1853" s="349">
        <v>45393</v>
      </c>
      <c r="I1853" s="65" t="s">
        <v>76</v>
      </c>
      <c r="J1853" s="349" t="s">
        <v>35</v>
      </c>
      <c r="K1853" s="63" t="s">
        <v>2375</v>
      </c>
      <c r="L1853" s="63" t="s">
        <v>4776</v>
      </c>
      <c r="M1853" s="63" t="s">
        <v>2201</v>
      </c>
      <c r="N1853" s="63" t="s">
        <v>4007</v>
      </c>
      <c r="O1853" s="167" t="str">
        <f ca="1">IF(H1853&lt;&gt;"",IF(H1853&lt;=TODAY(),"SI","NO"),"LIMBO")</f>
        <v>SI</v>
      </c>
      <c r="P1853" s="167" t="str">
        <f>IF($P$1=H1853,"DIASOL", "DIANOSOL")</f>
        <v>DIANOSOL</v>
      </c>
      <c r="Q1853" s="63" t="s">
        <v>902</v>
      </c>
      <c r="R1853" s="63" t="str">
        <f>VLOOKUP($Q1853,Resultados!$A$1:$B$49,2,FALSE)</f>
        <v>Juicio Abreviado</v>
      </c>
      <c r="S1853" s="63"/>
      <c r="T1853" s="414" t="str">
        <f>IF(G1853=$J$1,"SI","NO")</f>
        <v>NO</v>
      </c>
      <c r="U1853" s="414"/>
      <c r="V1853" s="7" t="str">
        <f ca="1">IF(color_Celda(E1853)=12106214,"ROSA",IF(color_Celda(E1853)=65535,"AMARILLO",IF(color_Celda(E1853)=5296274,"VERDE",IF(color_Celda(E1853)=16777215,"BLANCO","NO SE"))))</f>
        <v>ROSA</v>
      </c>
      <c r="W1853" s="336"/>
      <c r="X1853" s="336"/>
      <c r="Y1853" s="336"/>
      <c r="Z1853" s="63" t="s">
        <v>7044</v>
      </c>
      <c r="AA1853" s="63" t="s">
        <v>2828</v>
      </c>
      <c r="AB1853" s="63" t="s">
        <v>1171</v>
      </c>
      <c r="AC1853" s="336"/>
    </row>
    <row r="1854" spans="1:29" ht="60" customHeight="1">
      <c r="A1854" s="336">
        <v>1838</v>
      </c>
      <c r="B1854" s="349">
        <v>45376</v>
      </c>
      <c r="C1854" s="568">
        <v>0.33333333333333331</v>
      </c>
      <c r="D1854" s="63" t="s">
        <v>6815</v>
      </c>
      <c r="E1854" s="64" t="s">
        <v>6816</v>
      </c>
      <c r="F1854" s="336">
        <v>6</v>
      </c>
      <c r="G1854" s="336" t="s">
        <v>2766</v>
      </c>
      <c r="H1854" s="349">
        <v>45393</v>
      </c>
      <c r="I1854" s="65" t="s">
        <v>75</v>
      </c>
      <c r="J1854" s="349" t="s">
        <v>1217</v>
      </c>
      <c r="K1854" s="63" t="s">
        <v>2285</v>
      </c>
      <c r="L1854" s="63" t="s">
        <v>806</v>
      </c>
      <c r="M1854" s="63" t="s">
        <v>2107</v>
      </c>
      <c r="N1854" s="63" t="s">
        <v>2550</v>
      </c>
      <c r="O1854" s="78" t="str">
        <f ca="1">IF(H1854&lt;&gt;"",IF(H1854&lt;=TODAY(),"SI","NO"),"LIMBO")</f>
        <v>SI</v>
      </c>
      <c r="P1854" s="78" t="str">
        <f>IF($P$1=H1854,"DIASOL", "DIANOSOL")</f>
        <v>DIANOSOL</v>
      </c>
      <c r="Q1854" s="63" t="s">
        <v>897</v>
      </c>
      <c r="R1854" s="63" t="str">
        <f>VLOOKUP($Q1854,Resultados!$A$1:$B$49,2,FALSE)</f>
        <v>Libertad</v>
      </c>
      <c r="S1854" s="63"/>
      <c r="T1854" s="81" t="str">
        <f>IF(G1854=$J$1,"SI","NO")</f>
        <v>NO</v>
      </c>
      <c r="U1854" s="81"/>
      <c r="V1854" s="7" t="str">
        <f ca="1">IF(color_Celda(E1854)=12106214,"ROSA",IF(color_Celda(E1854)=65535,"AMARILLO",IF(color_Celda(E1854)=5296274,"VERDE",IF(color_Celda(E1854)=16777215,"BLANCO","NO SE"))))</f>
        <v>ROSA</v>
      </c>
      <c r="W1854" s="336"/>
      <c r="X1854" s="336"/>
      <c r="Y1854" s="336"/>
      <c r="Z1854" s="63" t="s">
        <v>770</v>
      </c>
      <c r="AA1854" s="63" t="s">
        <v>2869</v>
      </c>
      <c r="AB1854" s="63" t="s">
        <v>1170</v>
      </c>
      <c r="AC1854" s="336"/>
    </row>
    <row r="1855" spans="1:29" ht="60" customHeight="1">
      <c r="A1855" s="336">
        <v>1847</v>
      </c>
      <c r="B1855" s="349">
        <v>45377</v>
      </c>
      <c r="C1855" s="63" t="s">
        <v>73</v>
      </c>
      <c r="D1855" s="63" t="s">
        <v>6840</v>
      </c>
      <c r="E1855" s="64" t="s">
        <v>6930</v>
      </c>
      <c r="F1855" s="336">
        <v>7</v>
      </c>
      <c r="G1855" s="336" t="s">
        <v>1433</v>
      </c>
      <c r="H1855" s="349">
        <v>45393</v>
      </c>
      <c r="I1855" s="65" t="s">
        <v>75</v>
      </c>
      <c r="J1855" s="349" t="s">
        <v>1216</v>
      </c>
      <c r="K1855" s="63" t="s">
        <v>2324</v>
      </c>
      <c r="L1855" s="63" t="s">
        <v>791</v>
      </c>
      <c r="M1855" s="63" t="s">
        <v>2201</v>
      </c>
      <c r="N1855" s="63" t="s">
        <v>3435</v>
      </c>
      <c r="O1855" s="78" t="str">
        <f ca="1">IF(H1855&lt;&gt;"",IF(H1855&lt;=TODAY(),"SI","NO"),"LIMBO")</f>
        <v>SI</v>
      </c>
      <c r="P1855" s="78" t="str">
        <f>IF($P$1=H1855,"DIASOL", "DIANOSOL")</f>
        <v>DIANOSOL</v>
      </c>
      <c r="Q1855" s="63" t="s">
        <v>902</v>
      </c>
      <c r="R1855" s="63" t="str">
        <f>VLOOKUP($Q1855,Resultados!$A$1:$B$49,2,FALSE)</f>
        <v>Juicio Abreviado</v>
      </c>
      <c r="S1855" s="63"/>
      <c r="T1855" s="81" t="str">
        <f>IF(G1855=$J$1,"SI","NO")</f>
        <v>NO</v>
      </c>
      <c r="U1855" s="81"/>
      <c r="V1855" s="7" t="str">
        <f ca="1">IF(color_Celda(E1855)=12106214,"ROSA",IF(color_Celda(E1855)=65535,"AMARILLO",IF(color_Celda(E1855)=5296274,"VERDE",IF(color_Celda(E1855)=16777215,"BLANCO","NO SE"))))</f>
        <v>ROSA</v>
      </c>
      <c r="W1855" s="336"/>
      <c r="X1855" s="336"/>
      <c r="Y1855" s="336"/>
      <c r="Z1855" s="63" t="s">
        <v>748</v>
      </c>
      <c r="AA1855" s="63" t="s">
        <v>3379</v>
      </c>
      <c r="AB1855" s="63" t="s">
        <v>1169</v>
      </c>
      <c r="AC1855" s="336"/>
    </row>
    <row r="1856" spans="1:29" ht="60" customHeight="1">
      <c r="A1856" s="336">
        <v>1860</v>
      </c>
      <c r="B1856" s="349">
        <v>45378</v>
      </c>
      <c r="C1856" s="63" t="s">
        <v>73</v>
      </c>
      <c r="D1856" s="63" t="s">
        <v>6877</v>
      </c>
      <c r="E1856" s="64" t="s">
        <v>6878</v>
      </c>
      <c r="F1856" s="336">
        <v>6</v>
      </c>
      <c r="G1856" s="336" t="s">
        <v>1435</v>
      </c>
      <c r="H1856" s="349">
        <v>45393</v>
      </c>
      <c r="I1856" s="349" t="s">
        <v>77</v>
      </c>
      <c r="J1856" s="349" t="s">
        <v>31</v>
      </c>
      <c r="K1856" s="336">
        <v>2</v>
      </c>
      <c r="L1856" s="63" t="s">
        <v>1693</v>
      </c>
      <c r="M1856" s="63" t="s">
        <v>2107</v>
      </c>
      <c r="N1856" s="63" t="s">
        <v>577</v>
      </c>
      <c r="O1856" s="78" t="str">
        <f ca="1">IF(H1856&lt;&gt;"",IF(H1856&lt;=TODAY(),"SI","NO"),"LIMBO")</f>
        <v>SI</v>
      </c>
      <c r="P1856" s="78" t="str">
        <f>IF($P$1=H1856,"DIASOL", "DIANOSOL")</f>
        <v>DIANOSOL</v>
      </c>
      <c r="Q1856" s="63" t="s">
        <v>151</v>
      </c>
      <c r="R1856" s="63" t="str">
        <f>VLOOKUP($Q1856,Resultados!$A$1:$B$49,2,FALSE)</f>
        <v>Prisión Preventiva</v>
      </c>
      <c r="S1856" s="63"/>
      <c r="T1856" s="81" t="str">
        <f>IF(G1856=$J$1,"SI","NO")</f>
        <v>SI</v>
      </c>
      <c r="U1856" s="81"/>
      <c r="V1856" s="7" t="str">
        <f ca="1">IF(color_Celda(E1856)=12106214,"ROSA",IF(color_Celda(E1856)=65535,"AMARILLO",IF(color_Celda(E1856)=5296274,"VERDE",IF(color_Celda(E1856)=16777215,"BLANCO","NO SE"))))</f>
        <v>ROSA</v>
      </c>
      <c r="W1856" s="336"/>
      <c r="X1856" s="336"/>
      <c r="Y1856" s="336"/>
      <c r="Z1856" s="63" t="s">
        <v>770</v>
      </c>
      <c r="AA1856" s="63" t="s">
        <v>3378</v>
      </c>
      <c r="AB1856" s="63" t="s">
        <v>1171</v>
      </c>
      <c r="AC1856" s="336"/>
    </row>
    <row r="1857" spans="1:29" ht="60" customHeight="1">
      <c r="A1857" s="336">
        <v>1876</v>
      </c>
      <c r="B1857" s="349">
        <v>45378</v>
      </c>
      <c r="C1857" s="568">
        <v>0.33333333333333331</v>
      </c>
      <c r="D1857" s="63" t="s">
        <v>6902</v>
      </c>
      <c r="E1857" s="64" t="s">
        <v>7068</v>
      </c>
      <c r="F1857" s="336">
        <v>7</v>
      </c>
      <c r="G1857" s="336" t="s">
        <v>1435</v>
      </c>
      <c r="H1857" s="349">
        <v>45394</v>
      </c>
      <c r="I1857" s="65" t="s">
        <v>73</v>
      </c>
      <c r="J1857" s="349" t="s">
        <v>4932</v>
      </c>
      <c r="K1857" s="63" t="s">
        <v>1916</v>
      </c>
      <c r="L1857" s="63" t="s">
        <v>805</v>
      </c>
      <c r="M1857" s="63" t="s">
        <v>2201</v>
      </c>
      <c r="N1857" s="63" t="s">
        <v>7134</v>
      </c>
      <c r="O1857" s="167" t="str">
        <f ca="1">IF(H1857&lt;&gt;"",IF(H1857&lt;=TODAY(),"SI","NO"),"LIMBO")</f>
        <v>SI</v>
      </c>
      <c r="P1857" s="167" t="str">
        <f>IF($P$1=H1857,"DIASOL", "DIANOSOL")</f>
        <v>DIANOSOL</v>
      </c>
      <c r="Q1857" s="63" t="s">
        <v>902</v>
      </c>
      <c r="R1857" s="63" t="str">
        <f>VLOOKUP($Q1857,Resultados!$A$1:$B$49,2,FALSE)</f>
        <v>Juicio Abreviado</v>
      </c>
      <c r="S1857" s="63"/>
      <c r="T1857" s="414" t="str">
        <f>IF(G1857=$J$1,"SI","NO")</f>
        <v>SI</v>
      </c>
      <c r="U1857" s="414"/>
      <c r="V1857" s="7" t="str">
        <f ca="1">IF(color_Celda(E1857)=12106214,"ROSA",IF(color_Celda(E1857)=65535,"AMARILLO",IF(color_Celda(E1857)=5296274,"VERDE",IF(color_Celda(E1857)=16777215,"BLANCO","NO SE"))))</f>
        <v>ROSA</v>
      </c>
      <c r="W1857" s="336"/>
      <c r="X1857" s="336"/>
      <c r="Y1857" s="336"/>
      <c r="Z1857" s="63" t="s">
        <v>3368</v>
      </c>
      <c r="AA1857" s="63" t="s">
        <v>1167</v>
      </c>
      <c r="AB1857" s="63" t="s">
        <v>3258</v>
      </c>
      <c r="AC1857" s="336"/>
    </row>
    <row r="1858" spans="1:29" ht="60" customHeight="1">
      <c r="A1858" s="336">
        <v>1889</v>
      </c>
      <c r="B1858" s="349">
        <v>45386</v>
      </c>
      <c r="C1858" s="568">
        <v>0.4375</v>
      </c>
      <c r="D1858" s="336" t="s">
        <v>5912</v>
      </c>
      <c r="E1858" s="355" t="s">
        <v>5911</v>
      </c>
      <c r="F1858" s="336">
        <v>3</v>
      </c>
      <c r="G1858" s="63" t="s">
        <v>3324</v>
      </c>
      <c r="H1858" s="383">
        <v>45394</v>
      </c>
      <c r="I1858" s="65" t="s">
        <v>73</v>
      </c>
      <c r="J1858" s="65" t="s">
        <v>4931</v>
      </c>
      <c r="K1858" s="63" t="s">
        <v>3776</v>
      </c>
      <c r="L1858" s="63" t="s">
        <v>4767</v>
      </c>
      <c r="M1858" s="63" t="s">
        <v>1025</v>
      </c>
      <c r="N1858" s="63" t="s">
        <v>7136</v>
      </c>
      <c r="O1858" s="233" t="str">
        <f ca="1">IF(H1858&lt;&gt;"",IF(H1858&lt;=TODAY(),"SI","NO"),"LIMBO")</f>
        <v>SI</v>
      </c>
      <c r="P1858" s="233" t="str">
        <f>IF($P$1=H1858,"DIASOL", "DIANOSOL")</f>
        <v>DIANOSOL</v>
      </c>
      <c r="Q1858" s="63" t="s">
        <v>151</v>
      </c>
      <c r="R1858" s="63" t="str">
        <f>VLOOKUP($Q1858,Resultados!$A$1:$B$49,2,FALSE)</f>
        <v>Prisión Preventiva</v>
      </c>
      <c r="S1858" s="63"/>
      <c r="T1858" s="508" t="str">
        <f>IF(G1858=$J$1,"SI","NO")</f>
        <v>NO</v>
      </c>
      <c r="U1858" s="508"/>
      <c r="V1858" s="7" t="str">
        <f ca="1">IF(color_Celda(E1858)=12106214,"ROSA",IF(color_Celda(E1858)=65535,"AMARILLO",IF(color_Celda(E1858)=5296274,"VERDE",IF(color_Celda(E1858)=16777215,"BLANCO","NO SE"))))</f>
        <v>ROSA</v>
      </c>
      <c r="W1858" s="336"/>
      <c r="X1858" s="336"/>
      <c r="Y1858" s="336"/>
      <c r="Z1858" s="63" t="s">
        <v>770</v>
      </c>
      <c r="AA1858" s="63" t="s">
        <v>2869</v>
      </c>
      <c r="AB1858" s="63" t="s">
        <v>1171</v>
      </c>
      <c r="AC1858" s="336"/>
    </row>
    <row r="1859" spans="1:29" ht="60" customHeight="1">
      <c r="A1859" s="336">
        <v>1890</v>
      </c>
      <c r="B1859" s="349">
        <v>45386</v>
      </c>
      <c r="C1859" s="568">
        <v>0.45833333333333331</v>
      </c>
      <c r="D1859" s="336" t="s">
        <v>5926</v>
      </c>
      <c r="E1859" s="355" t="s">
        <v>5925</v>
      </c>
      <c r="F1859" s="336">
        <v>3</v>
      </c>
      <c r="G1859" s="63" t="s">
        <v>3323</v>
      </c>
      <c r="H1859" s="383">
        <v>45394</v>
      </c>
      <c r="I1859" s="65" t="s">
        <v>73</v>
      </c>
      <c r="J1859" s="65" t="s">
        <v>4746</v>
      </c>
      <c r="K1859" s="63" t="s">
        <v>4057</v>
      </c>
      <c r="L1859" s="63" t="s">
        <v>1693</v>
      </c>
      <c r="M1859" s="371" t="s">
        <v>7092</v>
      </c>
      <c r="N1859" s="63" t="s">
        <v>7140</v>
      </c>
      <c r="O1859" s="78" t="str">
        <f ca="1">IF(H1859&lt;&gt;"",IF(H1859&lt;=TODAY(),"SI","NO"),"LIMBO")</f>
        <v>SI</v>
      </c>
      <c r="P1859" s="78" t="str">
        <f>IF($P$1=H1859,"DIASOL", "DIANOSOL")</f>
        <v>DIANOSOL</v>
      </c>
      <c r="Q1859" s="63" t="s">
        <v>910</v>
      </c>
      <c r="R1859" s="63" t="str">
        <f>VLOOKUP($Q1859,Resultados!$A$1:$B$49,2,FALSE)</f>
        <v>Suspendida</v>
      </c>
      <c r="S1859" s="63"/>
      <c r="T1859" s="81" t="str">
        <f>IF(G1859=$J$1,"SI","NO")</f>
        <v>NO</v>
      </c>
      <c r="U1859" s="81"/>
      <c r="V1859" s="7" t="str">
        <f ca="1">IF(color_Celda(E1859)=12106214,"ROSA",IF(color_Celda(E1859)=65535,"AMARILLO",IF(color_Celda(E1859)=5296274,"VERDE",IF(color_Celda(E1859)=16777215,"BLANCO","NO SE"))))</f>
        <v>ROSA</v>
      </c>
      <c r="W1859" s="336"/>
      <c r="X1859" s="336"/>
      <c r="Y1859" s="336"/>
      <c r="Z1859" s="63" t="s">
        <v>770</v>
      </c>
      <c r="AA1859" s="63" t="s">
        <v>2828</v>
      </c>
      <c r="AB1859" s="63" t="s">
        <v>1170</v>
      </c>
      <c r="AC1859" s="336"/>
    </row>
    <row r="1860" spans="1:29" ht="60" customHeight="1">
      <c r="A1860" s="336">
        <v>1859</v>
      </c>
      <c r="B1860" s="349">
        <v>45378</v>
      </c>
      <c r="C1860" s="63" t="s">
        <v>73</v>
      </c>
      <c r="D1860" s="63" t="s">
        <v>6876</v>
      </c>
      <c r="E1860" s="64" t="s">
        <v>6933</v>
      </c>
      <c r="F1860" s="336">
        <v>6</v>
      </c>
      <c r="G1860" s="336" t="s">
        <v>2766</v>
      </c>
      <c r="H1860" s="349">
        <v>45394</v>
      </c>
      <c r="I1860" s="349" t="s">
        <v>749</v>
      </c>
      <c r="J1860" s="349" t="s">
        <v>1221</v>
      </c>
      <c r="K1860" s="336">
        <v>6</v>
      </c>
      <c r="L1860" s="63" t="s">
        <v>4778</v>
      </c>
      <c r="M1860" s="63" t="s">
        <v>5815</v>
      </c>
      <c r="N1860" s="63" t="s">
        <v>7135</v>
      </c>
      <c r="O1860" s="78" t="str">
        <f ca="1">IF(H1860&lt;&gt;"",IF(H1860&lt;=TODAY(),"SI","NO"),"LIMBO")</f>
        <v>SI</v>
      </c>
      <c r="P1860" s="78" t="str">
        <f>IF($P$1=H1860,"DIASOL", "DIANOSOL")</f>
        <v>DIANOSOL</v>
      </c>
      <c r="Q1860" s="63" t="s">
        <v>151</v>
      </c>
      <c r="R1860" s="63" t="str">
        <f>VLOOKUP($Q1860,Resultados!$A$1:$B$49,2,FALSE)</f>
        <v>Prisión Preventiva</v>
      </c>
      <c r="S1860" s="63"/>
      <c r="T1860" s="81" t="str">
        <f>IF(G1860=$J$1,"SI","NO")</f>
        <v>NO</v>
      </c>
      <c r="U1860" s="81"/>
      <c r="V1860" s="7" t="str">
        <f ca="1">IF(color_Celda(E1860)=12106214,"ROSA",IF(color_Celda(E1860)=65535,"AMARILLO",IF(color_Celda(E1860)=5296274,"VERDE",IF(color_Celda(E1860)=16777215,"BLANCO","NO SE"))))</f>
        <v>ROSA</v>
      </c>
      <c r="W1860" s="336"/>
      <c r="X1860" s="336"/>
      <c r="Y1860" s="336"/>
      <c r="Z1860" s="63" t="s">
        <v>748</v>
      </c>
      <c r="AA1860" s="63" t="s">
        <v>3378</v>
      </c>
      <c r="AB1860" s="63" t="s">
        <v>1171</v>
      </c>
      <c r="AC1860" s="336"/>
    </row>
    <row r="1861" spans="1:29" ht="60" customHeight="1">
      <c r="A1861" s="336">
        <v>1887</v>
      </c>
      <c r="B1861" s="349">
        <v>45320</v>
      </c>
      <c r="C1861" s="568" t="s">
        <v>4446</v>
      </c>
      <c r="D1861" s="336" t="s">
        <v>4587</v>
      </c>
      <c r="E1861" s="355" t="s">
        <v>5798</v>
      </c>
      <c r="F1861" s="336">
        <v>3</v>
      </c>
      <c r="G1861" s="336" t="s">
        <v>3871</v>
      </c>
      <c r="H1861" s="383">
        <v>45394</v>
      </c>
      <c r="I1861" s="65" t="s">
        <v>686</v>
      </c>
      <c r="J1861" s="349" t="s">
        <v>35</v>
      </c>
      <c r="K1861" s="336">
        <f>IFERROR(VLOOKUP(J1861,Jueces!$A$1:$B$11,2,FALSE),"")</f>
        <v>3</v>
      </c>
      <c r="L1861" s="63" t="s">
        <v>192</v>
      </c>
      <c r="M1861" s="63" t="s">
        <v>725</v>
      </c>
      <c r="N1861" s="63" t="s">
        <v>7133</v>
      </c>
      <c r="O1861" s="63" t="str">
        <f ca="1">IF(H1861&lt;&gt;"",IF(H1861&lt;=TODAY(),"SI","NO"),"LIMBO")</f>
        <v>SI</v>
      </c>
      <c r="P1861" s="63" t="str">
        <f>IF($P$1=H1861,"DIASOL", "DIANOSOL")</f>
        <v>DIANOSOL</v>
      </c>
      <c r="Q1861" s="63" t="s">
        <v>151</v>
      </c>
      <c r="R1861" s="63" t="str">
        <f>VLOOKUP($Q1861,Resultados!$A$1:$B$49,2,FALSE)</f>
        <v>Prisión Preventiva</v>
      </c>
      <c r="S1861" s="63"/>
      <c r="T1861" s="72" t="str">
        <f>IF(G1861=$J$1,"SI","NO")</f>
        <v>NO</v>
      </c>
      <c r="U1861" s="72"/>
      <c r="V1861" s="7" t="str">
        <f ca="1">IF(color_Celda(E1861)=12106214,"ROSA",IF(color_Celda(E1861)=65535,"AMARILLO",IF(color_Celda(E1861)=5296274,"VERDE",IF(color_Celda(E1861)=16777215,"BLANCO","NO SE"))))</f>
        <v>ROSA</v>
      </c>
      <c r="W1861" s="336"/>
      <c r="X1861" s="336"/>
      <c r="Y1861" s="336"/>
      <c r="Z1861" s="63" t="s">
        <v>3368</v>
      </c>
      <c r="AA1861" s="336"/>
      <c r="AB1861" s="336" t="s">
        <v>1171</v>
      </c>
      <c r="AC1861" s="336"/>
    </row>
    <row r="1862" spans="1:29" ht="60" customHeight="1">
      <c r="A1862" s="336">
        <v>1863</v>
      </c>
      <c r="B1862" s="349">
        <v>45378</v>
      </c>
      <c r="C1862" s="336" t="s">
        <v>1745</v>
      </c>
      <c r="D1862" s="336" t="s">
        <v>6882</v>
      </c>
      <c r="E1862" s="64" t="s">
        <v>7020</v>
      </c>
      <c r="F1862" s="336">
        <v>6</v>
      </c>
      <c r="G1862" s="63" t="s">
        <v>5710</v>
      </c>
      <c r="H1862" s="349">
        <v>45394</v>
      </c>
      <c r="I1862" s="65" t="s">
        <v>76</v>
      </c>
      <c r="J1862" s="65" t="s">
        <v>1221</v>
      </c>
      <c r="K1862" s="336">
        <f>IFERROR(VLOOKUP(J1862,Jueces!$A$1:$B$11,2,FALSE),"")</f>
        <v>6</v>
      </c>
      <c r="L1862" s="63" t="s">
        <v>788</v>
      </c>
      <c r="M1862" s="7" t="s">
        <v>2107</v>
      </c>
      <c r="N1862" s="63" t="s">
        <v>2550</v>
      </c>
      <c r="O1862" s="167" t="str">
        <f ca="1">IF(H1862&lt;&gt;"",IF(H1862&lt;=TODAY(),"SI","NO"),"LIMBO")</f>
        <v>SI</v>
      </c>
      <c r="P1862" s="167" t="str">
        <f>IF($P$1=H1862,"DIASOL", "DIANOSOL")</f>
        <v>DIANOSOL</v>
      </c>
      <c r="Q1862" s="63" t="s">
        <v>897</v>
      </c>
      <c r="R1862" s="63" t="str">
        <f>VLOOKUP($Q1862,Resultados!$A$1:$B$49,2,FALSE)</f>
        <v>Libertad</v>
      </c>
      <c r="S1862" s="63"/>
      <c r="T1862" s="414" t="str">
        <f>IF(G1862=$J$1,"SI","NO")</f>
        <v>NO</v>
      </c>
      <c r="U1862" s="414"/>
      <c r="V1862" s="7" t="str">
        <f ca="1">IF(color_Celda(E1862)=12106214,"ROSA",IF(color_Celda(E1862)=65535,"AMARILLO",IF(color_Celda(E1862)=5296274,"VERDE",IF(color_Celda(E1862)=16777215,"BLANCO","NO SE"))))</f>
        <v>ROSA</v>
      </c>
      <c r="W1862" s="336"/>
      <c r="X1862" s="336"/>
      <c r="Y1862" s="336"/>
      <c r="Z1862" s="63" t="s">
        <v>770</v>
      </c>
      <c r="AA1862" s="63" t="s">
        <v>1167</v>
      </c>
      <c r="AB1862" s="63" t="s">
        <v>1169</v>
      </c>
      <c r="AC1862" s="336"/>
    </row>
    <row r="1863" spans="1:29" ht="60" customHeight="1">
      <c r="A1863" s="336">
        <v>1872</v>
      </c>
      <c r="B1863" s="349">
        <v>45378</v>
      </c>
      <c r="C1863" s="568">
        <v>0.3972222222222222</v>
      </c>
      <c r="D1863" s="63" t="s">
        <v>6898</v>
      </c>
      <c r="E1863" s="64" t="s">
        <v>6907</v>
      </c>
      <c r="F1863" s="336">
        <v>5</v>
      </c>
      <c r="G1863" s="336" t="s">
        <v>1434</v>
      </c>
      <c r="H1863" s="349">
        <v>45394</v>
      </c>
      <c r="I1863" s="65" t="s">
        <v>76</v>
      </c>
      <c r="J1863" s="349" t="s">
        <v>1216</v>
      </c>
      <c r="K1863" s="63" t="s">
        <v>1512</v>
      </c>
      <c r="L1863" s="63" t="s">
        <v>582</v>
      </c>
      <c r="M1863" s="63" t="s">
        <v>3381</v>
      </c>
      <c r="N1863" s="63" t="s">
        <v>7139</v>
      </c>
      <c r="O1863" s="78" t="str">
        <f ca="1">IF(H1863&lt;&gt;"",IF(H1863&lt;=TODAY(),"SI","NO"),"LIMBO")</f>
        <v>SI</v>
      </c>
      <c r="P1863" s="78" t="str">
        <f>IF($P$1=H1863,"DIASOL", "DIANOSOL")</f>
        <v>DIANOSOL</v>
      </c>
      <c r="Q1863" s="63" t="s">
        <v>1010</v>
      </c>
      <c r="R1863" s="63" t="str">
        <f>VLOOKUP($Q1863,Resultados!$A$1:$B$49,2,FALSE)</f>
        <v>Suspendida</v>
      </c>
      <c r="S1863" s="63"/>
      <c r="T1863" s="81" t="str">
        <f>IF(G1863=$J$1,"SI","NO")</f>
        <v>NO</v>
      </c>
      <c r="U1863" s="81"/>
      <c r="V1863" s="7" t="str">
        <f ca="1">IF(color_Celda(E1863)=12106214,"ROSA",IF(color_Celda(E1863)=65535,"AMARILLO",IF(color_Celda(E1863)=5296274,"VERDE",IF(color_Celda(E1863)=16777215,"BLANCO","NO SE"))))</f>
        <v>ROSA</v>
      </c>
      <c r="W1863" s="336"/>
      <c r="X1863" s="336"/>
      <c r="Y1863" s="336"/>
      <c r="Z1863" s="63" t="s">
        <v>770</v>
      </c>
      <c r="AA1863" s="336"/>
      <c r="AB1863" s="63" t="s">
        <v>1170</v>
      </c>
      <c r="AC1863" s="336"/>
    </row>
    <row r="1864" spans="1:29" ht="60" customHeight="1">
      <c r="A1864" s="336">
        <v>1857</v>
      </c>
      <c r="B1864" s="349">
        <v>45377</v>
      </c>
      <c r="C1864" s="336" t="s">
        <v>74</v>
      </c>
      <c r="D1864" s="336" t="s">
        <v>6856</v>
      </c>
      <c r="E1864" s="64" t="s">
        <v>6920</v>
      </c>
      <c r="F1864" s="336">
        <v>6</v>
      </c>
      <c r="G1864" s="336" t="s">
        <v>1433</v>
      </c>
      <c r="H1864" s="349">
        <v>45394</v>
      </c>
      <c r="I1864" s="65" t="s">
        <v>75</v>
      </c>
      <c r="J1864" s="349" t="s">
        <v>1216</v>
      </c>
      <c r="K1864" s="63" t="s">
        <v>1512</v>
      </c>
      <c r="L1864" s="63" t="s">
        <v>791</v>
      </c>
      <c r="M1864" s="63" t="s">
        <v>2107</v>
      </c>
      <c r="N1864" s="63" t="s">
        <v>7137</v>
      </c>
      <c r="O1864" s="78" t="str">
        <f ca="1">IF(H1864&lt;&gt;"",IF(H1864&lt;=TODAY(),"SI","NO"),"LIMBO")</f>
        <v>SI</v>
      </c>
      <c r="P1864" s="78" t="str">
        <f>IF($P$1=H1864,"DIASOL", "DIANOSOL")</f>
        <v>DIANOSOL</v>
      </c>
      <c r="Q1864" s="63" t="s">
        <v>151</v>
      </c>
      <c r="R1864" s="63" t="str">
        <f>VLOOKUP($Q1864,Resultados!$A$1:$B$49,2,FALSE)</f>
        <v>Prisión Preventiva</v>
      </c>
      <c r="S1864" s="63"/>
      <c r="T1864" s="81" t="str">
        <f>IF(G1864=$J$1,"SI","NO")</f>
        <v>NO</v>
      </c>
      <c r="U1864" s="81"/>
      <c r="V1864" s="7" t="str">
        <f ca="1">IF(color_Celda(E1864)=12106214,"ROSA",IF(color_Celda(E1864)=65535,"AMARILLO",IF(color_Celda(E1864)=5296274,"VERDE",IF(color_Celda(E1864)=16777215,"BLANCO","NO SE"))))</f>
        <v>ROSA</v>
      </c>
      <c r="W1864" s="336"/>
      <c r="X1864" s="336"/>
      <c r="Y1864" s="336"/>
      <c r="Z1864" s="63" t="s">
        <v>3368</v>
      </c>
      <c r="AA1864" s="63" t="s">
        <v>3379</v>
      </c>
      <c r="AB1864" s="63" t="s">
        <v>1169</v>
      </c>
      <c r="AC1864" s="336"/>
    </row>
    <row r="1865" spans="1:29" ht="60" customHeight="1">
      <c r="A1865" s="336">
        <v>1873</v>
      </c>
      <c r="B1865" s="349">
        <v>45377</v>
      </c>
      <c r="C1865" s="568">
        <v>0.47291666666666665</v>
      </c>
      <c r="D1865" s="63" t="s">
        <v>6899</v>
      </c>
      <c r="E1865" s="64" t="s">
        <v>6900</v>
      </c>
      <c r="F1865" s="336">
        <v>8</v>
      </c>
      <c r="G1865" s="336" t="s">
        <v>29</v>
      </c>
      <c r="H1865" s="349">
        <v>45394</v>
      </c>
      <c r="I1865" s="65" t="s">
        <v>75</v>
      </c>
      <c r="J1865" s="349" t="s">
        <v>33</v>
      </c>
      <c r="K1865" s="336">
        <v>4</v>
      </c>
      <c r="L1865" s="63" t="s">
        <v>569</v>
      </c>
      <c r="M1865" s="339" t="s">
        <v>2268</v>
      </c>
      <c r="N1865" s="63" t="s">
        <v>577</v>
      </c>
      <c r="O1865" s="78" t="str">
        <f ca="1">IF(H1865&lt;&gt;"",IF(H1865&lt;=TODAY(),"SI","NO"),"LIMBO")</f>
        <v>SI</v>
      </c>
      <c r="P1865" s="78" t="str">
        <f>IF($P$1=H1865,"DIASOL", "DIANOSOL")</f>
        <v>DIANOSOL</v>
      </c>
      <c r="Q1865" s="63" t="s">
        <v>151</v>
      </c>
      <c r="R1865" s="63" t="str">
        <f>VLOOKUP($Q1865,Resultados!$A$1:$B$49,2,FALSE)</f>
        <v>Prisión Preventiva</v>
      </c>
      <c r="S1865" s="63"/>
      <c r="T1865" s="81" t="str">
        <f>IF(G1865=$J$1,"SI","NO")</f>
        <v>NO</v>
      </c>
      <c r="U1865" s="81"/>
      <c r="V1865" s="7" t="str">
        <f ca="1">IF(color_Celda(E1865)=12106214,"ROSA",IF(color_Celda(E1865)=65535,"AMARILLO",IF(color_Celda(E1865)=5296274,"VERDE",IF(color_Celda(E1865)=16777215,"BLANCO","NO SE"))))</f>
        <v>ROSA</v>
      </c>
      <c r="W1865" s="336"/>
      <c r="X1865" s="336"/>
      <c r="Y1865" s="336"/>
      <c r="Z1865" s="63" t="s">
        <v>748</v>
      </c>
      <c r="AA1865" s="63"/>
      <c r="AB1865" s="63" t="s">
        <v>5776</v>
      </c>
      <c r="AC1865" s="336"/>
    </row>
    <row r="1866" spans="1:29" ht="60" customHeight="1">
      <c r="A1866" s="336">
        <v>1882</v>
      </c>
      <c r="B1866" s="349">
        <v>45343</v>
      </c>
      <c r="C1866" s="568">
        <v>0.47152777777777777</v>
      </c>
      <c r="D1866" s="336" t="s">
        <v>6098</v>
      </c>
      <c r="E1866" s="64" t="s">
        <v>6099</v>
      </c>
      <c r="F1866" s="336">
        <v>4</v>
      </c>
      <c r="G1866" s="63" t="s">
        <v>568</v>
      </c>
      <c r="H1866" s="383">
        <v>45394</v>
      </c>
      <c r="I1866" s="65" t="s">
        <v>77</v>
      </c>
      <c r="J1866" s="65" t="s">
        <v>33</v>
      </c>
      <c r="K1866" s="336">
        <f>IFERROR(VLOOKUP(J1866,Jueces!$A$1:$B$11,2,FALSE),"")</f>
        <v>4</v>
      </c>
      <c r="L1866" s="63" t="s">
        <v>582</v>
      </c>
      <c r="M1866" s="63" t="s">
        <v>695</v>
      </c>
      <c r="N1866" s="63" t="s">
        <v>7142</v>
      </c>
      <c r="O1866" s="233" t="str">
        <f ca="1">IF(H1866&lt;&gt;"",IF(H1866&lt;=TODAY(),"SI","NO"),"LIMBO")</f>
        <v>SI</v>
      </c>
      <c r="P1866" s="233" t="str">
        <f>IF($P$1=H1866,"DIASOL", "DIANOSOL")</f>
        <v>DIANOSOL</v>
      </c>
      <c r="Q1866" s="63" t="s">
        <v>909</v>
      </c>
      <c r="R1866" s="63" t="str">
        <f>VLOOKUP($Q1866,Resultados!$A$1:$B$49,2,FALSE)</f>
        <v>Suspendida</v>
      </c>
      <c r="S1866" s="63"/>
      <c r="T1866" s="508" t="str">
        <f>IF(G1866=$J$1,"SI","NO")</f>
        <v>NO</v>
      </c>
      <c r="U1866" s="508"/>
      <c r="V1866" s="7" t="str">
        <f ca="1">IF(color_Celda(E1866)=12106214,"ROSA",IF(color_Celda(E1866)=65535,"AMARILLO",IF(color_Celda(E1866)=5296274,"VERDE",IF(color_Celda(E1866)=16777215,"BLANCO","NO SE"))))</f>
        <v>ROSA</v>
      </c>
      <c r="W1866" s="336"/>
      <c r="X1866" s="336"/>
      <c r="Y1866" s="336"/>
      <c r="Z1866" s="63" t="s">
        <v>748</v>
      </c>
      <c r="AA1866" s="336"/>
      <c r="AB1866" s="63" t="s">
        <v>1170</v>
      </c>
      <c r="AC1866" s="336"/>
    </row>
    <row r="1867" spans="1:29" ht="60" customHeight="1">
      <c r="A1867" s="336">
        <v>1875</v>
      </c>
      <c r="B1867" s="349">
        <v>45378</v>
      </c>
      <c r="C1867" s="568">
        <v>0.3666666666666667</v>
      </c>
      <c r="D1867" s="63" t="s">
        <v>6513</v>
      </c>
      <c r="E1867" s="355" t="s">
        <v>6901</v>
      </c>
      <c r="F1867" s="336">
        <v>5</v>
      </c>
      <c r="G1867" s="336" t="s">
        <v>283</v>
      </c>
      <c r="H1867" s="349">
        <v>45394</v>
      </c>
      <c r="I1867" s="65" t="s">
        <v>77</v>
      </c>
      <c r="J1867" s="349" t="s">
        <v>1221</v>
      </c>
      <c r="K1867" s="63" t="s">
        <v>2324</v>
      </c>
      <c r="L1867" s="63" t="s">
        <v>4788</v>
      </c>
      <c r="M1867" s="335" t="s">
        <v>3381</v>
      </c>
      <c r="N1867" s="63" t="s">
        <v>7138</v>
      </c>
      <c r="O1867" s="78" t="str">
        <f ca="1">IF(H1867&lt;&gt;"",IF(H1867&lt;=TODAY(),"SI","NO"),"LIMBO")</f>
        <v>SI</v>
      </c>
      <c r="P1867" s="78" t="str">
        <f>IF($P$1=H1867,"DIASOL", "DIANOSOL")</f>
        <v>DIANOSOL</v>
      </c>
      <c r="Q1867" s="63" t="s">
        <v>897</v>
      </c>
      <c r="R1867" s="63" t="str">
        <f>VLOOKUP($Q1867,Resultados!$A$1:$B$49,2,FALSE)</f>
        <v>Libertad</v>
      </c>
      <c r="S1867" s="63"/>
      <c r="T1867" s="81" t="str">
        <f>IF(G1867=$J$1,"SI","NO")</f>
        <v>NO</v>
      </c>
      <c r="U1867" s="81"/>
      <c r="V1867" s="7" t="str">
        <f ca="1">IF(color_Celda(E1867)=12106214,"ROSA",IF(color_Celda(E1867)=65535,"AMARILLO",IF(color_Celda(E1867)=5296274,"VERDE",IF(color_Celda(E1867)=16777215,"BLANCO","NO SE"))))</f>
        <v>ROSA</v>
      </c>
      <c r="W1867" s="336"/>
      <c r="X1867" s="336"/>
      <c r="Y1867" s="336"/>
      <c r="Z1867" s="63" t="s">
        <v>3368</v>
      </c>
      <c r="AA1867" s="63" t="s">
        <v>3379</v>
      </c>
      <c r="AB1867" s="63" t="s">
        <v>3258</v>
      </c>
      <c r="AC1867" s="336"/>
    </row>
    <row r="1868" spans="1:29" ht="60" customHeight="1">
      <c r="A1868" s="336">
        <v>1850</v>
      </c>
      <c r="B1868" s="349">
        <v>45377</v>
      </c>
      <c r="C1868" s="63" t="s">
        <v>3358</v>
      </c>
      <c r="D1868" s="63" t="s">
        <v>6842</v>
      </c>
      <c r="E1868" s="64" t="s">
        <v>6923</v>
      </c>
      <c r="F1868" s="336">
        <v>1</v>
      </c>
      <c r="G1868" s="63" t="s">
        <v>2815</v>
      </c>
      <c r="H1868" s="349">
        <v>45397</v>
      </c>
      <c r="I1868" s="65" t="s">
        <v>73</v>
      </c>
      <c r="J1868" s="65" t="s">
        <v>4931</v>
      </c>
      <c r="K1868" s="63" t="s">
        <v>1982</v>
      </c>
      <c r="L1868" s="63" t="s">
        <v>4781</v>
      </c>
      <c r="M1868" s="335" t="s">
        <v>4456</v>
      </c>
      <c r="N1868" s="63" t="s">
        <v>7165</v>
      </c>
      <c r="O1868" s="167" t="str">
        <f ca="1">IF(H1868&lt;&gt;"",IF(H1868&lt;=TODAY(),"SI","NO"),"LIMBO")</f>
        <v>SI</v>
      </c>
      <c r="P1868" s="167" t="str">
        <f>IF($P$1=H1868,"DIASOL", "DIANOSOL")</f>
        <v>DIANOSOL</v>
      </c>
      <c r="Q1868" s="63" t="s">
        <v>1010</v>
      </c>
      <c r="R1868" s="63" t="str">
        <f>VLOOKUP($Q1868,Resultados!$A$1:$B$49,2,FALSE)</f>
        <v>Suspendida</v>
      </c>
      <c r="S1868" s="63"/>
      <c r="T1868" s="414" t="str">
        <f>IF(G1868=$J$1,"SI","NO")</f>
        <v>NO</v>
      </c>
      <c r="U1868" s="414"/>
      <c r="V1868" s="7" t="str">
        <f ca="1">IF(color_Celda(E1868)=12106214,"ROSA",IF(color_Celda(E1868)=65535,"AMARILLO",IF(color_Celda(E1868)=5296274,"VERDE",IF(color_Celda(E1868)=16777215,"BLANCO","NO SE"))))</f>
        <v>ROSA</v>
      </c>
      <c r="W1868" s="336"/>
      <c r="X1868" s="336"/>
      <c r="Y1868" s="336"/>
      <c r="Z1868" s="63" t="s">
        <v>748</v>
      </c>
      <c r="AA1868" s="63" t="s">
        <v>3378</v>
      </c>
      <c r="AB1868" s="63" t="s">
        <v>1169</v>
      </c>
      <c r="AC1868" s="336"/>
    </row>
    <row r="1869" spans="1:29" ht="60" customHeight="1">
      <c r="A1869" s="336">
        <v>1879</v>
      </c>
      <c r="B1869" s="349">
        <v>45385</v>
      </c>
      <c r="C1869" s="568">
        <v>0.4284722222222222</v>
      </c>
      <c r="D1869" s="63" t="s">
        <v>6912</v>
      </c>
      <c r="E1869" s="64" t="s">
        <v>6913</v>
      </c>
      <c r="F1869" s="336">
        <v>7</v>
      </c>
      <c r="G1869" s="63" t="s">
        <v>3791</v>
      </c>
      <c r="H1869" s="349">
        <v>45397</v>
      </c>
      <c r="I1869" s="65" t="s">
        <v>73</v>
      </c>
      <c r="J1869" s="65" t="s">
        <v>33</v>
      </c>
      <c r="K1869" s="336">
        <f>IFERROR(VLOOKUP(J1869,Jueces!$A$1:$B$11,2,FALSE),"")</f>
        <v>4</v>
      </c>
      <c r="L1869" s="63" t="s">
        <v>791</v>
      </c>
      <c r="M1869" s="7" t="s">
        <v>725</v>
      </c>
      <c r="N1869" s="63" t="s">
        <v>7161</v>
      </c>
      <c r="O1869" s="167" t="str">
        <f ca="1">IF(H1869&lt;&gt;"",IF(H1869&lt;=TODAY(),"SI","NO"),"LIMBO")</f>
        <v>SI</v>
      </c>
      <c r="P1869" s="167" t="str">
        <f>IF($P$1=H1869,"DIASOL", "DIANOSOL")</f>
        <v>DIANOSOL</v>
      </c>
      <c r="Q1869" s="63" t="s">
        <v>903</v>
      </c>
      <c r="R1869" s="63" t="str">
        <f>VLOOKUP($Q1869,Resultados!$A$1:$B$49,2,FALSE)</f>
        <v>Juicio Abreviado</v>
      </c>
      <c r="S1869" s="63"/>
      <c r="T1869" s="414" t="str">
        <f>IF(G1869=$J$1,"SI","NO")</f>
        <v>NO</v>
      </c>
      <c r="U1869" s="414"/>
      <c r="V1869" s="7" t="str">
        <f ca="1">IF(color_Celda(E1869)=12106214,"ROSA",IF(color_Celda(E1869)=65535,"AMARILLO",IF(color_Celda(E1869)=5296274,"VERDE",IF(color_Celda(E1869)=16777215,"BLANCO","NO SE"))))</f>
        <v>ROSA</v>
      </c>
      <c r="W1869" s="336"/>
      <c r="X1869" s="336"/>
      <c r="Y1869" s="336"/>
      <c r="Z1869" s="63" t="s">
        <v>3368</v>
      </c>
      <c r="AA1869" s="63" t="s">
        <v>1167</v>
      </c>
      <c r="AB1869" s="63" t="s">
        <v>3258</v>
      </c>
      <c r="AC1869" s="336"/>
    </row>
    <row r="1870" spans="1:29" ht="60" customHeight="1">
      <c r="A1870" s="336">
        <v>1880</v>
      </c>
      <c r="B1870" s="349">
        <v>45385</v>
      </c>
      <c r="C1870" s="568">
        <v>0.47500000000000003</v>
      </c>
      <c r="D1870" s="63" t="s">
        <v>6914</v>
      </c>
      <c r="E1870" s="64" t="s">
        <v>6915</v>
      </c>
      <c r="F1870" s="336">
        <v>6</v>
      </c>
      <c r="G1870" s="63" t="s">
        <v>1434</v>
      </c>
      <c r="H1870" s="349">
        <v>45397</v>
      </c>
      <c r="I1870" s="65" t="s">
        <v>73</v>
      </c>
      <c r="J1870" s="65" t="s">
        <v>4932</v>
      </c>
      <c r="K1870" s="63" t="s">
        <v>3941</v>
      </c>
      <c r="L1870" s="63" t="s">
        <v>4782</v>
      </c>
      <c r="M1870" s="339" t="s">
        <v>2220</v>
      </c>
      <c r="N1870" s="63" t="s">
        <v>7162</v>
      </c>
      <c r="O1870" s="167" t="str">
        <f ca="1">IF(H1870&lt;&gt;"",IF(H1870&lt;=TODAY(),"SI","NO"),"LIMBO")</f>
        <v>SI</v>
      </c>
      <c r="P1870" s="167" t="str">
        <f>IF($P$1=H1870,"DIASOL", "DIANOSOL")</f>
        <v>DIANOSOL</v>
      </c>
      <c r="Q1870" s="63" t="s">
        <v>911</v>
      </c>
      <c r="R1870" s="63" t="str">
        <f>VLOOKUP($Q1870,Resultados!$A$1:$B$49,2,FALSE)</f>
        <v>Prision domiciliaria</v>
      </c>
      <c r="S1870" s="63"/>
      <c r="T1870" s="414" t="str">
        <f>IF(G1870=$J$1,"SI","NO")</f>
        <v>NO</v>
      </c>
      <c r="U1870" s="414"/>
      <c r="V1870" s="7" t="str">
        <f ca="1">IF(color_Celda(E1870)=12106214,"ROSA",IF(color_Celda(E1870)=65535,"AMARILLO",IF(color_Celda(E1870)=5296274,"VERDE",IF(color_Celda(E1870)=16777215,"BLANCO","NO SE"))))</f>
        <v>ROSA</v>
      </c>
      <c r="W1870" s="336"/>
      <c r="X1870" s="336"/>
      <c r="Y1870" s="336"/>
      <c r="Z1870" s="63" t="s">
        <v>748</v>
      </c>
      <c r="AA1870" s="63" t="s">
        <v>3378</v>
      </c>
      <c r="AB1870" s="63" t="s">
        <v>5776</v>
      </c>
      <c r="AC1870" s="336"/>
    </row>
    <row r="1871" spans="1:29" ht="60" customHeight="1">
      <c r="A1871" s="336">
        <v>1906</v>
      </c>
      <c r="B1871" s="349">
        <v>45387</v>
      </c>
      <c r="C1871" s="568">
        <v>0.5</v>
      </c>
      <c r="D1871" s="63" t="s">
        <v>6237</v>
      </c>
      <c r="E1871" s="64" t="s">
        <v>6995</v>
      </c>
      <c r="F1871" s="336">
        <v>4</v>
      </c>
      <c r="G1871" s="63" t="s">
        <v>568</v>
      </c>
      <c r="H1871" s="383">
        <v>45397</v>
      </c>
      <c r="I1871" s="65" t="s">
        <v>73</v>
      </c>
      <c r="J1871" s="65" t="s">
        <v>1217</v>
      </c>
      <c r="K1871" s="336">
        <f>IFERROR(VLOOKUP(J1871,Jueces!$A$1:$B$11,2,FALSE),"")</f>
        <v>7</v>
      </c>
      <c r="L1871" s="63" t="s">
        <v>2077</v>
      </c>
      <c r="M1871" s="7" t="s">
        <v>695</v>
      </c>
      <c r="N1871" s="63" t="s">
        <v>7164</v>
      </c>
      <c r="O1871" s="78" t="str">
        <f ca="1">IF(H1871&lt;&gt;"",IF(H1871&lt;=TODAY(),"SI","NO"),"LIMBO")</f>
        <v>SI</v>
      </c>
      <c r="P1871" s="78" t="str">
        <f>IF($P$1=H1871,"DIASOL", "DIANOSOL")</f>
        <v>DIANOSOL</v>
      </c>
      <c r="Q1871" s="63" t="s">
        <v>1010</v>
      </c>
      <c r="R1871" s="63" t="str">
        <f>VLOOKUP($Q1871,Resultados!$A$1:$B$49,2,FALSE)</f>
        <v>Suspendida</v>
      </c>
      <c r="S1871" s="63"/>
      <c r="T1871" s="81" t="str">
        <f>IF(G1871=$J$1,"SI","NO")</f>
        <v>NO</v>
      </c>
      <c r="U1871" s="81"/>
      <c r="V1871" s="7" t="str">
        <f ca="1">IF(color_Celda(E1871)=12106214,"ROSA",IF(color_Celda(E1871)=65535,"AMARILLO",IF(color_Celda(E1871)=5296274,"VERDE",IF(color_Celda(E1871)=16777215,"BLANCO","NO SE"))))</f>
        <v>ROSA</v>
      </c>
      <c r="W1871" s="336"/>
      <c r="X1871" s="336"/>
      <c r="Y1871" s="336"/>
      <c r="Z1871" s="63" t="s">
        <v>3368</v>
      </c>
      <c r="AA1871" s="63" t="s">
        <v>3379</v>
      </c>
      <c r="AB1871" s="63" t="s">
        <v>1171</v>
      </c>
      <c r="AC1871" s="336"/>
    </row>
    <row r="1872" spans="1:29" ht="60" customHeight="1">
      <c r="A1872" s="336">
        <v>1866</v>
      </c>
      <c r="B1872" s="349">
        <v>45378</v>
      </c>
      <c r="C1872" s="336" t="s">
        <v>3161</v>
      </c>
      <c r="D1872" s="63" t="s">
        <v>6908</v>
      </c>
      <c r="E1872" s="355" t="s">
        <v>6909</v>
      </c>
      <c r="F1872" s="336">
        <v>7</v>
      </c>
      <c r="G1872" s="63" t="s">
        <v>1435</v>
      </c>
      <c r="H1872" s="349">
        <v>45397</v>
      </c>
      <c r="I1872" s="65" t="s">
        <v>749</v>
      </c>
      <c r="J1872" s="65" t="s">
        <v>1221</v>
      </c>
      <c r="K1872" s="336">
        <f>IFERROR(VLOOKUP(J1872,Jueces!$A$1:$B$11,2,FALSE),"")</f>
        <v>6</v>
      </c>
      <c r="L1872" s="63" t="s">
        <v>805</v>
      </c>
      <c r="M1872" s="63" t="s">
        <v>2201</v>
      </c>
      <c r="N1872" s="63" t="s">
        <v>577</v>
      </c>
      <c r="O1872" s="167" t="str">
        <f ca="1">IF(H1872&lt;&gt;"",IF(H1872&lt;=TODAY(),"SI","NO"),"LIMBO")</f>
        <v>SI</v>
      </c>
      <c r="P1872" s="167" t="str">
        <f>IF($P$1=H1872,"DIASOL", "DIANOSOL")</f>
        <v>DIANOSOL</v>
      </c>
      <c r="Q1872" s="63" t="s">
        <v>151</v>
      </c>
      <c r="R1872" s="63" t="str">
        <f>VLOOKUP($Q1872,Resultados!$A$1:$B$49,2,FALSE)</f>
        <v>Prisión Preventiva</v>
      </c>
      <c r="S1872" s="63"/>
      <c r="T1872" s="414" t="str">
        <f>IF(G1872=$J$1,"SI","NO")</f>
        <v>SI</v>
      </c>
      <c r="U1872" s="414"/>
      <c r="V1872" s="7" t="str">
        <f ca="1">IF(color_Celda(E1872)=12106214,"ROSA",IF(color_Celda(E1872)=65535,"AMARILLO",IF(color_Celda(E1872)=5296274,"VERDE",IF(color_Celda(E1872)=16777215,"BLANCO","NO SE"))))</f>
        <v>ROSA</v>
      </c>
      <c r="W1872" s="336"/>
      <c r="X1872" s="336"/>
      <c r="Y1872" s="336"/>
      <c r="Z1872" s="63" t="s">
        <v>770</v>
      </c>
      <c r="AA1872" s="63" t="s">
        <v>3379</v>
      </c>
      <c r="AB1872" s="63" t="s">
        <v>1170</v>
      </c>
      <c r="AC1872" s="336"/>
    </row>
    <row r="1873" spans="1:29" ht="60" customHeight="1">
      <c r="A1873" s="336">
        <v>1817</v>
      </c>
      <c r="B1873" s="349">
        <v>45372</v>
      </c>
      <c r="C1873" s="336" t="s">
        <v>1570</v>
      </c>
      <c r="D1873" s="63" t="s">
        <v>6747</v>
      </c>
      <c r="E1873" s="355" t="s">
        <v>6748</v>
      </c>
      <c r="F1873" s="336">
        <v>2</v>
      </c>
      <c r="G1873" s="336" t="s">
        <v>283</v>
      </c>
      <c r="H1873" s="349">
        <v>45397</v>
      </c>
      <c r="I1873" s="349" t="s">
        <v>76</v>
      </c>
      <c r="J1873" s="349" t="s">
        <v>1217</v>
      </c>
      <c r="K1873" s="336" t="s">
        <v>2324</v>
      </c>
      <c r="L1873" s="63" t="s">
        <v>2077</v>
      </c>
      <c r="M1873" s="7" t="s">
        <v>1084</v>
      </c>
      <c r="N1873" s="63" t="s">
        <v>7163</v>
      </c>
      <c r="O1873" s="78" t="str">
        <f ca="1">IF(H1873&lt;&gt;"",IF(H1873&lt;=TODAY(),"SI","NO"),"LIMBO")</f>
        <v>SI</v>
      </c>
      <c r="P1873" s="78" t="str">
        <f>IF($P$1=H1873,"DIASOL", "DIANOSOL")</f>
        <v>DIANOSOL</v>
      </c>
      <c r="Q1873" s="63" t="s">
        <v>151</v>
      </c>
      <c r="R1873" s="63" t="str">
        <f>VLOOKUP($Q1873,Resultados!$A$1:$B$49,2,FALSE)</f>
        <v>Prisión Preventiva</v>
      </c>
      <c r="S1873" s="63"/>
      <c r="T1873" s="81" t="str">
        <f>IF(G1873=$J$1,"SI","NO")</f>
        <v>NO</v>
      </c>
      <c r="U1873" s="81"/>
      <c r="V1873" s="7" t="str">
        <f ca="1">IF(color_Celda(E1873)=12106214,"ROSA",IF(color_Celda(E1873)=65535,"AMARILLO",IF(color_Celda(E1873)=5296274,"VERDE",IF(color_Celda(E1873)=16777215,"BLANCO","NO SE"))))</f>
        <v>ROSA</v>
      </c>
      <c r="W1873" s="336"/>
      <c r="X1873" s="336"/>
      <c r="Y1873" s="336"/>
      <c r="Z1873" s="63" t="s">
        <v>3368</v>
      </c>
      <c r="AA1873" s="63" t="s">
        <v>2869</v>
      </c>
      <c r="AB1873" s="63" t="s">
        <v>1169</v>
      </c>
      <c r="AC1873" s="336"/>
    </row>
    <row r="1874" spans="1:29" ht="60" customHeight="1">
      <c r="A1874" s="336">
        <v>1881</v>
      </c>
      <c r="B1874" s="349">
        <v>45385</v>
      </c>
      <c r="C1874" s="568">
        <v>0.48888888888888887</v>
      </c>
      <c r="D1874" s="63" t="s">
        <v>6916</v>
      </c>
      <c r="E1874" s="64" t="s">
        <v>6917</v>
      </c>
      <c r="F1874" s="336">
        <v>7</v>
      </c>
      <c r="G1874" s="63" t="s">
        <v>3323</v>
      </c>
      <c r="H1874" s="349">
        <v>45397</v>
      </c>
      <c r="I1874" s="65" t="s">
        <v>76</v>
      </c>
      <c r="J1874" s="65" t="s">
        <v>35</v>
      </c>
      <c r="K1874" s="336">
        <f>IFERROR(VLOOKUP(J1874,Jueces!$A$1:$B$11,2,FALSE),"")</f>
        <v>3</v>
      </c>
      <c r="L1874" s="63" t="s">
        <v>4788</v>
      </c>
      <c r="M1874" s="63" t="s">
        <v>725</v>
      </c>
      <c r="N1874" s="63" t="s">
        <v>6864</v>
      </c>
      <c r="O1874" s="233" t="str">
        <f ca="1">IF(H1874&lt;&gt;"",IF(H1874&lt;=TODAY(),"SI","NO"),"LIMBO")</f>
        <v>SI</v>
      </c>
      <c r="P1874" s="233" t="str">
        <f>IF($P$1=H1874,"DIASOL", "DIANOSOL")</f>
        <v>DIANOSOL</v>
      </c>
      <c r="Q1874" s="63" t="s">
        <v>151</v>
      </c>
      <c r="R1874" s="63" t="str">
        <f>VLOOKUP($Q1874,Resultados!$A$1:$B$49,2,FALSE)</f>
        <v>Prisión Preventiva</v>
      </c>
      <c r="S1874" s="63"/>
      <c r="T1874" s="508" t="str">
        <f>IF(G1874=$J$1,"SI","NO")</f>
        <v>NO</v>
      </c>
      <c r="U1874" s="508"/>
      <c r="V1874" s="7" t="str">
        <f ca="1">IF(color_Celda(E1874)=12106214,"ROSA",IF(color_Celda(E1874)=65535,"AMARILLO",IF(color_Celda(E1874)=5296274,"VERDE",IF(color_Celda(E1874)=16777215,"BLANCO","NO SE"))))</f>
        <v>ROSA</v>
      </c>
      <c r="W1874" s="336"/>
      <c r="X1874" s="336"/>
      <c r="Y1874" s="336"/>
      <c r="Z1874" s="63" t="s">
        <v>748</v>
      </c>
      <c r="AA1874" s="63" t="s">
        <v>2828</v>
      </c>
      <c r="AB1874" s="63" t="s">
        <v>3258</v>
      </c>
      <c r="AC1874" s="336"/>
    </row>
    <row r="1875" spans="1:29" ht="60" customHeight="1">
      <c r="A1875" s="328">
        <v>1867</v>
      </c>
      <c r="B1875" s="19">
        <v>45385</v>
      </c>
      <c r="C1875" s="377">
        <v>0.33333333333333331</v>
      </c>
      <c r="D1875" s="7" t="s">
        <v>6889</v>
      </c>
      <c r="E1875" s="40" t="s">
        <v>6890</v>
      </c>
      <c r="F1875" s="328">
        <v>7</v>
      </c>
      <c r="G1875" s="7" t="s">
        <v>29</v>
      </c>
      <c r="H1875" s="376">
        <v>45397</v>
      </c>
      <c r="I1875" s="19" t="s">
        <v>75</v>
      </c>
      <c r="J1875" s="19" t="s">
        <v>33</v>
      </c>
      <c r="K1875" s="7" t="s">
        <v>3779</v>
      </c>
      <c r="L1875" s="7" t="s">
        <v>4780</v>
      </c>
      <c r="M1875" s="7" t="s">
        <v>2201</v>
      </c>
      <c r="N1875" s="7" t="s">
        <v>7206</v>
      </c>
      <c r="O1875" s="167" t="str">
        <f ca="1">IF(H1875&lt;&gt;"",IF(H1875&lt;=TODAY(),"SI","NO"),"LIMBO")</f>
        <v>SI</v>
      </c>
      <c r="P1875" s="167" t="str">
        <f>IF($P$1=H1875,"DIASOL", "DIANOSOL")</f>
        <v>DIANOSOL</v>
      </c>
      <c r="Q1875" s="63" t="s">
        <v>902</v>
      </c>
      <c r="R1875" s="63" t="str">
        <f>VLOOKUP($Q1875,Resultados!$A$1:$B$49,2,FALSE)</f>
        <v>Juicio Abreviado</v>
      </c>
      <c r="S1875" s="63"/>
      <c r="T1875" s="414" t="str">
        <f>IF(G1875=$J$1,"SI","NO")</f>
        <v>NO</v>
      </c>
      <c r="U1875" s="414"/>
      <c r="V1875" s="7" t="str">
        <f ca="1">IF(color_Celda(E1875)=12106214,"ROSA",IF(color_Celda(E1875)=65535,"AMARILLO",IF(color_Celda(E1875)=5296274,"VERDE",IF(color_Celda(E1875)=16777215,"BLANCO","NO SE"))))</f>
        <v>ROSA</v>
      </c>
      <c r="W1875" s="336"/>
      <c r="X1875" s="336"/>
      <c r="Y1875" s="336"/>
      <c r="Z1875" s="63" t="s">
        <v>770</v>
      </c>
      <c r="AA1875" s="63" t="s">
        <v>1167</v>
      </c>
      <c r="AB1875" s="63" t="s">
        <v>1171</v>
      </c>
      <c r="AC1875" s="336"/>
    </row>
    <row r="1876" spans="1:29" ht="60" customHeight="1">
      <c r="A1876" s="336">
        <v>1865</v>
      </c>
      <c r="B1876" s="349">
        <v>45378</v>
      </c>
      <c r="C1876" s="336" t="s">
        <v>3120</v>
      </c>
      <c r="D1876" s="336" t="s">
        <v>6884</v>
      </c>
      <c r="E1876" s="64" t="s">
        <v>7015</v>
      </c>
      <c r="F1876" s="336">
        <v>7</v>
      </c>
      <c r="G1876" s="63" t="s">
        <v>2753</v>
      </c>
      <c r="H1876" s="349">
        <v>45397</v>
      </c>
      <c r="I1876" s="65" t="s">
        <v>77</v>
      </c>
      <c r="J1876" s="65" t="s">
        <v>1216</v>
      </c>
      <c r="K1876" s="63" t="s">
        <v>1982</v>
      </c>
      <c r="L1876" s="63" t="s">
        <v>806</v>
      </c>
      <c r="M1876" s="63" t="s">
        <v>2201</v>
      </c>
      <c r="N1876" s="63" t="s">
        <v>577</v>
      </c>
      <c r="O1876" s="167" t="str">
        <f ca="1">IF(H1876&lt;&gt;"",IF(H1876&lt;=TODAY(),"SI","NO"),"LIMBO")</f>
        <v>SI</v>
      </c>
      <c r="P1876" s="167" t="str">
        <f>IF($P$1=H1876,"DIASOL", "DIANOSOL")</f>
        <v>DIANOSOL</v>
      </c>
      <c r="Q1876" s="63" t="s">
        <v>151</v>
      </c>
      <c r="R1876" s="63" t="str">
        <f>VLOOKUP($Q1876,Resultados!$A$1:$B$49,2,FALSE)</f>
        <v>Prisión Preventiva</v>
      </c>
      <c r="S1876" s="63"/>
      <c r="T1876" s="414" t="str">
        <f>IF(G1876=$J$1,"SI","NO")</f>
        <v>NO</v>
      </c>
      <c r="U1876" s="414"/>
      <c r="V1876" s="7" t="str">
        <f ca="1">IF(color_Celda(E1876)=12106214,"ROSA",IF(color_Celda(E1876)=65535,"AMARILLO",IF(color_Celda(E1876)=5296274,"VERDE",IF(color_Celda(E1876)=16777215,"BLANCO","NO SE"))))</f>
        <v>ROSA</v>
      </c>
      <c r="W1876" s="336"/>
      <c r="X1876" s="336"/>
      <c r="Y1876" s="336"/>
      <c r="Z1876" s="63" t="s">
        <v>770</v>
      </c>
      <c r="AA1876" s="63" t="s">
        <v>2828</v>
      </c>
      <c r="AB1876" s="63" t="s">
        <v>1170</v>
      </c>
      <c r="AC1876" s="336"/>
    </row>
    <row r="1877" spans="1:29" ht="60" customHeight="1">
      <c r="A1877" s="336">
        <v>1877</v>
      </c>
      <c r="B1877" s="349">
        <v>45378</v>
      </c>
      <c r="C1877" s="568">
        <v>0.5229166666666667</v>
      </c>
      <c r="D1877" s="63" t="s">
        <v>6903</v>
      </c>
      <c r="E1877" s="64" t="s">
        <v>7021</v>
      </c>
      <c r="F1877" s="336">
        <v>7</v>
      </c>
      <c r="G1877" s="63" t="s">
        <v>5710</v>
      </c>
      <c r="H1877" s="349">
        <v>45398</v>
      </c>
      <c r="I1877" s="65" t="s">
        <v>73</v>
      </c>
      <c r="J1877" s="65" t="s">
        <v>33</v>
      </c>
      <c r="K1877" s="336">
        <f>IFERROR(VLOOKUP(J1877,Jueces!$A$1:$B$11,2,FALSE),"")</f>
        <v>4</v>
      </c>
      <c r="L1877" s="63" t="s">
        <v>791</v>
      </c>
      <c r="M1877" s="63" t="s">
        <v>2201</v>
      </c>
      <c r="N1877" s="335" t="s">
        <v>7231</v>
      </c>
      <c r="O1877" s="167" t="str">
        <f ca="1">IF(H1877&lt;&gt;"",IF(H1877&lt;=TODAY(),"SI","NO"),"LIMBO")</f>
        <v>SI</v>
      </c>
      <c r="P1877" s="167" t="str">
        <f>IF($P$1=H1877,"DIASOL", "DIANOSOL")</f>
        <v>DIANOSOL</v>
      </c>
      <c r="Q1877" s="63" t="s">
        <v>902</v>
      </c>
      <c r="R1877" s="63" t="str">
        <f>VLOOKUP($Q1877,Resultados!$A$1:$B$49,2,FALSE)</f>
        <v>Juicio Abreviado</v>
      </c>
      <c r="S1877" s="63"/>
      <c r="T1877" s="414" t="str">
        <f>IF(G1877=$J$1,"SI","NO")</f>
        <v>NO</v>
      </c>
      <c r="U1877" s="414"/>
      <c r="V1877" s="7" t="str">
        <f ca="1">IF(color_Celda(E1877)=12106214,"ROSA",IF(color_Celda(E1877)=65535,"AMARILLO",IF(color_Celda(E1877)=5296274,"VERDE",IF(color_Celda(E1877)=16777215,"BLANCO","NO SE"))))</f>
        <v>ROSA</v>
      </c>
      <c r="W1877" s="336"/>
      <c r="X1877" s="336"/>
      <c r="Y1877" s="336"/>
      <c r="Z1877" s="336" t="s">
        <v>748</v>
      </c>
      <c r="AA1877" s="63" t="s">
        <v>3379</v>
      </c>
      <c r="AB1877" s="336" t="s">
        <v>5776</v>
      </c>
      <c r="AC1877" s="336"/>
    </row>
    <row r="1878" spans="1:29" ht="60" customHeight="1">
      <c r="A1878" s="336">
        <v>1891</v>
      </c>
      <c r="B1878" s="349">
        <v>45386</v>
      </c>
      <c r="C1878" s="568">
        <v>0.49305555555555558</v>
      </c>
      <c r="D1878" s="336" t="s">
        <v>6936</v>
      </c>
      <c r="E1878" s="355" t="s">
        <v>6937</v>
      </c>
      <c r="F1878" s="336">
        <v>7</v>
      </c>
      <c r="G1878" s="63" t="s">
        <v>283</v>
      </c>
      <c r="H1878" s="349">
        <v>45398</v>
      </c>
      <c r="I1878" s="65" t="s">
        <v>73</v>
      </c>
      <c r="J1878" s="65" t="s">
        <v>4746</v>
      </c>
      <c r="K1878" s="63" t="s">
        <v>3941</v>
      </c>
      <c r="L1878" s="63" t="s">
        <v>4777</v>
      </c>
      <c r="M1878" s="63" t="s">
        <v>725</v>
      </c>
      <c r="N1878" s="336" t="s">
        <v>2459</v>
      </c>
      <c r="O1878" s="233" t="str">
        <f ca="1">IF(H1878&lt;&gt;"",IF(H1878&lt;=TODAY(),"SI","NO"),"LIMBO")</f>
        <v>SI</v>
      </c>
      <c r="P1878" s="233" t="str">
        <f>IF($P$1=H1878,"DIASOL", "DIANOSOL")</f>
        <v>DIANOSOL</v>
      </c>
      <c r="Q1878" s="63" t="s">
        <v>903</v>
      </c>
      <c r="R1878" s="63" t="str">
        <f>VLOOKUP($Q1878,Resultados!$A$1:$B$49,2,FALSE)</f>
        <v>Juicio Abreviado</v>
      </c>
      <c r="S1878" s="63"/>
      <c r="T1878" s="508" t="str">
        <f>IF(G1878=$J$1,"SI","NO")</f>
        <v>NO</v>
      </c>
      <c r="U1878" s="508"/>
      <c r="V1878" s="7" t="str">
        <f ca="1">IF(color_Celda(E1878)=12106214,"ROSA",IF(color_Celda(E1878)=65535,"AMARILLO",IF(color_Celda(E1878)=5296274,"VERDE",IF(color_Celda(E1878)=16777215,"BLANCO","NO SE"))))</f>
        <v>ROSA</v>
      </c>
      <c r="W1878" s="336"/>
      <c r="X1878" s="336"/>
      <c r="Y1878" s="336"/>
      <c r="Z1878" s="336" t="s">
        <v>3368</v>
      </c>
      <c r="AA1878" s="63" t="s">
        <v>3378</v>
      </c>
      <c r="AB1878" s="336" t="s">
        <v>3258</v>
      </c>
      <c r="AC1878" s="336"/>
    </row>
    <row r="1879" spans="1:29" ht="60" customHeight="1">
      <c r="A1879" s="336">
        <v>1896</v>
      </c>
      <c r="B1879" s="349">
        <v>45387</v>
      </c>
      <c r="C1879" s="568">
        <v>0.33333333333333331</v>
      </c>
      <c r="D1879" s="63" t="s">
        <v>6946</v>
      </c>
      <c r="E1879" s="64" t="s">
        <v>6945</v>
      </c>
      <c r="F1879" s="336">
        <v>7</v>
      </c>
      <c r="G1879" s="336" t="s">
        <v>3791</v>
      </c>
      <c r="H1879" s="349">
        <v>45398</v>
      </c>
      <c r="I1879" s="65" t="s">
        <v>73</v>
      </c>
      <c r="J1879" s="65" t="s">
        <v>4931</v>
      </c>
      <c r="K1879" s="63" t="s">
        <v>1982</v>
      </c>
      <c r="L1879" s="63" t="s">
        <v>4789</v>
      </c>
      <c r="M1879" s="7" t="s">
        <v>723</v>
      </c>
      <c r="N1879" s="336" t="s">
        <v>7233</v>
      </c>
      <c r="O1879" s="167" t="str">
        <f ca="1">IF(H1879&lt;&gt;"",IF(H1879&lt;=TODAY(),"SI","NO"),"LIMBO")</f>
        <v>SI</v>
      </c>
      <c r="P1879" s="167" t="str">
        <f>IF($P$1=H1879,"DIASOL", "DIANOSOL")</f>
        <v>DIANOSOL</v>
      </c>
      <c r="Q1879" s="63" t="s">
        <v>902</v>
      </c>
      <c r="R1879" s="63" t="str">
        <f>VLOOKUP($Q1879,Resultados!$A$1:$B$49,2,FALSE)</f>
        <v>Juicio Abreviado</v>
      </c>
      <c r="S1879" s="63"/>
      <c r="T1879" s="414" t="str">
        <f>IF(G1879=$J$1,"SI","NO")</f>
        <v>NO</v>
      </c>
      <c r="U1879" s="414"/>
      <c r="V1879" s="7" t="str">
        <f ca="1">IF(color_Celda(E1879)=12106214,"ROSA",IF(color_Celda(E1879)=65535,"AMARILLO",IF(color_Celda(E1879)=5296274,"VERDE",IF(color_Celda(E1879)=16777215,"BLANCO","NO SE"))))</f>
        <v>ROSA</v>
      </c>
      <c r="W1879" s="336"/>
      <c r="X1879" s="336"/>
      <c r="Y1879" s="336"/>
      <c r="Z1879" s="336" t="s">
        <v>770</v>
      </c>
      <c r="AA1879" s="63" t="s">
        <v>2828</v>
      </c>
      <c r="AB1879" s="336" t="s">
        <v>1169</v>
      </c>
      <c r="AC1879" s="336"/>
    </row>
    <row r="1880" spans="1:29" ht="60" customHeight="1">
      <c r="A1880" s="336">
        <v>1841</v>
      </c>
      <c r="B1880" s="349">
        <v>45376</v>
      </c>
      <c r="C1880" s="63" t="s">
        <v>3465</v>
      </c>
      <c r="D1880" s="63" t="s">
        <v>6831</v>
      </c>
      <c r="E1880" s="64" t="s">
        <v>6977</v>
      </c>
      <c r="F1880" s="336">
        <v>3</v>
      </c>
      <c r="G1880" s="63" t="s">
        <v>2815</v>
      </c>
      <c r="H1880" s="349">
        <v>45398</v>
      </c>
      <c r="I1880" s="65" t="s">
        <v>749</v>
      </c>
      <c r="J1880" s="65" t="s">
        <v>1221</v>
      </c>
      <c r="K1880" s="336">
        <f>IFERROR(VLOOKUP(J1880,Jueces!$A$1:$B$11,2,FALSE),"")</f>
        <v>6</v>
      </c>
      <c r="L1880" s="63" t="s">
        <v>4766</v>
      </c>
      <c r="M1880" s="63" t="s">
        <v>695</v>
      </c>
      <c r="N1880" s="63" t="s">
        <v>7234</v>
      </c>
      <c r="O1880" s="233" t="str">
        <f ca="1">IF(H1880&lt;&gt;"",IF(H1880&lt;=TODAY(),"SI","NO"),"LIMBO")</f>
        <v>SI</v>
      </c>
      <c r="P1880" s="233" t="str">
        <f>IF($P$1=H1880,"DIASOL", "DIANOSOL")</f>
        <v>DIANOSOL</v>
      </c>
      <c r="Q1880" s="63" t="s">
        <v>909</v>
      </c>
      <c r="R1880" s="63" t="str">
        <f>VLOOKUP($Q1880,Resultados!$A$1:$B$49,2,FALSE)</f>
        <v>Suspendida</v>
      </c>
      <c r="S1880" s="63"/>
      <c r="T1880" s="508" t="str">
        <f>IF(G1880=$J$1,"SI","NO")</f>
        <v>NO</v>
      </c>
      <c r="U1880" s="508"/>
      <c r="V1880" s="7" t="str">
        <f ca="1">IF(color_Celda(E1880)=12106214,"ROSA",IF(color_Celda(E1880)=65535,"AMARILLO",IF(color_Celda(E1880)=5296274,"VERDE",IF(color_Celda(E1880)=16777215,"BLANCO","NO SE"))))</f>
        <v>ROSA</v>
      </c>
      <c r="W1880" s="336"/>
      <c r="X1880" s="336"/>
      <c r="Y1880" s="336"/>
      <c r="Z1880" s="336" t="s">
        <v>770</v>
      </c>
      <c r="AA1880" s="63" t="s">
        <v>1167</v>
      </c>
      <c r="AB1880" s="336" t="s">
        <v>1169</v>
      </c>
      <c r="AC1880" s="336"/>
    </row>
    <row r="1881" spans="1:29" ht="60" customHeight="1">
      <c r="A1881" s="336">
        <v>1886</v>
      </c>
      <c r="B1881" s="349">
        <v>45386</v>
      </c>
      <c r="C1881" s="568">
        <v>0.41180555555555554</v>
      </c>
      <c r="D1881" s="63" t="s">
        <v>6928</v>
      </c>
      <c r="E1881" s="64" t="s">
        <v>6929</v>
      </c>
      <c r="F1881" s="336">
        <v>7</v>
      </c>
      <c r="G1881" s="63" t="s">
        <v>3323</v>
      </c>
      <c r="H1881" s="349">
        <v>45398</v>
      </c>
      <c r="I1881" s="65" t="s">
        <v>76</v>
      </c>
      <c r="J1881" s="65" t="s">
        <v>33</v>
      </c>
      <c r="K1881" s="336">
        <f>IFERROR(VLOOKUP(J1881,Jueces!$A$1:$B$11,2,FALSE),"")</f>
        <v>4</v>
      </c>
      <c r="L1881" s="63" t="s">
        <v>805</v>
      </c>
      <c r="M1881" s="63" t="s">
        <v>725</v>
      </c>
      <c r="N1881" s="336" t="s">
        <v>4661</v>
      </c>
      <c r="O1881" s="167" t="str">
        <f ca="1">IF(H1881&lt;&gt;"",IF(H1881&lt;=TODAY(),"SI","NO"),"LIMBO")</f>
        <v>SI</v>
      </c>
      <c r="P1881" s="167" t="str">
        <f>IF($P$1=H1881,"DIASOL", "DIANOSOL")</f>
        <v>DIANOSOL</v>
      </c>
      <c r="Q1881" s="63" t="s">
        <v>902</v>
      </c>
      <c r="R1881" s="63" t="str">
        <f>VLOOKUP($Q1881,Resultados!$A$1:$B$49,2,FALSE)</f>
        <v>Juicio Abreviado</v>
      </c>
      <c r="S1881" s="63"/>
      <c r="T1881" s="414" t="str">
        <f>IF(G1881=$J$1,"SI","NO")</f>
        <v>NO</v>
      </c>
      <c r="U1881" s="414"/>
      <c r="V1881" s="7" t="str">
        <f ca="1">IF(color_Celda(E1881)=12106214,"ROSA",IF(color_Celda(E1881)=65535,"AMARILLO",IF(color_Celda(E1881)=5296274,"VERDE",IF(color_Celda(E1881)=16777215,"BLANCO","NO SE"))))</f>
        <v>ROSA</v>
      </c>
      <c r="W1881" s="336"/>
      <c r="X1881" s="336"/>
      <c r="Y1881" s="336"/>
      <c r="Z1881" s="336" t="s">
        <v>748</v>
      </c>
      <c r="AA1881" s="63" t="s">
        <v>1167</v>
      </c>
      <c r="AB1881" s="336" t="s">
        <v>1171</v>
      </c>
      <c r="AC1881" s="336"/>
    </row>
    <row r="1882" spans="1:29" ht="60" customHeight="1">
      <c r="A1882" s="336">
        <v>1892</v>
      </c>
      <c r="B1882" s="349">
        <v>45386</v>
      </c>
      <c r="C1882" s="568">
        <v>0.49305555555555558</v>
      </c>
      <c r="D1882" s="336" t="s">
        <v>6938</v>
      </c>
      <c r="E1882" s="355" t="s">
        <v>6939</v>
      </c>
      <c r="F1882" s="336">
        <v>7</v>
      </c>
      <c r="G1882" s="63" t="s">
        <v>568</v>
      </c>
      <c r="H1882" s="349">
        <v>45398</v>
      </c>
      <c r="I1882" s="65" t="s">
        <v>76</v>
      </c>
      <c r="J1882" s="65" t="s">
        <v>35</v>
      </c>
      <c r="K1882" s="336">
        <f>IFERROR(VLOOKUP(J1882,Jueces!$A$1:$B$11,2,FALSE),"")</f>
        <v>3</v>
      </c>
      <c r="L1882" s="63" t="s">
        <v>4789</v>
      </c>
      <c r="M1882" s="63" t="s">
        <v>2201</v>
      </c>
      <c r="N1882" s="336" t="s">
        <v>2550</v>
      </c>
      <c r="O1882" s="233" t="str">
        <f ca="1">IF(H1882&lt;&gt;"",IF(H1882&lt;=TODAY(),"SI","NO"),"LIMBO")</f>
        <v>SI</v>
      </c>
      <c r="P1882" s="233" t="str">
        <f>IF($P$1=H1882,"DIASOL", "DIANOSOL")</f>
        <v>DIANOSOL</v>
      </c>
      <c r="Q1882" s="63" t="s">
        <v>897</v>
      </c>
      <c r="R1882" s="63" t="str">
        <f>VLOOKUP($Q1882,Resultados!$A$1:$B$49,2,FALSE)</f>
        <v>Libertad</v>
      </c>
      <c r="S1882" s="63"/>
      <c r="T1882" s="508" t="str">
        <f>IF(G1882=$J$1,"SI","NO")</f>
        <v>NO</v>
      </c>
      <c r="U1882" s="508"/>
      <c r="V1882" s="7" t="str">
        <f ca="1">IF(color_Celda(E1882)=12106214,"ROSA",IF(color_Celda(E1882)=65535,"AMARILLO",IF(color_Celda(E1882)=5296274,"VERDE",IF(color_Celda(E1882)=16777215,"BLANCO","NO SE"))))</f>
        <v>ROSA</v>
      </c>
      <c r="W1882" s="336"/>
      <c r="X1882" s="336"/>
      <c r="Y1882" s="336"/>
      <c r="Z1882" s="336" t="s">
        <v>3368</v>
      </c>
      <c r="AA1882" s="63" t="s">
        <v>3379</v>
      </c>
      <c r="AB1882" s="336" t="s">
        <v>1170</v>
      </c>
      <c r="AC1882" s="336"/>
    </row>
    <row r="1883" spans="1:29" ht="60" customHeight="1">
      <c r="A1883" s="336">
        <v>1897</v>
      </c>
      <c r="B1883" s="349">
        <v>45387</v>
      </c>
      <c r="C1883" s="568">
        <v>0.33333333333333331</v>
      </c>
      <c r="D1883" s="336" t="s">
        <v>5464</v>
      </c>
      <c r="E1883" s="355" t="s">
        <v>6957</v>
      </c>
      <c r="F1883" s="336">
        <v>8</v>
      </c>
      <c r="G1883" s="63" t="s">
        <v>29</v>
      </c>
      <c r="H1883" s="383">
        <v>45398</v>
      </c>
      <c r="I1883" s="65" t="s">
        <v>76</v>
      </c>
      <c r="J1883" s="65" t="s">
        <v>1217</v>
      </c>
      <c r="K1883" s="336">
        <f>IFERROR(VLOOKUP(J1883,Jueces!$A$1:$B$11,2,FALSE),"")</f>
        <v>7</v>
      </c>
      <c r="L1883" s="63" t="s">
        <v>4788</v>
      </c>
      <c r="M1883" s="335" t="s">
        <v>5656</v>
      </c>
      <c r="N1883" s="63" t="s">
        <v>7232</v>
      </c>
      <c r="O1883" s="233" t="str">
        <f ca="1">IF(H1883&lt;&gt;"",IF(H1883&lt;=TODAY(),"SI","NO"),"LIMBO")</f>
        <v>SI</v>
      </c>
      <c r="P1883" s="233" t="str">
        <f>IF($P$1=H1883,"DIASOL", "DIANOSOL")</f>
        <v>DIANOSOL</v>
      </c>
      <c r="Q1883" s="63" t="s">
        <v>151</v>
      </c>
      <c r="R1883" s="63" t="str">
        <f>VLOOKUP($Q1883,Resultados!$A$1:$B$49,2,FALSE)</f>
        <v>Prisión Preventiva</v>
      </c>
      <c r="S1883" s="63"/>
      <c r="T1883" s="508" t="str">
        <f>IF(G1883=$J$1,"SI","NO")</f>
        <v>NO</v>
      </c>
      <c r="U1883" s="508"/>
      <c r="V1883" s="7" t="str">
        <f ca="1">IF(color_Celda(E1883)=12106214,"ROSA",IF(color_Celda(E1883)=65535,"AMARILLO",IF(color_Celda(E1883)=5296274,"VERDE",IF(color_Celda(E1883)=16777215,"BLANCO","NO SE"))))</f>
        <v>ROSA</v>
      </c>
      <c r="W1883" s="336"/>
      <c r="X1883" s="336"/>
      <c r="Y1883" s="336"/>
      <c r="Z1883" s="336" t="s">
        <v>3368</v>
      </c>
      <c r="AA1883" s="63" t="s">
        <v>1167</v>
      </c>
      <c r="AB1883" s="336" t="s">
        <v>3258</v>
      </c>
      <c r="AC1883" s="336"/>
    </row>
    <row r="1884" spans="1:29" ht="60" customHeight="1">
      <c r="A1884" s="336">
        <v>1902</v>
      </c>
      <c r="B1884" s="349">
        <v>45387</v>
      </c>
      <c r="C1884" s="568">
        <v>0.48888888888888887</v>
      </c>
      <c r="D1884" s="63" t="s">
        <v>6954</v>
      </c>
      <c r="E1884" s="355" t="s">
        <v>6955</v>
      </c>
      <c r="F1884" s="336">
        <v>7</v>
      </c>
      <c r="G1884" s="336" t="s">
        <v>2766</v>
      </c>
      <c r="H1884" s="349">
        <v>45398</v>
      </c>
      <c r="I1884" s="65" t="s">
        <v>75</v>
      </c>
      <c r="J1884" s="349" t="s">
        <v>1217</v>
      </c>
      <c r="K1884" s="63" t="s">
        <v>2324</v>
      </c>
      <c r="L1884" s="63" t="s">
        <v>4788</v>
      </c>
      <c r="M1884" s="63" t="s">
        <v>2201</v>
      </c>
      <c r="N1884" s="336" t="s">
        <v>3435</v>
      </c>
      <c r="O1884" s="167" t="str">
        <f ca="1">IF(H1884&lt;&gt;"",IF(H1884&lt;=TODAY(),"SI","NO"),"LIMBO")</f>
        <v>SI</v>
      </c>
      <c r="P1884" s="167" t="str">
        <f>IF($P$1=H1884,"DIASOL", "DIANOSOL")</f>
        <v>DIANOSOL</v>
      </c>
      <c r="Q1884" s="63" t="s">
        <v>902</v>
      </c>
      <c r="R1884" s="63" t="str">
        <f>VLOOKUP($Q1884,Resultados!$A$1:$B$49,2,FALSE)</f>
        <v>Juicio Abreviado</v>
      </c>
      <c r="S1884" s="63"/>
      <c r="T1884" s="414" t="str">
        <f>IF(G1884=$J$1,"SI","NO")</f>
        <v>NO</v>
      </c>
      <c r="U1884" s="414"/>
      <c r="V1884" s="7" t="str">
        <f ca="1">IF(color_Celda(E1884)=12106214,"ROSA",IF(color_Celda(E1884)=65535,"AMARILLO",IF(color_Celda(E1884)=5296274,"VERDE",IF(color_Celda(E1884)=16777215,"BLANCO","NO SE"))))</f>
        <v>ROSA</v>
      </c>
      <c r="W1884" s="336"/>
      <c r="X1884" s="336"/>
      <c r="Y1884" s="336"/>
      <c r="Z1884" s="336" t="s">
        <v>748</v>
      </c>
      <c r="AA1884" s="63" t="s">
        <v>2869</v>
      </c>
      <c r="AB1884" s="336" t="s">
        <v>1171</v>
      </c>
      <c r="AC1884" s="336"/>
    </row>
    <row r="1885" spans="1:29" ht="60" customHeight="1">
      <c r="A1885" s="336">
        <v>1874</v>
      </c>
      <c r="B1885" s="349">
        <v>45377</v>
      </c>
      <c r="C1885" s="568">
        <v>0.49305555555555558</v>
      </c>
      <c r="D1885" s="336" t="s">
        <v>5428</v>
      </c>
      <c r="E1885" s="64" t="s">
        <v>6906</v>
      </c>
      <c r="F1885" s="336">
        <v>7</v>
      </c>
      <c r="G1885" s="336" t="s">
        <v>3324</v>
      </c>
      <c r="H1885" s="383">
        <v>45399</v>
      </c>
      <c r="I1885" s="65" t="s">
        <v>73</v>
      </c>
      <c r="J1885" s="65" t="s">
        <v>4746</v>
      </c>
      <c r="K1885" s="63" t="s">
        <v>1982</v>
      </c>
      <c r="L1885" s="63" t="s">
        <v>805</v>
      </c>
      <c r="M1885" s="63" t="s">
        <v>1084</v>
      </c>
      <c r="N1885" s="63" t="s">
        <v>7268</v>
      </c>
      <c r="O1885" s="167" t="str">
        <f ca="1">IF(H1885&lt;&gt;"",IF(H1885&lt;=TODAY(),"SI","NO"),"LIMBO")</f>
        <v>SI</v>
      </c>
      <c r="P1885" s="167" t="str">
        <f>IF($P$1=H1885,"DIASOL", "DIANOSOL")</f>
        <v>DIANOSOL</v>
      </c>
      <c r="Q1885" s="63" t="s">
        <v>910</v>
      </c>
      <c r="R1885" s="63" t="str">
        <f>VLOOKUP($Q1885,Resultados!$A$1:$B$49,2,FALSE)</f>
        <v>Suspendida</v>
      </c>
      <c r="S1885" s="63"/>
      <c r="T1885" s="414" t="str">
        <f>IF(G1885=$J$1,"SI","NO")</f>
        <v>NO</v>
      </c>
      <c r="U1885" s="414"/>
      <c r="V1885" s="7" t="str">
        <f ca="1">IF(color_Celda(E1885)=12106214,"ROSA",IF(color_Celda(E1885)=65535,"AMARILLO",IF(color_Celda(E1885)=5296274,"VERDE",IF(color_Celda(E1885)=16777215,"BLANCO","NO SE"))))</f>
        <v>ROSA</v>
      </c>
      <c r="W1885" s="336"/>
      <c r="X1885" s="336"/>
      <c r="Y1885" s="336"/>
      <c r="Z1885" s="63" t="s">
        <v>748</v>
      </c>
      <c r="AA1885" s="63" t="s">
        <v>1167</v>
      </c>
      <c r="AB1885" s="63" t="s">
        <v>3258</v>
      </c>
      <c r="AC1885" s="336"/>
    </row>
    <row r="1886" spans="1:29" ht="60" customHeight="1">
      <c r="A1886" s="336">
        <v>1883</v>
      </c>
      <c r="B1886" s="349">
        <v>45386</v>
      </c>
      <c r="C1886" s="568">
        <v>0.33333333333333331</v>
      </c>
      <c r="D1886" s="63" t="s">
        <v>6924</v>
      </c>
      <c r="E1886" s="355" t="s">
        <v>6925</v>
      </c>
      <c r="F1886" s="336">
        <v>6</v>
      </c>
      <c r="G1886" s="63" t="s">
        <v>1434</v>
      </c>
      <c r="H1886" s="349">
        <v>45399</v>
      </c>
      <c r="I1886" s="65" t="s">
        <v>73</v>
      </c>
      <c r="J1886" s="65" t="s">
        <v>35</v>
      </c>
      <c r="K1886" s="336">
        <f>IFERROR(VLOOKUP(J1886,Jueces!$A$1:$B$11,2,FALSE),"")</f>
        <v>3</v>
      </c>
      <c r="L1886" s="63" t="s">
        <v>4778</v>
      </c>
      <c r="M1886" s="63" t="s">
        <v>2201</v>
      </c>
      <c r="N1886" s="63" t="s">
        <v>7263</v>
      </c>
      <c r="O1886" s="167" t="str">
        <f ca="1">IF(H1886&lt;&gt;"",IF(H1886&lt;=TODAY(),"SI","NO"),"LIMBO")</f>
        <v>SI</v>
      </c>
      <c r="P1886" s="167" t="str">
        <f>IF($P$1=H1886,"DIASOL", "DIANOSOL")</f>
        <v>DIANOSOL</v>
      </c>
      <c r="Q1886" s="63" t="s">
        <v>151</v>
      </c>
      <c r="R1886" s="63" t="str">
        <f>VLOOKUP($Q1886,Resultados!$A$1:$B$49,2,FALSE)</f>
        <v>Prisión Preventiva</v>
      </c>
      <c r="S1886" s="63"/>
      <c r="T1886" s="414" t="str">
        <f>IF(G1886=$J$1,"SI","NO")</f>
        <v>NO</v>
      </c>
      <c r="U1886" s="414"/>
      <c r="V1886" s="7" t="str">
        <f ca="1">IF(color_Celda(E1886)=12106214,"ROSA",IF(color_Celda(E1886)=65535,"AMARILLO",IF(color_Celda(E1886)=5296274,"VERDE",IF(color_Celda(E1886)=16777215,"BLANCO","NO SE"))))</f>
        <v>ROSA</v>
      </c>
      <c r="W1886" s="336"/>
      <c r="X1886" s="336"/>
      <c r="Y1886" s="336"/>
      <c r="Z1886" s="336" t="s">
        <v>3368</v>
      </c>
      <c r="AA1886" s="63" t="s">
        <v>3378</v>
      </c>
      <c r="AB1886" s="63" t="s">
        <v>1169</v>
      </c>
      <c r="AC1886" s="336"/>
    </row>
    <row r="1887" spans="1:29" ht="60" customHeight="1">
      <c r="A1887" s="336">
        <v>1884</v>
      </c>
      <c r="B1887" s="349">
        <v>45386</v>
      </c>
      <c r="C1887" s="568">
        <v>0.3833333333333333</v>
      </c>
      <c r="D1887" s="63" t="s">
        <v>6926</v>
      </c>
      <c r="E1887" s="64" t="s">
        <v>6976</v>
      </c>
      <c r="F1887" s="336">
        <v>7</v>
      </c>
      <c r="G1887" s="63" t="s">
        <v>3323</v>
      </c>
      <c r="H1887" s="349">
        <v>45399</v>
      </c>
      <c r="I1887" s="65" t="s">
        <v>73</v>
      </c>
      <c r="J1887" s="65" t="s">
        <v>1217</v>
      </c>
      <c r="K1887" s="336">
        <f>IFERROR(VLOOKUP(J1887,Jueces!$A$1:$B$11,2,FALSE),"")</f>
        <v>7</v>
      </c>
      <c r="L1887" s="63" t="s">
        <v>789</v>
      </c>
      <c r="M1887" s="63" t="s">
        <v>725</v>
      </c>
      <c r="N1887" s="63" t="s">
        <v>2550</v>
      </c>
      <c r="O1887" s="167" t="str">
        <f ca="1">IF(H1887&lt;&gt;"",IF(H1887&lt;=TODAY(),"SI","NO"),"LIMBO")</f>
        <v>SI</v>
      </c>
      <c r="P1887" s="167" t="str">
        <f>IF($P$1=H1887,"DIASOL", "DIANOSOL")</f>
        <v>DIANOSOL</v>
      </c>
      <c r="Q1887" s="63" t="s">
        <v>897</v>
      </c>
      <c r="R1887" s="63" t="str">
        <f>VLOOKUP($Q1887,Resultados!$A$1:$B$49,2,FALSE)</f>
        <v>Libertad</v>
      </c>
      <c r="S1887" s="63"/>
      <c r="T1887" s="414" t="str">
        <f>IF(G1887=$J$1,"SI","NO")</f>
        <v>NO</v>
      </c>
      <c r="U1887" s="414"/>
      <c r="V1887" s="7" t="str">
        <f ca="1">IF(color_Celda(E1887)=12106214,"ROSA",IF(color_Celda(E1887)=65535,"AMARILLO",IF(color_Celda(E1887)=5296274,"VERDE",IF(color_Celda(E1887)=16777215,"BLANCO","NO SE"))))</f>
        <v>ROSA</v>
      </c>
      <c r="W1887" s="336"/>
      <c r="X1887" s="336"/>
      <c r="Y1887" s="336"/>
      <c r="Z1887" s="336" t="s">
        <v>770</v>
      </c>
      <c r="AA1887" s="63" t="s">
        <v>1167</v>
      </c>
      <c r="AB1887" s="63" t="s">
        <v>5776</v>
      </c>
      <c r="AC1887" s="336"/>
    </row>
    <row r="1888" spans="1:29" ht="60" customHeight="1">
      <c r="A1888" s="336">
        <v>1900</v>
      </c>
      <c r="B1888" s="349">
        <v>45387</v>
      </c>
      <c r="C1888" s="568">
        <v>0.4597222222222222</v>
      </c>
      <c r="D1888" s="336" t="s">
        <v>6951</v>
      </c>
      <c r="E1888" s="355" t="s">
        <v>6952</v>
      </c>
      <c r="F1888" s="336">
        <v>8</v>
      </c>
      <c r="G1888" s="63" t="s">
        <v>1435</v>
      </c>
      <c r="H1888" s="349">
        <v>45399</v>
      </c>
      <c r="I1888" s="65" t="s">
        <v>73</v>
      </c>
      <c r="J1888" s="65" t="s">
        <v>78</v>
      </c>
      <c r="K1888" s="336">
        <f>IFERROR(VLOOKUP(J1888,Jueces!$A$1:$B$11,2,FALSE),"")</f>
        <v>8</v>
      </c>
      <c r="L1888" s="63" t="s">
        <v>4783</v>
      </c>
      <c r="M1888" s="335" t="s">
        <v>699</v>
      </c>
      <c r="N1888" s="63" t="s">
        <v>7264</v>
      </c>
      <c r="O1888" s="233" t="str">
        <f ca="1">IF(H1888&lt;&gt;"",IF(H1888&lt;=TODAY(),"SI","NO"),"LIMBO")</f>
        <v>SI</v>
      </c>
      <c r="P1888" s="233" t="str">
        <f>IF($P$1=H1888,"DIASOL", "DIANOSOL")</f>
        <v>DIANOSOL</v>
      </c>
      <c r="Q1888" s="63" t="s">
        <v>911</v>
      </c>
      <c r="R1888" s="63" t="str">
        <f>VLOOKUP($Q1888,Resultados!$A$1:$B$49,2,FALSE)</f>
        <v>Prision domiciliaria</v>
      </c>
      <c r="S1888" s="63"/>
      <c r="T1888" s="508" t="str">
        <f>IF(G1888=$J$1,"SI","NO")</f>
        <v>SI</v>
      </c>
      <c r="U1888" s="508"/>
      <c r="V1888" s="7" t="str">
        <f ca="1">IF(color_Celda(E1888)=12106214,"ROSA",IF(color_Celda(E1888)=65535,"AMARILLO",IF(color_Celda(E1888)=5296274,"VERDE",IF(color_Celda(E1888)=16777215,"BLANCO","NO SE"))))</f>
        <v>ROSA</v>
      </c>
      <c r="W1888" s="336"/>
      <c r="X1888" s="336"/>
      <c r="Y1888" s="336"/>
      <c r="Z1888" s="336" t="s">
        <v>3368</v>
      </c>
      <c r="AA1888" s="63" t="s">
        <v>2869</v>
      </c>
      <c r="AB1888" s="63" t="s">
        <v>3258</v>
      </c>
      <c r="AC1888" s="336"/>
    </row>
    <row r="1889" spans="1:29" ht="60" customHeight="1">
      <c r="A1889" s="336">
        <v>1923</v>
      </c>
      <c r="B1889" s="349">
        <v>45391</v>
      </c>
      <c r="C1889" s="568">
        <v>0.37708333333333338</v>
      </c>
      <c r="D1889" s="336" t="s">
        <v>5476</v>
      </c>
      <c r="E1889" s="355" t="s">
        <v>7014</v>
      </c>
      <c r="F1889" s="336">
        <v>2</v>
      </c>
      <c r="G1889" s="63" t="s">
        <v>3791</v>
      </c>
      <c r="H1889" s="383">
        <v>45399</v>
      </c>
      <c r="I1889" s="65" t="s">
        <v>73</v>
      </c>
      <c r="J1889" s="65" t="s">
        <v>33</v>
      </c>
      <c r="K1889" s="336">
        <f>IFERROR(VLOOKUP(J1889,Jueces!$A$1:$B$11,2,FALSE),"")</f>
        <v>4</v>
      </c>
      <c r="L1889" s="63" t="s">
        <v>4788</v>
      </c>
      <c r="M1889" s="356" t="s">
        <v>4929</v>
      </c>
      <c r="N1889" s="63" t="s">
        <v>7269</v>
      </c>
      <c r="O1889" s="233" t="str">
        <f ca="1">IF(H1889&lt;&gt;"",IF(H1889&lt;=TODAY(),"SI","NO"),"LIMBO")</f>
        <v>SI</v>
      </c>
      <c r="P1889" s="233" t="str">
        <f>IF($P$1=H1889,"DIASOL", "DIANOSOL")</f>
        <v>DIANOSOL</v>
      </c>
      <c r="Q1889" s="63" t="s">
        <v>902</v>
      </c>
      <c r="R1889" s="63" t="str">
        <f>VLOOKUP($Q1889,Resultados!$A$1:$B$49,2,FALSE)</f>
        <v>Juicio Abreviado</v>
      </c>
      <c r="S1889" s="63"/>
      <c r="T1889" s="508" t="str">
        <f>IF(G1889=$J$1,"SI","NO")</f>
        <v>NO</v>
      </c>
      <c r="U1889" s="508"/>
      <c r="V1889" s="7" t="str">
        <f ca="1">IF(color_Celda(E1889)=12106214,"ROSA",IF(color_Celda(E1889)=65535,"AMARILLO",IF(color_Celda(E1889)=5296274,"VERDE",IF(color_Celda(E1889)=16777215,"BLANCO","NO SE"))))</f>
        <v>ROSA</v>
      </c>
      <c r="W1889" s="336"/>
      <c r="X1889" s="336"/>
      <c r="Y1889" s="336"/>
      <c r="Z1889" s="336" t="s">
        <v>770</v>
      </c>
      <c r="AA1889" s="63" t="s">
        <v>2828</v>
      </c>
      <c r="AB1889" s="63" t="s">
        <v>1171</v>
      </c>
      <c r="AC1889" s="336"/>
    </row>
    <row r="1890" spans="1:29" ht="60" customHeight="1">
      <c r="A1890" s="336">
        <v>1868</v>
      </c>
      <c r="B1890" s="349">
        <v>45378</v>
      </c>
      <c r="C1890" s="568">
        <v>0.45069444444444445</v>
      </c>
      <c r="D1890" s="63" t="s">
        <v>6891</v>
      </c>
      <c r="E1890" s="64" t="s">
        <v>6892</v>
      </c>
      <c r="F1890" s="336">
        <v>6</v>
      </c>
      <c r="G1890" s="63" t="s">
        <v>568</v>
      </c>
      <c r="H1890" s="349">
        <v>45399</v>
      </c>
      <c r="I1890" s="65" t="s">
        <v>749</v>
      </c>
      <c r="J1890" s="65" t="s">
        <v>1217</v>
      </c>
      <c r="K1890" s="336">
        <f>IFERROR(VLOOKUP(J1890,Jueces!$A$1:$B$11,2,FALSE),"")</f>
        <v>7</v>
      </c>
      <c r="L1890" s="63" t="s">
        <v>806</v>
      </c>
      <c r="M1890" s="63" t="s">
        <v>2107</v>
      </c>
      <c r="N1890" s="63" t="s">
        <v>7265</v>
      </c>
      <c r="O1890" s="233" t="str">
        <f ca="1">IF(H1890&lt;&gt;"",IF(H1890&lt;=TODAY(),"SI","NO"),"LIMBO")</f>
        <v>SI</v>
      </c>
      <c r="P1890" s="233" t="str">
        <f>IF($P$1=H1890,"DIASOL", "DIANOSOL")</f>
        <v>DIANOSOL</v>
      </c>
      <c r="Q1890" s="63" t="s">
        <v>151</v>
      </c>
      <c r="R1890" s="63" t="str">
        <f>VLOOKUP($Q1890,Resultados!$A$1:$B$49,2,FALSE)</f>
        <v>Prisión Preventiva</v>
      </c>
      <c r="S1890" s="63"/>
      <c r="T1890" s="508" t="str">
        <f>IF(G1890=$J$1,"SI","NO")</f>
        <v>NO</v>
      </c>
      <c r="U1890" s="508"/>
      <c r="V1890" s="7" t="str">
        <f ca="1">IF(color_Celda(E1890)=12106214,"ROSA",IF(color_Celda(E1890)=65535,"AMARILLO",IF(color_Celda(E1890)=5296274,"VERDE",IF(color_Celda(E1890)=16777215,"BLANCO","NO SE"))))</f>
        <v>ROSA</v>
      </c>
      <c r="W1890" s="336"/>
      <c r="X1890" s="336"/>
      <c r="Y1890" s="336"/>
      <c r="Z1890" s="336" t="s">
        <v>748</v>
      </c>
      <c r="AA1890" s="63" t="s">
        <v>3379</v>
      </c>
      <c r="AB1890" s="63" t="s">
        <v>1170</v>
      </c>
      <c r="AC1890" s="336"/>
    </row>
    <row r="1891" spans="1:29" ht="60" customHeight="1">
      <c r="A1891" s="336">
        <v>1911</v>
      </c>
      <c r="B1891" s="349">
        <v>45390</v>
      </c>
      <c r="C1891" s="568">
        <v>0.4055555555555555</v>
      </c>
      <c r="D1891" s="63" t="s">
        <v>6988</v>
      </c>
      <c r="E1891" s="64" t="s">
        <v>7022</v>
      </c>
      <c r="F1891" s="336">
        <v>7</v>
      </c>
      <c r="G1891" s="336" t="s">
        <v>283</v>
      </c>
      <c r="H1891" s="349">
        <v>45399</v>
      </c>
      <c r="I1891" s="65" t="s">
        <v>76</v>
      </c>
      <c r="J1891" s="349" t="s">
        <v>33</v>
      </c>
      <c r="K1891" s="336">
        <f>IFERROR(VLOOKUP(J1891,Jueces!$A$1:$B$11,2,FALSE),"")</f>
        <v>4</v>
      </c>
      <c r="L1891" s="63" t="s">
        <v>791</v>
      </c>
      <c r="M1891" s="63" t="s">
        <v>723</v>
      </c>
      <c r="N1891" s="63" t="s">
        <v>3541</v>
      </c>
      <c r="O1891" s="167" t="str">
        <f ca="1">IF(H1891&lt;&gt;"",IF(H1891&lt;=TODAY(),"SI","NO"),"LIMBO")</f>
        <v>SI</v>
      </c>
      <c r="P1891" s="167" t="str">
        <f>IF($P$1=H1891,"DIASOL", "DIANOSOL")</f>
        <v>DIANOSOL</v>
      </c>
      <c r="Q1891" s="63" t="s">
        <v>903</v>
      </c>
      <c r="R1891" s="63" t="str">
        <f>VLOOKUP($Q1891,Resultados!$A$1:$B$49,2,FALSE)</f>
        <v>Juicio Abreviado</v>
      </c>
      <c r="S1891" s="63"/>
      <c r="T1891" s="414" t="str">
        <f>IF(G1891=$J$1,"SI","NO")</f>
        <v>NO</v>
      </c>
      <c r="U1891" s="414"/>
      <c r="V1891" s="7" t="str">
        <f ca="1">IF(color_Celda(E1891)=12106214,"ROSA",IF(color_Celda(E1891)=65535,"AMARILLO",IF(color_Celda(E1891)=5296274,"VERDE",IF(color_Celda(E1891)=16777215,"BLANCO","NO SE"))))</f>
        <v>ROSA</v>
      </c>
      <c r="W1891" s="336"/>
      <c r="X1891" s="336"/>
      <c r="Y1891" s="336"/>
      <c r="Z1891" s="336" t="s">
        <v>770</v>
      </c>
      <c r="AA1891" s="63" t="s">
        <v>3379</v>
      </c>
      <c r="AB1891" s="63" t="s">
        <v>1169</v>
      </c>
      <c r="AC1891" s="336"/>
    </row>
    <row r="1892" spans="1:29" ht="60" customHeight="1">
      <c r="A1892" s="336">
        <v>1913</v>
      </c>
      <c r="B1892" s="349">
        <v>45390</v>
      </c>
      <c r="C1892" s="568">
        <v>0.4201388888888889</v>
      </c>
      <c r="D1892" s="63" t="s">
        <v>6991</v>
      </c>
      <c r="E1892" s="355" t="s">
        <v>6992</v>
      </c>
      <c r="F1892" s="336">
        <v>7</v>
      </c>
      <c r="G1892" s="336" t="s">
        <v>2766</v>
      </c>
      <c r="H1892" s="349">
        <v>45399</v>
      </c>
      <c r="I1892" s="65" t="s">
        <v>76</v>
      </c>
      <c r="J1892" s="349" t="s">
        <v>35</v>
      </c>
      <c r="K1892" s="63">
        <v>3</v>
      </c>
      <c r="L1892" s="63" t="s">
        <v>805</v>
      </c>
      <c r="M1892" s="63" t="s">
        <v>2201</v>
      </c>
      <c r="N1892" s="63" t="s">
        <v>2953</v>
      </c>
      <c r="O1892" s="167" t="str">
        <f ca="1">IF(H1892&lt;&gt;"",IF(H1892&lt;=TODAY(),"SI","NO"),"LIMBO")</f>
        <v>SI</v>
      </c>
      <c r="P1892" s="167" t="str">
        <f>IF($P$1=H1892,"DIASOL", "DIANOSOL")</f>
        <v>DIANOSOL</v>
      </c>
      <c r="Q1892" s="63" t="s">
        <v>902</v>
      </c>
      <c r="R1892" s="63" t="str">
        <f>VLOOKUP($Q1892,Resultados!$A$1:$B$49,2,FALSE)</f>
        <v>Juicio Abreviado</v>
      </c>
      <c r="S1892" s="63"/>
      <c r="T1892" s="414" t="str">
        <f>IF(G1892=$J$1,"SI","NO")</f>
        <v>NO</v>
      </c>
      <c r="U1892" s="414"/>
      <c r="V1892" s="7" t="str">
        <f ca="1">IF(color_Celda(E1892)=12106214,"ROSA",IF(color_Celda(E1892)=65535,"AMARILLO",IF(color_Celda(E1892)=5296274,"VERDE",IF(color_Celda(E1892)=16777215,"BLANCO","NO SE"))))</f>
        <v>ROSA</v>
      </c>
      <c r="W1892" s="336"/>
      <c r="X1892" s="336"/>
      <c r="Y1892" s="336"/>
      <c r="Z1892" s="336" t="s">
        <v>3368</v>
      </c>
      <c r="AA1892" s="63" t="s">
        <v>1167</v>
      </c>
      <c r="AB1892" s="63" t="s">
        <v>3258</v>
      </c>
      <c r="AC1892" s="336"/>
    </row>
    <row r="1893" spans="1:29" ht="60" customHeight="1">
      <c r="A1893" s="336">
        <v>1925</v>
      </c>
      <c r="B1893" s="349">
        <v>45376</v>
      </c>
      <c r="C1893" s="568" t="s">
        <v>1797</v>
      </c>
      <c r="D1893" s="336" t="s">
        <v>6827</v>
      </c>
      <c r="E1893" s="355" t="s">
        <v>6828</v>
      </c>
      <c r="F1893" s="336">
        <v>5</v>
      </c>
      <c r="G1893" s="63" t="s">
        <v>5710</v>
      </c>
      <c r="H1893" s="383">
        <v>45399</v>
      </c>
      <c r="I1893" s="65" t="s">
        <v>547</v>
      </c>
      <c r="J1893" s="65" t="s">
        <v>1217</v>
      </c>
      <c r="K1893" s="63">
        <v>7</v>
      </c>
      <c r="L1893" s="63" t="s">
        <v>791</v>
      </c>
      <c r="M1893" s="63" t="s">
        <v>3381</v>
      </c>
      <c r="N1893" s="63" t="s">
        <v>7266</v>
      </c>
      <c r="O1893" s="78" t="str">
        <f ca="1">IF(H1893&lt;&gt;"",IF(H1893&lt;=TODAY(),"SI","NO"),"LIMBO")</f>
        <v>SI</v>
      </c>
      <c r="P1893" s="78" t="str">
        <f>IF($P$1=H1893,"DIASOL", "DIANOSOL")</f>
        <v>DIANOSOL</v>
      </c>
      <c r="Q1893" s="63" t="s">
        <v>897</v>
      </c>
      <c r="R1893" s="63" t="str">
        <f>VLOOKUP($Q1893,Resultados!$A$1:$B$49,2,FALSE)</f>
        <v>Libertad</v>
      </c>
      <c r="S1893" s="63"/>
      <c r="T1893" s="81" t="str">
        <f>IF(G1893=$J$1,"SI","NO")</f>
        <v>NO</v>
      </c>
      <c r="U1893" s="81"/>
      <c r="V1893" s="7" t="str">
        <f ca="1">IF(color_Celda(E1893)=12106214,"ROSA",IF(color_Celda(E1893)=65535,"AMARILLO",IF(color_Celda(E1893)=5296274,"VERDE",IF(color_Celda(E1893)=16777215,"BLANCO","NO SE"))))</f>
        <v>ROSA</v>
      </c>
      <c r="W1893" s="336"/>
      <c r="X1893" s="336"/>
      <c r="Y1893" s="336"/>
      <c r="Z1893" s="336" t="s">
        <v>748</v>
      </c>
      <c r="AA1893" s="63" t="s">
        <v>3378</v>
      </c>
      <c r="AB1893" s="63" t="s">
        <v>1170</v>
      </c>
      <c r="AC1893" s="336"/>
    </row>
    <row r="1894" spans="1:29" ht="60" customHeight="1">
      <c r="A1894" s="336">
        <v>1898</v>
      </c>
      <c r="B1894" s="349">
        <v>45387</v>
      </c>
      <c r="C1894" s="568">
        <v>0.4604166666666667</v>
      </c>
      <c r="D1894" s="336" t="s">
        <v>6947</v>
      </c>
      <c r="E1894" s="355" t="s">
        <v>6948</v>
      </c>
      <c r="F1894" s="336">
        <v>8</v>
      </c>
      <c r="G1894" s="63" t="s">
        <v>29</v>
      </c>
      <c r="H1894" s="349">
        <v>45399</v>
      </c>
      <c r="I1894" s="65" t="s">
        <v>77</v>
      </c>
      <c r="J1894" s="65" t="s">
        <v>78</v>
      </c>
      <c r="K1894" s="336">
        <f>IFERROR(VLOOKUP(J1894,Jueces!$A$1:$B$11,2,FALSE),"")</f>
        <v>8</v>
      </c>
      <c r="L1894" s="63" t="s">
        <v>805</v>
      </c>
      <c r="M1894" s="63" t="s">
        <v>723</v>
      </c>
      <c r="N1894" s="63" t="s">
        <v>621</v>
      </c>
      <c r="O1894" s="233" t="str">
        <f ca="1">IF(H1894&lt;&gt;"",IF(H1894&lt;=TODAY(),"SI","NO"),"LIMBO")</f>
        <v>SI</v>
      </c>
      <c r="P1894" s="233" t="str">
        <f>IF($P$1=H1894,"DIASOL", "DIANOSOL")</f>
        <v>DIANOSOL</v>
      </c>
      <c r="Q1894" s="63" t="s">
        <v>151</v>
      </c>
      <c r="R1894" s="63" t="str">
        <f>VLOOKUP($Q1894,Resultados!$A$1:$B$49,2,FALSE)</f>
        <v>Prisión Preventiva</v>
      </c>
      <c r="S1894" s="63"/>
      <c r="T1894" s="508" t="str">
        <f>IF(G1894=$J$1,"SI","NO")</f>
        <v>NO</v>
      </c>
      <c r="U1894" s="508"/>
      <c r="V1894" s="7" t="str">
        <f ca="1">IF(color_Celda(E1894)=12106214,"ROSA",IF(color_Celda(E1894)=65535,"AMARILLO",IF(color_Celda(E1894)=5296274,"VERDE",IF(color_Celda(E1894)=16777215,"BLANCO","NO SE"))))</f>
        <v>ROSA</v>
      </c>
      <c r="W1894" s="336"/>
      <c r="X1894" s="336"/>
      <c r="Y1894" s="336"/>
      <c r="Z1894" s="336" t="s">
        <v>3368</v>
      </c>
      <c r="AA1894" s="63" t="s">
        <v>3378</v>
      </c>
      <c r="AB1894" s="63" t="s">
        <v>1171</v>
      </c>
      <c r="AC1894" s="336"/>
    </row>
    <row r="1895" spans="1:29" ht="60" customHeight="1">
      <c r="A1895" s="336">
        <v>1819</v>
      </c>
      <c r="B1895" s="349">
        <v>45359</v>
      </c>
      <c r="C1895" s="568">
        <v>0.3743055555555555</v>
      </c>
      <c r="D1895" s="336" t="s">
        <v>6384</v>
      </c>
      <c r="E1895" s="355" t="s">
        <v>6385</v>
      </c>
      <c r="F1895" s="336">
        <v>5</v>
      </c>
      <c r="G1895" s="336" t="s">
        <v>2815</v>
      </c>
      <c r="H1895" s="383">
        <v>45399</v>
      </c>
      <c r="I1895" s="349" t="s">
        <v>74</v>
      </c>
      <c r="J1895" s="349" t="s">
        <v>1216</v>
      </c>
      <c r="K1895" s="336">
        <f>IFERROR(VLOOKUP(J1895,Jueces!$A$1:$B$11,2,FALSE),"")</f>
        <v>1</v>
      </c>
      <c r="L1895" s="63" t="s">
        <v>2077</v>
      </c>
      <c r="M1895" s="63" t="s">
        <v>3755</v>
      </c>
      <c r="N1895" s="63" t="s">
        <v>7267</v>
      </c>
      <c r="O1895" s="78" t="str">
        <f ca="1">IF(H1895&lt;&gt;"",IF(H1895&lt;=TODAY(),"SI","NO"),"LIMBO")</f>
        <v>SI</v>
      </c>
      <c r="P1895" s="78" t="str">
        <f>IF($P$1=H1895,"DIASOL", "DIANOSOL")</f>
        <v>DIANOSOL</v>
      </c>
      <c r="Q1895" s="63" t="s">
        <v>151</v>
      </c>
      <c r="R1895" s="63" t="str">
        <f>VLOOKUP($Q1895,Resultados!$A$1:$B$49,2,FALSE)</f>
        <v>Prisión Preventiva</v>
      </c>
      <c r="S1895" s="63"/>
      <c r="T1895" s="81" t="str">
        <f>IF(G1895=$J$1,"SI","NO")</f>
        <v>NO</v>
      </c>
      <c r="U1895" s="81"/>
      <c r="V1895" s="7" t="str">
        <f ca="1">IF(color_Celda(E1895)=12106214,"ROSA",IF(color_Celda(E1895)=65535,"AMARILLO",IF(color_Celda(E1895)=5296274,"VERDE",IF(color_Celda(E1895)=16777215,"BLANCO","NO SE"))))</f>
        <v>ROSA</v>
      </c>
      <c r="W1895" s="336"/>
      <c r="X1895" s="336"/>
      <c r="Y1895" s="336"/>
      <c r="Z1895" s="336" t="s">
        <v>748</v>
      </c>
      <c r="AA1895" s="63" t="s">
        <v>2828</v>
      </c>
      <c r="AB1895" s="63" t="s">
        <v>1170</v>
      </c>
      <c r="AC1895" s="336"/>
    </row>
    <row r="1896" spans="1:29" ht="60" customHeight="1">
      <c r="A1896" s="336">
        <v>1677</v>
      </c>
      <c r="B1896" s="349">
        <v>45336</v>
      </c>
      <c r="C1896" s="568">
        <v>0.45555555555555555</v>
      </c>
      <c r="D1896" s="336" t="s">
        <v>5969</v>
      </c>
      <c r="E1896" s="355" t="s">
        <v>5970</v>
      </c>
      <c r="F1896" s="336">
        <v>3</v>
      </c>
      <c r="G1896" s="63" t="s">
        <v>283</v>
      </c>
      <c r="H1896" s="383">
        <v>45400</v>
      </c>
      <c r="I1896" s="65" t="s">
        <v>73</v>
      </c>
      <c r="J1896" s="65" t="s">
        <v>35</v>
      </c>
      <c r="K1896" s="336">
        <f>IFERROR(VLOOKUP(J1896,Jueces!$A$1:$B$11,2,FALSE),"")</f>
        <v>3</v>
      </c>
      <c r="L1896" s="63" t="s">
        <v>2077</v>
      </c>
      <c r="M1896" s="7" t="s">
        <v>692</v>
      </c>
      <c r="N1896" s="63" t="s">
        <v>7290</v>
      </c>
      <c r="O1896" s="78" t="str">
        <f ca="1">IF(H1896&lt;&gt;"",IF(H1896&lt;=TODAY(),"SI","NO"),"LIMBO")</f>
        <v>SI</v>
      </c>
      <c r="P1896" s="78" t="str">
        <f>IF($P$1=H1896,"DIASOL", "DIANOSOL")</f>
        <v>DIANOSOL</v>
      </c>
      <c r="Q1896" s="63" t="s">
        <v>911</v>
      </c>
      <c r="R1896" s="63" t="str">
        <f>VLOOKUP($Q1896,Resultados!$A$1:$B$49,2,FALSE)</f>
        <v>Prision domiciliaria</v>
      </c>
      <c r="S1896" s="63"/>
      <c r="T1896" s="81" t="str">
        <f>IF(G1896=$J$1,"SI","NO")</f>
        <v>NO</v>
      </c>
      <c r="U1896" s="81"/>
      <c r="V1896" s="76" t="str">
        <f ca="1">IF(color_Celda(E1896)=12106214,"ROSA",IF(color_Celda(E1896)=65535,"AMARILLO",IF(color_Celda(E1896)=5296274,"VERDE",IF(color_Celda(E1896)=16777215,"BLANCO","NO SE"))))</f>
        <v>ROSA</v>
      </c>
      <c r="W1896" s="336"/>
      <c r="X1896" s="336"/>
      <c r="Y1896" s="336"/>
      <c r="Z1896" s="63" t="s">
        <v>748</v>
      </c>
      <c r="AA1896" s="63" t="s">
        <v>2828</v>
      </c>
      <c r="AB1896" s="63" t="s">
        <v>1169</v>
      </c>
      <c r="AC1896" s="336"/>
    </row>
    <row r="1897" spans="1:29" ht="60" customHeight="1">
      <c r="A1897" s="336">
        <v>1893</v>
      </c>
      <c r="B1897" s="349">
        <v>45386</v>
      </c>
      <c r="C1897" s="568">
        <v>0.4861111111111111</v>
      </c>
      <c r="D1897" s="375" t="s">
        <v>6940</v>
      </c>
      <c r="E1897" s="355" t="s">
        <v>4827</v>
      </c>
      <c r="F1897" s="336">
        <v>5</v>
      </c>
      <c r="G1897" s="63" t="s">
        <v>1435</v>
      </c>
      <c r="H1897" s="383">
        <v>45400</v>
      </c>
      <c r="I1897" s="65" t="s">
        <v>73</v>
      </c>
      <c r="J1897" s="65" t="s">
        <v>4746</v>
      </c>
      <c r="K1897" s="63" t="s">
        <v>1512</v>
      </c>
      <c r="L1897" s="63" t="s">
        <v>806</v>
      </c>
      <c r="M1897" s="63" t="s">
        <v>2107</v>
      </c>
      <c r="N1897" s="63" t="s">
        <v>7292</v>
      </c>
      <c r="O1897" s="233" t="str">
        <f ca="1">IF(H1897&lt;&gt;"",IF(H1897&lt;=TODAY(),"SI","NO"),"LIMBO")</f>
        <v>SI</v>
      </c>
      <c r="P1897" s="233" t="str">
        <f>IF($P$1=H1897,"DIASOL", "DIANOSOL")</f>
        <v>DIANOSOL</v>
      </c>
      <c r="Q1897" s="63" t="s">
        <v>902</v>
      </c>
      <c r="R1897" s="63" t="str">
        <f>VLOOKUP($Q1897,Resultados!$A$1:$B$49,2,FALSE)</f>
        <v>Juicio Abreviado</v>
      </c>
      <c r="S1897" s="63"/>
      <c r="T1897" s="508" t="str">
        <f>IF(G1897=$J$1,"SI","NO")</f>
        <v>SI</v>
      </c>
      <c r="U1897" s="508"/>
      <c r="V1897" s="7" t="str">
        <f ca="1">IF(color_Celda(E1897)=12106214,"ROSA",IF(color_Celda(E1897)=65535,"AMARILLO",IF(color_Celda(E1897)=5296274,"VERDE",IF(color_Celda(E1897)=16777215,"BLANCO","NO SE"))))</f>
        <v>ROSA</v>
      </c>
      <c r="W1897" s="336"/>
      <c r="X1897" s="336"/>
      <c r="Y1897" s="336"/>
      <c r="Z1897" s="63" t="s">
        <v>748</v>
      </c>
      <c r="AA1897" s="63" t="s">
        <v>3379</v>
      </c>
      <c r="AB1897" s="63" t="s">
        <v>5776</v>
      </c>
      <c r="AC1897" s="336" t="s">
        <v>1792</v>
      </c>
    </row>
    <row r="1898" spans="1:29" ht="60" customHeight="1">
      <c r="A1898" s="336">
        <v>1895</v>
      </c>
      <c r="B1898" s="349">
        <v>45386</v>
      </c>
      <c r="C1898" s="568">
        <v>0.53749999999999998</v>
      </c>
      <c r="D1898" s="63" t="s">
        <v>6944</v>
      </c>
      <c r="E1898" s="64" t="s">
        <v>7259</v>
      </c>
      <c r="F1898" s="336">
        <v>7</v>
      </c>
      <c r="G1898" s="336" t="s">
        <v>3323</v>
      </c>
      <c r="H1898" s="349">
        <v>45400</v>
      </c>
      <c r="I1898" s="65" t="s">
        <v>73</v>
      </c>
      <c r="J1898" s="349" t="s">
        <v>78</v>
      </c>
      <c r="K1898" s="336">
        <f>IFERROR(VLOOKUP(J1898,Jueces!$A$1:$B$11,2,FALSE),"")</f>
        <v>8</v>
      </c>
      <c r="L1898" s="63" t="s">
        <v>4791</v>
      </c>
      <c r="M1898" s="63" t="s">
        <v>725</v>
      </c>
      <c r="N1898" s="63" t="s">
        <v>621</v>
      </c>
      <c r="O1898" s="167" t="str">
        <f ca="1">IF(H1898&lt;&gt;"",IF(H1898&lt;=TODAY(),"SI","NO"),"LIMBO")</f>
        <v>SI</v>
      </c>
      <c r="P1898" s="167" t="str">
        <f>IF($P$1=H1898,"DIASOL", "DIANOSOL")</f>
        <v>DIANOSOL</v>
      </c>
      <c r="Q1898" s="63" t="s">
        <v>151</v>
      </c>
      <c r="R1898" s="63" t="str">
        <f>VLOOKUP($Q1898,Resultados!$A$1:$B$49,2,FALSE)</f>
        <v>Prisión Preventiva</v>
      </c>
      <c r="S1898" s="63"/>
      <c r="T1898" s="414" t="str">
        <f>IF(G1898=$J$1,"SI","NO")</f>
        <v>NO</v>
      </c>
      <c r="U1898" s="414"/>
      <c r="V1898" s="7" t="str">
        <f ca="1">IF(color_Celda(E1898)=12106214,"ROSA",IF(color_Celda(E1898)=65535,"AMARILLO",IF(color_Celda(E1898)=5296274,"VERDE",IF(color_Celda(E1898)=16777215,"BLANCO","NO SE"))))</f>
        <v>ROSA</v>
      </c>
      <c r="W1898" s="336"/>
      <c r="X1898" s="336"/>
      <c r="Y1898" s="336"/>
      <c r="Z1898" s="63" t="s">
        <v>3368</v>
      </c>
      <c r="AA1898" s="63" t="s">
        <v>1167</v>
      </c>
      <c r="AB1898" s="63" t="s">
        <v>3258</v>
      </c>
      <c r="AC1898" s="336"/>
    </row>
    <row r="1899" spans="1:29" ht="60" customHeight="1">
      <c r="A1899" s="336">
        <v>1901</v>
      </c>
      <c r="B1899" s="349">
        <v>45387</v>
      </c>
      <c r="C1899" s="568">
        <v>0.49722222222222223</v>
      </c>
      <c r="D1899" s="63" t="s">
        <v>6953</v>
      </c>
      <c r="E1899" s="64" t="s">
        <v>7086</v>
      </c>
      <c r="F1899" s="336">
        <v>8</v>
      </c>
      <c r="G1899" s="336" t="s">
        <v>2752</v>
      </c>
      <c r="H1899" s="349">
        <v>45400</v>
      </c>
      <c r="I1899" s="349" t="s">
        <v>73</v>
      </c>
      <c r="J1899" s="349" t="s">
        <v>1217</v>
      </c>
      <c r="K1899" s="336">
        <v>7</v>
      </c>
      <c r="L1899" s="63" t="s">
        <v>791</v>
      </c>
      <c r="M1899" s="7" t="s">
        <v>723</v>
      </c>
      <c r="N1899" s="63" t="s">
        <v>7291</v>
      </c>
      <c r="O1899" s="78" t="str">
        <f ca="1">IF(H1899&lt;&gt;"",IF(H1899&lt;=TODAY(),"SI","NO"),"LIMBO")</f>
        <v>SI</v>
      </c>
      <c r="P1899" s="78" t="str">
        <f>IF($P$1=H1899,"DIASOL", "DIANOSOL")</f>
        <v>DIANOSOL</v>
      </c>
      <c r="Q1899" s="63" t="s">
        <v>903</v>
      </c>
      <c r="R1899" s="63" t="str">
        <f>VLOOKUP($Q1899,Resultados!$A$1:$B$49,2,FALSE)</f>
        <v>Juicio Abreviado</v>
      </c>
      <c r="S1899" s="63"/>
      <c r="T1899" s="81" t="str">
        <f>IF(G1899=$J$1,"SI","NO")</f>
        <v>NO</v>
      </c>
      <c r="U1899" s="81"/>
      <c r="V1899" s="7" t="str">
        <f ca="1">IF(color_Celda(E1899)=12106214,"ROSA",IF(color_Celda(E1899)=65535,"AMARILLO",IF(color_Celda(E1899)=5296274,"VERDE",IF(color_Celda(E1899)=16777215,"BLANCO","NO SE"))))</f>
        <v>ROSA</v>
      </c>
      <c r="W1899" s="336"/>
      <c r="X1899" s="336"/>
      <c r="Y1899" s="336"/>
      <c r="Z1899" s="63" t="s">
        <v>3368</v>
      </c>
      <c r="AA1899" s="63" t="s">
        <v>1167</v>
      </c>
      <c r="AB1899" s="63" t="s">
        <v>1171</v>
      </c>
      <c r="AC1899" s="336"/>
    </row>
    <row r="1900" spans="1:29" ht="60" customHeight="1">
      <c r="A1900" s="336">
        <v>1914</v>
      </c>
      <c r="B1900" s="349">
        <v>45390</v>
      </c>
      <c r="C1900" s="568">
        <v>0.42708333333333331</v>
      </c>
      <c r="D1900" s="63" t="s">
        <v>6993</v>
      </c>
      <c r="E1900" s="355" t="s">
        <v>6994</v>
      </c>
      <c r="F1900" s="336">
        <v>7</v>
      </c>
      <c r="G1900" s="336" t="s">
        <v>5710</v>
      </c>
      <c r="H1900" s="349">
        <v>45400</v>
      </c>
      <c r="I1900" s="65" t="s">
        <v>749</v>
      </c>
      <c r="J1900" s="349" t="s">
        <v>33</v>
      </c>
      <c r="K1900" s="336">
        <f>IFERROR(VLOOKUP(J1900,Jueces!$A$1:$B$11,2,FALSE),"")</f>
        <v>4</v>
      </c>
      <c r="L1900" s="63" t="s">
        <v>582</v>
      </c>
      <c r="M1900" s="63" t="s">
        <v>2201</v>
      </c>
      <c r="N1900" s="63" t="s">
        <v>7296</v>
      </c>
      <c r="O1900" s="167" t="str">
        <f ca="1">IF(H1900&lt;&gt;"",IF(H1900&lt;=TODAY(),"SI","NO"),"LIMBO")</f>
        <v>SI</v>
      </c>
      <c r="P1900" s="167" t="str">
        <f>IF($P$1=H1900,"DIASOL", "DIANOSOL")</f>
        <v>DIANOSOL</v>
      </c>
      <c r="Q1900" s="63" t="s">
        <v>910</v>
      </c>
      <c r="R1900" s="63" t="str">
        <f>VLOOKUP($Q1900,Resultados!$A$1:$B$49,2,FALSE)</f>
        <v>Suspendida</v>
      </c>
      <c r="S1900" s="63"/>
      <c r="T1900" s="414" t="str">
        <f>IF(G1900=$J$1,"SI","NO")</f>
        <v>NO</v>
      </c>
      <c r="U1900" s="414"/>
      <c r="V1900" s="7" t="str">
        <f ca="1">IF(color_Celda(E1900)=12106214,"ROSA",IF(color_Celda(E1900)=65535,"AMARILLO",IF(color_Celda(E1900)=5296274,"VERDE",IF(color_Celda(E1900)=16777215,"BLANCO","NO SE"))))</f>
        <v>ROSA</v>
      </c>
      <c r="W1900" s="336"/>
      <c r="X1900" s="336"/>
      <c r="Y1900" s="336"/>
      <c r="Z1900" s="63" t="s">
        <v>770</v>
      </c>
      <c r="AA1900" s="336"/>
      <c r="AB1900" s="63" t="s">
        <v>1170</v>
      </c>
      <c r="AC1900" s="336"/>
    </row>
    <row r="1901" spans="1:29" ht="60" customHeight="1">
      <c r="A1901" s="336">
        <v>1869</v>
      </c>
      <c r="B1901" s="349">
        <v>45378</v>
      </c>
      <c r="C1901" s="568">
        <v>0.44305555555555554</v>
      </c>
      <c r="D1901" s="63" t="s">
        <v>6893</v>
      </c>
      <c r="E1901" s="64" t="s">
        <v>6894</v>
      </c>
      <c r="F1901" s="336">
        <v>7</v>
      </c>
      <c r="G1901" s="336" t="s">
        <v>3324</v>
      </c>
      <c r="H1901" s="349">
        <v>45400</v>
      </c>
      <c r="I1901" s="65" t="s">
        <v>76</v>
      </c>
      <c r="J1901" s="349" t="s">
        <v>35</v>
      </c>
      <c r="K1901" s="336">
        <f>IFERROR(VLOOKUP(J1901,Jueces!$A$1:$B$11,2,FALSE),"")</f>
        <v>3</v>
      </c>
      <c r="L1901" s="63" t="s">
        <v>4789</v>
      </c>
      <c r="M1901" s="63" t="s">
        <v>2201</v>
      </c>
      <c r="N1901" s="63" t="s">
        <v>7297</v>
      </c>
      <c r="O1901" s="233" t="str">
        <f ca="1">IF(H1901&lt;&gt;"",IF(H1901&lt;=TODAY(),"SI","NO"),"LIMBO")</f>
        <v>SI</v>
      </c>
      <c r="P1901" s="233" t="str">
        <f>IF($P$1=H1901,"DIASOL", "DIANOSOL")</f>
        <v>DIANOSOL</v>
      </c>
      <c r="Q1901" s="63" t="s">
        <v>151</v>
      </c>
      <c r="R1901" s="63" t="str">
        <f>VLOOKUP($Q1901,Resultados!$A$1:$B$49,2,FALSE)</f>
        <v>Prisión Preventiva</v>
      </c>
      <c r="S1901" s="63"/>
      <c r="T1901" s="508" t="str">
        <f>IF(G1901=$J$1,"SI","NO")</f>
        <v>NO</v>
      </c>
      <c r="U1901" s="508"/>
      <c r="V1901" s="7" t="str">
        <f ca="1">IF(color_Celda(E1901)=12106214,"ROSA",IF(color_Celda(E1901)=65535,"AMARILLO",IF(color_Celda(E1901)=5296274,"VERDE",IF(color_Celda(E1901)=16777215,"BLANCO","NO SE"))))</f>
        <v>ROSA</v>
      </c>
      <c r="W1901" s="336"/>
      <c r="X1901" s="336"/>
      <c r="Y1901" s="336"/>
      <c r="Z1901" s="63" t="s">
        <v>770</v>
      </c>
      <c r="AA1901" s="63" t="s">
        <v>3379</v>
      </c>
      <c r="AB1901" s="63" t="s">
        <v>1169</v>
      </c>
      <c r="AC1901" s="336"/>
    </row>
    <row r="1902" spans="1:29" ht="60" customHeight="1">
      <c r="A1902" s="336">
        <v>1904</v>
      </c>
      <c r="B1902" s="349">
        <v>45387</v>
      </c>
      <c r="C1902" s="568">
        <v>0.44791666666666669</v>
      </c>
      <c r="D1902" s="63" t="s">
        <v>6958</v>
      </c>
      <c r="E1902" s="355" t="s">
        <v>6959</v>
      </c>
      <c r="F1902" s="336">
        <v>7</v>
      </c>
      <c r="G1902" s="63" t="s">
        <v>2815</v>
      </c>
      <c r="H1902" s="349">
        <v>45400</v>
      </c>
      <c r="I1902" s="65" t="s">
        <v>76</v>
      </c>
      <c r="J1902" s="65" t="s">
        <v>78</v>
      </c>
      <c r="K1902" s="336">
        <f>IFERROR(VLOOKUP(J1902,Jueces!$A$1:$B$11,2,FALSE),"")</f>
        <v>8</v>
      </c>
      <c r="L1902" s="63" t="s">
        <v>582</v>
      </c>
      <c r="M1902" s="63" t="s">
        <v>5656</v>
      </c>
      <c r="N1902" s="63" t="s">
        <v>7294</v>
      </c>
      <c r="O1902" s="233" t="str">
        <f ca="1">IF(H1902&lt;&gt;"",IF(H1902&lt;=TODAY(),"SI","NO"),"LIMBO")</f>
        <v>SI</v>
      </c>
      <c r="P1902" s="233" t="str">
        <f>IF($P$1=H1902,"DIASOL", "DIANOSOL")</f>
        <v>DIANOSOL</v>
      </c>
      <c r="Q1902" s="63" t="s">
        <v>902</v>
      </c>
      <c r="R1902" s="63" t="str">
        <f>VLOOKUP($Q1902,Resultados!$A$1:$B$49,2,FALSE)</f>
        <v>Juicio Abreviado</v>
      </c>
      <c r="S1902" s="63"/>
      <c r="T1902" s="508" t="str">
        <f>IF(G1902=$J$1,"SI","NO")</f>
        <v>NO</v>
      </c>
      <c r="U1902" s="508"/>
      <c r="V1902" s="7" t="str">
        <f ca="1">IF(color_Celda(E1902)=12106214,"ROSA",IF(color_Celda(E1902)=65535,"AMARILLO",IF(color_Celda(E1902)=5296274,"VERDE",IF(color_Celda(E1902)=16777215,"BLANCO","NO SE"))))</f>
        <v>ROSA</v>
      </c>
      <c r="W1902" s="336"/>
      <c r="X1902" s="336"/>
      <c r="Y1902" s="336"/>
      <c r="Z1902" s="63" t="s">
        <v>3368</v>
      </c>
      <c r="AA1902" s="336"/>
      <c r="AB1902" s="63" t="s">
        <v>3258</v>
      </c>
      <c r="AC1902" s="336"/>
    </row>
    <row r="1903" spans="1:29" ht="60" customHeight="1">
      <c r="A1903" s="336">
        <v>1912</v>
      </c>
      <c r="B1903" s="349">
        <v>45390</v>
      </c>
      <c r="C1903" s="568">
        <v>0.41111111111111115</v>
      </c>
      <c r="D1903" s="63" t="s">
        <v>6990</v>
      </c>
      <c r="E1903" s="355" t="s">
        <v>6989</v>
      </c>
      <c r="F1903" s="336">
        <v>5</v>
      </c>
      <c r="G1903" s="63" t="s">
        <v>2766</v>
      </c>
      <c r="H1903" s="349">
        <v>45400</v>
      </c>
      <c r="I1903" s="65" t="s">
        <v>76</v>
      </c>
      <c r="J1903" s="65" t="s">
        <v>1217</v>
      </c>
      <c r="K1903" s="336">
        <f>IFERROR(VLOOKUP(J1903,Jueces!$A$1:$B$11,2,FALSE),"")</f>
        <v>7</v>
      </c>
      <c r="L1903" s="63" t="s">
        <v>806</v>
      </c>
      <c r="M1903" s="63" t="s">
        <v>1956</v>
      </c>
      <c r="N1903" s="63" t="s">
        <v>7293</v>
      </c>
      <c r="O1903" s="233" t="str">
        <f ca="1">IF(H1903&lt;&gt;"",IF(H1903&lt;=TODAY(),"SI","NO"),"LIMBO")</f>
        <v>SI</v>
      </c>
      <c r="P1903" s="233" t="str">
        <f>IF($P$1=H1903,"DIASOL", "DIANOSOL")</f>
        <v>DIANOSOL</v>
      </c>
      <c r="Q1903" s="63" t="s">
        <v>897</v>
      </c>
      <c r="R1903" s="63" t="str">
        <f>VLOOKUP($Q1903,Resultados!$A$1:$B$49,2,FALSE)</f>
        <v>Libertad</v>
      </c>
      <c r="S1903" s="63"/>
      <c r="T1903" s="508" t="str">
        <f>IF(G1903=$J$1,"SI","NO")</f>
        <v>NO</v>
      </c>
      <c r="U1903" s="508"/>
      <c r="V1903" s="7" t="str">
        <f ca="1">IF(color_Celda(E1903)=12106214,"ROSA",IF(color_Celda(E1903)=65535,"AMARILLO",IF(color_Celda(E1903)=5296274,"VERDE",IF(color_Celda(E1903)=16777215,"BLANCO","NO SE"))))</f>
        <v>ROSA</v>
      </c>
      <c r="W1903" s="336"/>
      <c r="X1903" s="336"/>
      <c r="Y1903" s="336"/>
      <c r="Z1903" s="63" t="s">
        <v>3368</v>
      </c>
      <c r="AA1903" s="63" t="s">
        <v>2828</v>
      </c>
      <c r="AB1903" s="63" t="s">
        <v>1171</v>
      </c>
      <c r="AC1903" s="336"/>
    </row>
    <row r="1904" spans="1:29" ht="60" customHeight="1">
      <c r="A1904" s="336">
        <v>1928</v>
      </c>
      <c r="B1904" s="65">
        <v>45391</v>
      </c>
      <c r="C1904" s="63" t="s">
        <v>3514</v>
      </c>
      <c r="D1904" s="325" t="s">
        <v>7025</v>
      </c>
      <c r="E1904" s="64" t="s">
        <v>7026</v>
      </c>
      <c r="F1904" s="336">
        <v>5</v>
      </c>
      <c r="G1904" s="63" t="s">
        <v>29</v>
      </c>
      <c r="H1904" s="349">
        <v>45400</v>
      </c>
      <c r="I1904" s="65" t="s">
        <v>76</v>
      </c>
      <c r="J1904" s="65" t="s">
        <v>33</v>
      </c>
      <c r="K1904" s="336">
        <f>IFERROR(VLOOKUP(J1904,Jueces!$A$1:$B$11,2,FALSE),"")</f>
        <v>4</v>
      </c>
      <c r="L1904" s="63" t="s">
        <v>4790</v>
      </c>
      <c r="M1904" s="63" t="s">
        <v>2107</v>
      </c>
      <c r="N1904" s="63" t="s">
        <v>7298</v>
      </c>
      <c r="O1904" s="233" t="str">
        <f ca="1">IF(H1904&lt;&gt;"",IF(H1904&lt;=TODAY(),"SI","NO"),"LIMBO")</f>
        <v>SI</v>
      </c>
      <c r="P1904" s="233" t="str">
        <f>IF($P$1=H1904,"DIASOL", "DIANOSOL")</f>
        <v>DIANOSOL</v>
      </c>
      <c r="Q1904" s="63" t="s">
        <v>902</v>
      </c>
      <c r="R1904" s="63" t="str">
        <f>VLOOKUP($Q1904,Resultados!$A$1:$B$49,2,FALSE)</f>
        <v>Juicio Abreviado</v>
      </c>
      <c r="S1904" s="63"/>
      <c r="T1904" s="508" t="str">
        <f>IF(G1904=$J$1,"SI","NO")</f>
        <v>NO</v>
      </c>
      <c r="U1904" s="508"/>
      <c r="V1904" s="7" t="str">
        <f ca="1">IF(color_Celda(E1904)=12106214,"ROSA",IF(color_Celda(E1904)=65535,"AMARILLO",IF(color_Celda(E1904)=5296274,"VERDE",IF(color_Celda(E1904)=16777215,"BLANCO","NO SE"))))</f>
        <v>ROSA</v>
      </c>
      <c r="W1904" s="336"/>
      <c r="X1904" s="336"/>
      <c r="Y1904" s="336"/>
      <c r="Z1904" s="63" t="s">
        <v>770</v>
      </c>
      <c r="AA1904" s="63" t="s">
        <v>2828</v>
      </c>
      <c r="AB1904" s="63" t="s">
        <v>1170</v>
      </c>
      <c r="AC1904" s="336" t="s">
        <v>1792</v>
      </c>
    </row>
    <row r="1905" spans="1:29" ht="60" customHeight="1">
      <c r="A1905" s="336">
        <v>1894</v>
      </c>
      <c r="B1905" s="349">
        <v>45386</v>
      </c>
      <c r="C1905" s="568">
        <v>0.5180555555555556</v>
      </c>
      <c r="D1905" s="63" t="s">
        <v>6942</v>
      </c>
      <c r="E1905" s="355" t="s">
        <v>6943</v>
      </c>
      <c r="F1905" s="336">
        <v>7</v>
      </c>
      <c r="G1905" s="63" t="s">
        <v>1434</v>
      </c>
      <c r="H1905" s="349">
        <v>45400</v>
      </c>
      <c r="I1905" s="65" t="s">
        <v>75</v>
      </c>
      <c r="J1905" s="65" t="s">
        <v>1217</v>
      </c>
      <c r="K1905" s="336">
        <f>IFERROR(VLOOKUP(J1905,Jueces!$A$1:$B$11,2,FALSE),"")</f>
        <v>7</v>
      </c>
      <c r="L1905" s="63" t="s">
        <v>4777</v>
      </c>
      <c r="M1905" s="63" t="s">
        <v>725</v>
      </c>
      <c r="N1905" s="63" t="s">
        <v>7295</v>
      </c>
      <c r="O1905" s="233" t="str">
        <f ca="1">IF(H1905&lt;&gt;"",IF(H1905&lt;=TODAY(),"SI","NO"),"LIMBO")</f>
        <v>SI</v>
      </c>
      <c r="P1905" s="233" t="str">
        <f>IF($P$1=H1905,"DIASOL", "DIANOSOL")</f>
        <v>DIANOSOL</v>
      </c>
      <c r="Q1905" s="63" t="s">
        <v>903</v>
      </c>
      <c r="R1905" s="63" t="str">
        <f>VLOOKUP($Q1905,Resultados!$A$1:$B$49,2,FALSE)</f>
        <v>Juicio Abreviado</v>
      </c>
      <c r="S1905" s="63"/>
      <c r="T1905" s="508" t="str">
        <f>IF(G1905=$J$1,"SI","NO")</f>
        <v>NO</v>
      </c>
      <c r="U1905" s="508"/>
      <c r="V1905" s="7" t="str">
        <f ca="1">IF(color_Celda(E1905)=12106214,"ROSA",IF(color_Celda(E1905)=65535,"AMARILLO",IF(color_Celda(E1905)=5296274,"VERDE",IF(color_Celda(E1905)=16777215,"BLANCO","NO SE"))))</f>
        <v>ROSA</v>
      </c>
      <c r="W1905" s="336"/>
      <c r="X1905" s="336"/>
      <c r="Y1905" s="336"/>
      <c r="Z1905" s="63" t="s">
        <v>748</v>
      </c>
      <c r="AA1905" s="63" t="s">
        <v>2869</v>
      </c>
      <c r="AB1905" s="63" t="s">
        <v>1169</v>
      </c>
      <c r="AC1905" s="336"/>
    </row>
    <row r="1906" spans="1:29" ht="60" customHeight="1">
      <c r="A1906" s="336">
        <v>1919</v>
      </c>
      <c r="B1906" s="349">
        <v>45391</v>
      </c>
      <c r="C1906" s="568">
        <v>0.33333333333333331</v>
      </c>
      <c r="D1906" s="63" t="s">
        <v>7006</v>
      </c>
      <c r="E1906" s="355" t="s">
        <v>7007</v>
      </c>
      <c r="F1906" s="336">
        <v>7</v>
      </c>
      <c r="G1906" s="63" t="s">
        <v>3791</v>
      </c>
      <c r="H1906" s="349">
        <v>45400</v>
      </c>
      <c r="I1906" s="65" t="s">
        <v>75</v>
      </c>
      <c r="J1906" s="65" t="s">
        <v>33</v>
      </c>
      <c r="K1906" s="336">
        <f>IFERROR(VLOOKUP(J1906,Jueces!$A$1:$B$11,2,FALSE),"")</f>
        <v>4</v>
      </c>
      <c r="L1906" s="63" t="s">
        <v>4786</v>
      </c>
      <c r="M1906" s="63" t="s">
        <v>2201</v>
      </c>
      <c r="N1906" s="63" t="s">
        <v>7299</v>
      </c>
      <c r="O1906" s="233" t="str">
        <f ca="1">IF(H1906&lt;&gt;"",IF(H1906&lt;=TODAY(),"SI","NO"),"LIMBO")</f>
        <v>SI</v>
      </c>
      <c r="P1906" s="233" t="str">
        <f>IF($P$1=H1906,"DIASOL", "DIANOSOL")</f>
        <v>DIANOSOL</v>
      </c>
      <c r="Q1906" s="63" t="s">
        <v>902</v>
      </c>
      <c r="R1906" s="63" t="str">
        <f>VLOOKUP($Q1906,Resultados!$A$1:$B$49,2,FALSE)</f>
        <v>Juicio Abreviado</v>
      </c>
      <c r="S1906" s="63"/>
      <c r="T1906" s="508" t="str">
        <f>IF(G1906=$J$1,"SI","NO")</f>
        <v>NO</v>
      </c>
      <c r="U1906" s="508"/>
      <c r="V1906" s="7" t="str">
        <f ca="1">IF(color_Celda(E1906)=12106214,"ROSA",IF(color_Celda(E1906)=65535,"AMARILLO",IF(color_Celda(E1906)=5296274,"VERDE",IF(color_Celda(E1906)=16777215,"BLANCO","NO SE"))))</f>
        <v>ROSA</v>
      </c>
      <c r="W1906" s="336"/>
      <c r="X1906" s="336"/>
      <c r="Y1906" s="336"/>
      <c r="Z1906" s="63" t="s">
        <v>770</v>
      </c>
      <c r="AA1906" s="63" t="s">
        <v>3378</v>
      </c>
      <c r="AB1906" s="63" t="s">
        <v>3258</v>
      </c>
      <c r="AC1906" s="336"/>
    </row>
    <row r="1907" spans="1:29" ht="60" customHeight="1">
      <c r="A1907" s="336">
        <v>1909</v>
      </c>
      <c r="B1907" s="349">
        <v>45390</v>
      </c>
      <c r="C1907" s="568">
        <v>0.39513888888888887</v>
      </c>
      <c r="D1907" s="63" t="s">
        <v>6984</v>
      </c>
      <c r="E1907" s="355" t="s">
        <v>6985</v>
      </c>
      <c r="F1907" s="336">
        <v>7</v>
      </c>
      <c r="G1907" s="336" t="s">
        <v>2815</v>
      </c>
      <c r="H1907" s="349">
        <v>45401</v>
      </c>
      <c r="I1907" s="65" t="s">
        <v>73</v>
      </c>
      <c r="J1907" s="349" t="s">
        <v>4932</v>
      </c>
      <c r="K1907" s="63" t="s">
        <v>1916</v>
      </c>
      <c r="L1907" s="63" t="s">
        <v>4788</v>
      </c>
      <c r="M1907" s="7" t="s">
        <v>725</v>
      </c>
      <c r="N1907" s="63" t="s">
        <v>7328</v>
      </c>
      <c r="O1907" s="167" t="str">
        <f ca="1">IF(H1907&lt;&gt;"",IF(H1907&lt;=TODAY(),"SI","NO"),"LIMBO")</f>
        <v>SI</v>
      </c>
      <c r="P1907" s="167" t="str">
        <f>IF($P$1=H1907,"DIASOL", "DIANOSOL")</f>
        <v>DIANOSOL</v>
      </c>
      <c r="Q1907" s="63" t="s">
        <v>902</v>
      </c>
      <c r="R1907" s="63" t="str">
        <f>VLOOKUP($Q1907,Resultados!$A$1:$B$49,2,FALSE)</f>
        <v>Juicio Abreviado</v>
      </c>
      <c r="S1907" s="63"/>
      <c r="T1907" s="414" t="str">
        <f>IF(G1907=$J$1,"SI","NO")</f>
        <v>NO</v>
      </c>
      <c r="U1907" s="414"/>
      <c r="V1907" s="7" t="str">
        <f ca="1">IF(color_Celda(E1907)=12106214,"ROSA",IF(color_Celda(E1907)=65535,"AMARILLO",IF(color_Celda(E1907)=5296274,"VERDE",IF(color_Celda(E1907)=16777215,"BLANCO","NO SE"))))</f>
        <v>ROSA</v>
      </c>
      <c r="W1907" s="336"/>
      <c r="X1907" s="336"/>
      <c r="Y1907" s="336"/>
      <c r="Z1907" s="63" t="s">
        <v>748</v>
      </c>
      <c r="AA1907" s="63" t="s">
        <v>3379</v>
      </c>
      <c r="AB1907" s="63" t="s">
        <v>1171</v>
      </c>
      <c r="AC1907" s="336"/>
    </row>
    <row r="1908" spans="1:29" ht="60" customHeight="1">
      <c r="A1908" s="336">
        <v>1910</v>
      </c>
      <c r="B1908" s="349">
        <v>45390</v>
      </c>
      <c r="C1908" s="568">
        <v>0.39999999999999997</v>
      </c>
      <c r="D1908" s="63" t="s">
        <v>6986</v>
      </c>
      <c r="E1908" s="64" t="s">
        <v>6987</v>
      </c>
      <c r="F1908" s="336">
        <v>7</v>
      </c>
      <c r="G1908" s="336" t="s">
        <v>5710</v>
      </c>
      <c r="H1908" s="349">
        <v>45401</v>
      </c>
      <c r="I1908" s="65" t="s">
        <v>73</v>
      </c>
      <c r="J1908" s="349" t="s">
        <v>78</v>
      </c>
      <c r="K1908" s="336">
        <f>IFERROR(VLOOKUP(J1908,Jueces!$A$1:$B$11,2,FALSE),"")</f>
        <v>8</v>
      </c>
      <c r="L1908" s="63" t="s">
        <v>2077</v>
      </c>
      <c r="M1908" s="7" t="s">
        <v>2201</v>
      </c>
      <c r="N1908" s="336" t="s">
        <v>7305</v>
      </c>
      <c r="O1908" s="63" t="str">
        <f ca="1">IF(H1908&lt;&gt;"",IF(H1908&lt;=TODAY(),"SI","NO"),"LIMBO")</f>
        <v>SI</v>
      </c>
      <c r="P1908" s="63" t="str">
        <f>IF($P$1=H1908,"DIASOL", "DIANOSOL")</f>
        <v>DIANOSOL</v>
      </c>
      <c r="Q1908" s="63" t="s">
        <v>910</v>
      </c>
      <c r="R1908" s="63" t="str">
        <f>VLOOKUP($Q1908,Resultados!$A$1:$B$49,2,FALSE)</f>
        <v>Suspendida</v>
      </c>
      <c r="S1908" s="63"/>
      <c r="T1908" s="72" t="str">
        <f>IF(G1908=$J$1,"SI","NO")</f>
        <v>NO</v>
      </c>
      <c r="U1908" s="72"/>
      <c r="V1908" s="7" t="str">
        <f ca="1">IF(color_Celda(E1908)=12106214,"ROSA",IF(color_Celda(E1908)=65535,"AMARILLO",IF(color_Celda(E1908)=5296274,"VERDE",IF(color_Celda(E1908)=16777215,"BLANCO","NO SE"))))</f>
        <v>ROSA</v>
      </c>
      <c r="W1908" s="336"/>
      <c r="X1908" s="336"/>
      <c r="Y1908" s="336"/>
      <c r="Z1908" s="63" t="s">
        <v>770</v>
      </c>
      <c r="AA1908" s="63" t="s">
        <v>2828</v>
      </c>
      <c r="AB1908" s="63" t="s">
        <v>1170</v>
      </c>
      <c r="AC1908" s="336"/>
    </row>
    <row r="1909" spans="1:29" ht="60" customHeight="1">
      <c r="A1909" s="336">
        <v>1921</v>
      </c>
      <c r="B1909" s="349">
        <v>45391</v>
      </c>
      <c r="C1909" s="568">
        <v>0.33333333333333331</v>
      </c>
      <c r="D1909" s="63" t="s">
        <v>7010</v>
      </c>
      <c r="E1909" s="64" t="s">
        <v>7011</v>
      </c>
      <c r="F1909" s="336">
        <v>8</v>
      </c>
      <c r="G1909" s="63" t="s">
        <v>1433</v>
      </c>
      <c r="H1909" s="349">
        <v>45401</v>
      </c>
      <c r="I1909" s="65" t="s">
        <v>73</v>
      </c>
      <c r="J1909" s="65" t="s">
        <v>4746</v>
      </c>
      <c r="K1909" s="63" t="s">
        <v>3941</v>
      </c>
      <c r="L1909" s="63" t="s">
        <v>4779</v>
      </c>
      <c r="M1909" s="335" t="s">
        <v>7064</v>
      </c>
      <c r="N1909" s="336" t="s">
        <v>7306</v>
      </c>
      <c r="O1909" s="63" t="str">
        <f ca="1">IF(H1909&lt;&gt;"",IF(H1909&lt;=TODAY(),"SI","NO"),"LIMBO")</f>
        <v>SI</v>
      </c>
      <c r="P1909" s="63" t="str">
        <f>IF($P$1=H1909,"DIASOL", "DIANOSOL")</f>
        <v>DIANOSOL</v>
      </c>
      <c r="Q1909" s="63" t="s">
        <v>1010</v>
      </c>
      <c r="R1909" s="63" t="str">
        <f>VLOOKUP($Q1909,Resultados!$A$1:$B$49,2,FALSE)</f>
        <v>Suspendida</v>
      </c>
      <c r="S1909" s="63"/>
      <c r="T1909" s="72" t="str">
        <f>IF(G1909=$J$1,"SI","NO")</f>
        <v>NO</v>
      </c>
      <c r="U1909" s="72"/>
      <c r="V1909" s="7" t="str">
        <f ca="1">IF(color_Celda(E1909)=12106214,"ROSA",IF(color_Celda(E1909)=65535,"AMARILLO",IF(color_Celda(E1909)=5296274,"VERDE",IF(color_Celda(E1909)=16777215,"BLANCO","NO SE"))))</f>
        <v>ROSA</v>
      </c>
      <c r="W1909" s="336"/>
      <c r="X1909" s="336"/>
      <c r="Y1909" s="336"/>
      <c r="Z1909" s="63" t="s">
        <v>3368</v>
      </c>
      <c r="AA1909" s="63" t="s">
        <v>2828</v>
      </c>
      <c r="AB1909" s="63" t="s">
        <v>1169</v>
      </c>
      <c r="AC1909" s="336"/>
    </row>
    <row r="1910" spans="1:29" ht="60" customHeight="1">
      <c r="A1910" s="336">
        <v>1931</v>
      </c>
      <c r="B1910" s="349">
        <v>45391</v>
      </c>
      <c r="C1910" s="568">
        <v>0.52569444444444446</v>
      </c>
      <c r="D1910" s="63" t="s">
        <v>7031</v>
      </c>
      <c r="E1910" s="64" t="s">
        <v>7285</v>
      </c>
      <c r="F1910" s="336">
        <v>5</v>
      </c>
      <c r="G1910" s="336" t="s">
        <v>568</v>
      </c>
      <c r="H1910" s="349">
        <v>45401</v>
      </c>
      <c r="I1910" s="65" t="s">
        <v>73</v>
      </c>
      <c r="J1910" s="349" t="s">
        <v>1217</v>
      </c>
      <c r="K1910" s="63" t="s">
        <v>2285</v>
      </c>
      <c r="L1910" s="63" t="s">
        <v>4791</v>
      </c>
      <c r="M1910" s="63" t="s">
        <v>1866</v>
      </c>
      <c r="N1910" s="205" t="s">
        <v>7329</v>
      </c>
      <c r="O1910" s="78" t="str">
        <f ca="1">IF(H1910&lt;&gt;"",IF(H1910&lt;=TODAY(),"SI","NO"),"LIMBO")</f>
        <v>SI</v>
      </c>
      <c r="P1910" s="78" t="str">
        <f>IF($P$1=H1910,"DIASOL", "DIANOSOL")</f>
        <v>DIANOSOL</v>
      </c>
      <c r="Q1910" s="63" t="s">
        <v>151</v>
      </c>
      <c r="R1910" s="63" t="str">
        <f>VLOOKUP($Q1910,Resultados!$A$1:$B$49,2,FALSE)</f>
        <v>Prisión Preventiva</v>
      </c>
      <c r="S1910" s="63"/>
      <c r="T1910" s="81" t="str">
        <f>IF(G1910=$J$1,"SI","NO")</f>
        <v>NO</v>
      </c>
      <c r="U1910" s="81"/>
      <c r="V1910" s="7" t="str">
        <f ca="1">IF(color_Celda(E1910)=12106214,"ROSA",IF(color_Celda(E1910)=65535,"AMARILLO",IF(color_Celda(E1910)=5296274,"VERDE",IF(color_Celda(E1910)=16777215,"BLANCO","NO SE"))))</f>
        <v>ROSA</v>
      </c>
      <c r="W1910" s="336"/>
      <c r="X1910" s="336"/>
      <c r="Y1910" s="336"/>
      <c r="Z1910" s="63" t="s">
        <v>748</v>
      </c>
      <c r="AA1910" s="63" t="s">
        <v>3379</v>
      </c>
      <c r="AB1910" s="63" t="s">
        <v>3258</v>
      </c>
      <c r="AC1910" s="336"/>
    </row>
    <row r="1911" spans="1:29" ht="60" customHeight="1">
      <c r="A1911" s="336">
        <v>1935</v>
      </c>
      <c r="B1911" s="349">
        <v>45392</v>
      </c>
      <c r="C1911" s="568">
        <v>0.37361111111111112</v>
      </c>
      <c r="D1911" s="63" t="s">
        <v>7037</v>
      </c>
      <c r="E1911" s="64" t="s">
        <v>7038</v>
      </c>
      <c r="F1911" s="336">
        <v>5</v>
      </c>
      <c r="G1911" s="63" t="s">
        <v>283</v>
      </c>
      <c r="H1911" s="349">
        <v>45401</v>
      </c>
      <c r="I1911" s="65" t="s">
        <v>73</v>
      </c>
      <c r="J1911" s="65" t="s">
        <v>35</v>
      </c>
      <c r="K1911" s="336">
        <f>IFERROR(VLOOKUP(J1911,Jueces!$A$1:$B$11,2,FALSE),"")</f>
        <v>3</v>
      </c>
      <c r="L1911" s="63" t="s">
        <v>4790</v>
      </c>
      <c r="M1911" s="335" t="s">
        <v>1378</v>
      </c>
      <c r="N1911" s="63" t="s">
        <v>7304</v>
      </c>
      <c r="O1911" s="63" t="str">
        <f ca="1">IF(H1911&lt;&gt;"",IF(H1911&lt;=TODAY(),"SI","NO"),"LIMBO")</f>
        <v>SI</v>
      </c>
      <c r="P1911" s="63" t="str">
        <f>IF($P$1=H1911,"DIASOL", "DIANOSOL")</f>
        <v>DIANOSOL</v>
      </c>
      <c r="Q1911" s="63" t="s">
        <v>1010</v>
      </c>
      <c r="R1911" s="63" t="str">
        <f>VLOOKUP($Q1911,Resultados!$A$1:$B$49,2,FALSE)</f>
        <v>Suspendida</v>
      </c>
      <c r="S1911" s="63"/>
      <c r="T1911" s="72" t="str">
        <f>IF(G1911=$J$1,"SI","NO")</f>
        <v>NO</v>
      </c>
      <c r="U1911" s="72"/>
      <c r="V1911" s="7" t="str">
        <f ca="1">IF(color_Celda(E1911)=12106214,"ROSA",IF(color_Celda(E1911)=65535,"AMARILLO",IF(color_Celda(E1911)=5296274,"VERDE",IF(color_Celda(E1911)=16777215,"BLANCO","NO SE"))))</f>
        <v>ROSA</v>
      </c>
      <c r="W1911" s="336"/>
      <c r="X1911" s="336"/>
      <c r="Y1911" s="336"/>
      <c r="Z1911" s="63" t="s">
        <v>3368</v>
      </c>
      <c r="AA1911" s="63" t="s">
        <v>2869</v>
      </c>
      <c r="AB1911" s="63" t="s">
        <v>5776</v>
      </c>
      <c r="AC1911" s="336"/>
    </row>
    <row r="1912" spans="1:29" ht="60" customHeight="1">
      <c r="A1912" s="336">
        <v>1940</v>
      </c>
      <c r="B1912" s="349">
        <v>45392</v>
      </c>
      <c r="C1912" s="568">
        <v>0.4777777777777778</v>
      </c>
      <c r="D1912" s="63" t="s">
        <v>7045</v>
      </c>
      <c r="E1912" s="64" t="s">
        <v>7205</v>
      </c>
      <c r="F1912" s="336">
        <v>8</v>
      </c>
      <c r="G1912" s="63" t="s">
        <v>1435</v>
      </c>
      <c r="H1912" s="349">
        <v>45401</v>
      </c>
      <c r="I1912" s="65" t="s">
        <v>73</v>
      </c>
      <c r="J1912" s="65" t="s">
        <v>33</v>
      </c>
      <c r="K1912" s="336">
        <f>IFERROR(VLOOKUP(J1912,Jueces!$A$1:$B$11,2,FALSE),"")</f>
        <v>4</v>
      </c>
      <c r="L1912" s="63" t="s">
        <v>791</v>
      </c>
      <c r="M1912" s="335" t="s">
        <v>7088</v>
      </c>
      <c r="N1912" s="63" t="s">
        <v>7331</v>
      </c>
      <c r="O1912" s="167" t="str">
        <f ca="1">IF(H1912&lt;&gt;"",IF(H1912&lt;=TODAY(),"SI","NO"),"LIMBO")</f>
        <v>SI</v>
      </c>
      <c r="P1912" s="167" t="str">
        <f>IF($P$1=H1912,"DIASOL", "DIANOSOL")</f>
        <v>DIANOSOL</v>
      </c>
      <c r="Q1912" s="63" t="s">
        <v>903</v>
      </c>
      <c r="R1912" s="63" t="str">
        <f>VLOOKUP($Q1912,Resultados!$A$1:$B$49,2,FALSE)</f>
        <v>Juicio Abreviado</v>
      </c>
      <c r="S1912" s="63"/>
      <c r="T1912" s="414" t="str">
        <f>IF(G1912=$J$1,"SI","NO")</f>
        <v>SI</v>
      </c>
      <c r="U1912" s="414"/>
      <c r="V1912" s="7" t="str">
        <f ca="1">IF(color_Celda(E1912)=12106214,"ROSA",IF(color_Celda(E1912)=65535,"AMARILLO",IF(color_Celda(E1912)=5296274,"VERDE",IF(color_Celda(E1912)=16777215,"BLANCO","NO SE"))))</f>
        <v>ROSA</v>
      </c>
      <c r="W1912" s="336"/>
      <c r="X1912" s="336"/>
      <c r="Y1912" s="336"/>
      <c r="Z1912" s="63" t="s">
        <v>770</v>
      </c>
      <c r="AA1912" s="63" t="s">
        <v>3379</v>
      </c>
      <c r="AB1912" s="63" t="s">
        <v>1170</v>
      </c>
      <c r="AC1912" s="336"/>
    </row>
    <row r="1913" spans="1:29" ht="60" customHeight="1">
      <c r="A1913" s="336">
        <v>1959</v>
      </c>
      <c r="B1913" s="349">
        <v>45386</v>
      </c>
      <c r="C1913" s="568">
        <v>0.45833333333333331</v>
      </c>
      <c r="D1913" s="63" t="s">
        <v>5926</v>
      </c>
      <c r="E1913" s="355" t="s">
        <v>5925</v>
      </c>
      <c r="F1913" s="336">
        <v>3</v>
      </c>
      <c r="G1913" s="63" t="s">
        <v>3323</v>
      </c>
      <c r="H1913" s="383">
        <v>45401</v>
      </c>
      <c r="I1913" s="65" t="s">
        <v>76</v>
      </c>
      <c r="J1913" s="65" t="s">
        <v>78</v>
      </c>
      <c r="K1913" s="63">
        <v>8</v>
      </c>
      <c r="L1913" s="63" t="s">
        <v>1693</v>
      </c>
      <c r="M1913" s="63" t="s">
        <v>693</v>
      </c>
      <c r="N1913" s="63" t="s">
        <v>7333</v>
      </c>
      <c r="O1913" s="78" t="str">
        <f ca="1">IF(H1913&lt;&gt;"",IF(H1913&lt;=TODAY(),"SI","NO"),"LIMBO")</f>
        <v>SI</v>
      </c>
      <c r="P1913" s="78" t="str">
        <f>IF($P$1=H1913,"DIASOL", "DIANOSOL")</f>
        <v>DIANOSOL</v>
      </c>
      <c r="Q1913" s="63" t="s">
        <v>897</v>
      </c>
      <c r="R1913" s="63" t="str">
        <f>VLOOKUP($Q1913,Resultados!$A$1:$B$49,2,FALSE)</f>
        <v>Libertad</v>
      </c>
      <c r="S1913" s="63"/>
      <c r="T1913" s="81" t="str">
        <f>IF(G1913=$J$1,"SI","NO")</f>
        <v>NO</v>
      </c>
      <c r="U1913" s="81"/>
      <c r="V1913" s="7" t="str">
        <f ca="1">IF(color_Celda(E1913)=12106214,"ROSA",IF(color_Celda(E1913)=65535,"AMARILLO",IF(color_Celda(E1913)=5296274,"VERDE",IF(color_Celda(E1913)=16777215,"BLANCO","NO SE"))))</f>
        <v>ROSA</v>
      </c>
      <c r="W1913" s="336"/>
      <c r="X1913" s="336"/>
      <c r="Y1913" s="336"/>
      <c r="Z1913" s="63" t="s">
        <v>770</v>
      </c>
      <c r="AA1913" s="63" t="s">
        <v>1167</v>
      </c>
      <c r="AB1913" s="63" t="s">
        <v>1171</v>
      </c>
      <c r="AC1913" s="336"/>
    </row>
    <row r="1914" spans="1:29" ht="60" customHeight="1">
      <c r="A1914" s="336">
        <v>1908</v>
      </c>
      <c r="B1914" s="349">
        <v>45390</v>
      </c>
      <c r="C1914" s="568">
        <v>0.35555555555555557</v>
      </c>
      <c r="D1914" s="63" t="s">
        <v>6982</v>
      </c>
      <c r="E1914" s="355" t="s">
        <v>6983</v>
      </c>
      <c r="F1914" s="336">
        <v>5</v>
      </c>
      <c r="G1914" s="336" t="s">
        <v>3324</v>
      </c>
      <c r="H1914" s="65">
        <v>45401</v>
      </c>
      <c r="I1914" s="65" t="s">
        <v>76</v>
      </c>
      <c r="J1914" s="349" t="s">
        <v>78</v>
      </c>
      <c r="K1914" s="336">
        <f>IFERROR(VLOOKUP(J1914,Jueces!$A$1:$B$11,2,FALSE),"")</f>
        <v>8</v>
      </c>
      <c r="L1914" s="63" t="s">
        <v>569</v>
      </c>
      <c r="M1914" s="335" t="s">
        <v>4832</v>
      </c>
      <c r="N1914" s="63" t="s">
        <v>7272</v>
      </c>
      <c r="O1914" s="63" t="str">
        <f ca="1">IF(H1914&lt;&gt;"",IF(H1914&lt;=TODAY(),"SI","NO"),"LIMBO")</f>
        <v>SI</v>
      </c>
      <c r="P1914" s="63" t="str">
        <f>IF($P$1=H1914,"DIASOL", "DIANOSOL")</f>
        <v>DIANOSOL</v>
      </c>
      <c r="Q1914" s="63" t="s">
        <v>909</v>
      </c>
      <c r="R1914" s="63" t="str">
        <f>VLOOKUP($Q1914,Resultados!$A$1:$B$49,2,FALSE)</f>
        <v>Suspendida</v>
      </c>
      <c r="S1914" s="63"/>
      <c r="T1914" s="72" t="str">
        <f>IF(G1914=$J$1,"SI","NO")</f>
        <v>NO</v>
      </c>
      <c r="U1914" s="72"/>
      <c r="V1914" s="7" t="str">
        <f ca="1">IF(color_Celda(E1914)=12106214,"ROSA",IF(color_Celda(E1914)=65535,"AMARILLO",IF(color_Celda(E1914)=5296274,"VERDE",IF(color_Celda(E1914)=16777215,"BLANCO","NO SE"))))</f>
        <v>ROSA</v>
      </c>
      <c r="W1914" s="336"/>
      <c r="X1914" s="336"/>
      <c r="Y1914" s="336"/>
      <c r="Z1914" s="336"/>
      <c r="AA1914" s="63"/>
      <c r="AB1914" s="336"/>
      <c r="AC1914" s="336"/>
    </row>
    <row r="1915" spans="1:29" ht="60" customHeight="1">
      <c r="A1915" s="336">
        <v>1918</v>
      </c>
      <c r="B1915" s="349">
        <v>45391</v>
      </c>
      <c r="C1915" s="568">
        <v>0.33333333333333331</v>
      </c>
      <c r="D1915" s="63" t="s">
        <v>7004</v>
      </c>
      <c r="E1915" s="355" t="s">
        <v>7005</v>
      </c>
      <c r="F1915" s="336">
        <v>7</v>
      </c>
      <c r="G1915" s="63" t="s">
        <v>2766</v>
      </c>
      <c r="H1915" s="349">
        <v>45401</v>
      </c>
      <c r="I1915" s="65" t="s">
        <v>76</v>
      </c>
      <c r="J1915" s="65" t="s">
        <v>35</v>
      </c>
      <c r="K1915" s="63" t="s">
        <v>3779</v>
      </c>
      <c r="L1915" s="63" t="s">
        <v>4778</v>
      </c>
      <c r="M1915" s="335" t="s">
        <v>725</v>
      </c>
      <c r="N1915" s="63" t="s">
        <v>6251</v>
      </c>
      <c r="O1915" s="63" t="str">
        <f ca="1">IF(H1915&lt;&gt;"",IF(H1915&lt;=TODAY(),"SI","NO"),"LIMBO")</f>
        <v>SI</v>
      </c>
      <c r="P1915" s="63" t="str">
        <f>IF($P$1=H1915,"DIASOL", "DIANOSOL")</f>
        <v>DIANOSOL</v>
      </c>
      <c r="Q1915" s="63" t="s">
        <v>151</v>
      </c>
      <c r="R1915" s="63" t="str">
        <f>VLOOKUP($Q1915,Resultados!$A$1:$B$49,2,FALSE)</f>
        <v>Prisión Preventiva</v>
      </c>
      <c r="S1915" s="63"/>
      <c r="T1915" s="72" t="str">
        <f>IF(G1915=$J$1,"SI","NO")</f>
        <v>NO</v>
      </c>
      <c r="U1915" s="72"/>
      <c r="V1915" s="7" t="str">
        <f ca="1">IF(color_Celda(E1915)=12106214,"ROSA",IF(color_Celda(E1915)=65535,"AMARILLO",IF(color_Celda(E1915)=5296274,"VERDE",IF(color_Celda(E1915)=16777215,"BLANCO","NO SE"))))</f>
        <v>ROSA</v>
      </c>
      <c r="W1915" s="336"/>
      <c r="X1915" s="336"/>
      <c r="Y1915" s="336"/>
      <c r="Z1915" s="63" t="s">
        <v>3368</v>
      </c>
      <c r="AA1915" s="63" t="s">
        <v>3378</v>
      </c>
      <c r="AB1915" s="63" t="s">
        <v>1170</v>
      </c>
      <c r="AC1915" s="336"/>
    </row>
    <row r="1916" spans="1:29" ht="60" customHeight="1">
      <c r="A1916" s="336">
        <v>1978</v>
      </c>
      <c r="B1916" s="349">
        <v>45377</v>
      </c>
      <c r="C1916" s="568" t="s">
        <v>3358</v>
      </c>
      <c r="D1916" s="336" t="s">
        <v>6842</v>
      </c>
      <c r="E1916" s="355" t="s">
        <v>6923</v>
      </c>
      <c r="F1916" s="336">
        <v>1</v>
      </c>
      <c r="G1916" s="63" t="s">
        <v>2815</v>
      </c>
      <c r="H1916" s="383">
        <v>45401</v>
      </c>
      <c r="I1916" s="65" t="s">
        <v>75</v>
      </c>
      <c r="J1916" s="65" t="s">
        <v>1217</v>
      </c>
      <c r="K1916" s="63" t="s">
        <v>7141</v>
      </c>
      <c r="L1916" s="63" t="s">
        <v>4781</v>
      </c>
      <c r="M1916" s="7" t="s">
        <v>4456</v>
      </c>
      <c r="N1916" s="63" t="s">
        <v>7332</v>
      </c>
      <c r="O1916" s="78" t="str">
        <f ca="1">IF(H1916&lt;&gt;"",IF(H1916&lt;=TODAY(),"SI","NO"),"LIMBO")</f>
        <v>SI</v>
      </c>
      <c r="P1916" s="78" t="str">
        <f>IF($P$1=H1916,"DIASOL", "DIANOSOL")</f>
        <v>DIANOSOL</v>
      </c>
      <c r="Q1916" s="63" t="s">
        <v>903</v>
      </c>
      <c r="R1916" s="63" t="str">
        <f>VLOOKUP($Q1916,Resultados!$A$1:$B$49,2,FALSE)</f>
        <v>Juicio Abreviado</v>
      </c>
      <c r="S1916" s="63"/>
      <c r="T1916" s="81" t="str">
        <f>IF(G1916=$J$1,"SI","NO")</f>
        <v>NO</v>
      </c>
      <c r="U1916" s="81"/>
      <c r="V1916" s="7" t="str">
        <f ca="1">IF(color_Celda(E1916)=12106214,"ROSA",IF(color_Celda(E1916)=65535,"AMARILLO",IF(color_Celda(E1916)=5296274,"VERDE",IF(color_Celda(E1916)=16777215,"BLANCO","NO SE"))))</f>
        <v>ROSA</v>
      </c>
      <c r="W1916" s="336"/>
      <c r="X1916" s="336"/>
      <c r="Y1916" s="336"/>
      <c r="Z1916" s="63" t="s">
        <v>770</v>
      </c>
      <c r="AA1916" s="336" t="s">
        <v>2869</v>
      </c>
      <c r="AB1916" s="63" t="s">
        <v>1169</v>
      </c>
      <c r="AC1916" s="336"/>
    </row>
    <row r="1917" spans="1:29" ht="60" customHeight="1">
      <c r="A1917" s="336">
        <v>1950</v>
      </c>
      <c r="B1917" s="349">
        <v>45392</v>
      </c>
      <c r="C1917" s="568">
        <v>0.51597222222222217</v>
      </c>
      <c r="D1917" s="63" t="s">
        <v>7066</v>
      </c>
      <c r="E1917" s="355" t="s">
        <v>7067</v>
      </c>
      <c r="F1917" s="336">
        <v>7</v>
      </c>
      <c r="G1917" s="63" t="s">
        <v>3791</v>
      </c>
      <c r="H1917" s="349">
        <v>45401</v>
      </c>
      <c r="I1917" s="65" t="s">
        <v>75</v>
      </c>
      <c r="J1917" s="65" t="s">
        <v>33</v>
      </c>
      <c r="K1917" s="336">
        <f>IFERROR(VLOOKUP(J1917,Jueces!$A$1:$B$11,2,FALSE),"")</f>
        <v>4</v>
      </c>
      <c r="L1917" s="63" t="s">
        <v>4766</v>
      </c>
      <c r="M1917" s="335" t="s">
        <v>1426</v>
      </c>
      <c r="N1917" s="63" t="s">
        <v>577</v>
      </c>
      <c r="O1917" s="78" t="str">
        <f ca="1">IF(H1917&lt;&gt;"",IF(H1917&lt;=TODAY(),"SI","NO"),"LIMBO")</f>
        <v>SI</v>
      </c>
      <c r="P1917" s="78" t="str">
        <f>IF($P$1=H1917,"DIASOL", "DIANOSOL")</f>
        <v>DIANOSOL</v>
      </c>
      <c r="Q1917" s="63" t="s">
        <v>151</v>
      </c>
      <c r="R1917" s="63" t="str">
        <f>VLOOKUP($Q1917,Resultados!$A$1:$B$49,2,FALSE)</f>
        <v>Prisión Preventiva</v>
      </c>
      <c r="S1917" s="63"/>
      <c r="T1917" s="81" t="str">
        <f>IF(G1917=$J$1,"SI","NO")</f>
        <v>NO</v>
      </c>
      <c r="U1917" s="81"/>
      <c r="V1917" s="7" t="str">
        <f ca="1">IF(color_Celda(E1917)=12106214,"ROSA",IF(color_Celda(E1917)=65535,"AMARILLO",IF(color_Celda(E1917)=5296274,"VERDE",IF(color_Celda(E1917)=16777215,"BLANCO","NO SE"))))</f>
        <v>ROSA</v>
      </c>
      <c r="W1917" s="336"/>
      <c r="X1917" s="336"/>
      <c r="Y1917" s="336"/>
      <c r="Z1917" s="63" t="s">
        <v>748</v>
      </c>
      <c r="AA1917" s="63" t="s">
        <v>3378</v>
      </c>
      <c r="AB1917" s="63" t="s">
        <v>3258</v>
      </c>
      <c r="AC1917" s="336"/>
    </row>
    <row r="1918" spans="1:29" ht="60" customHeight="1">
      <c r="A1918" s="336">
        <v>1947</v>
      </c>
      <c r="B1918" s="349">
        <v>45393</v>
      </c>
      <c r="C1918" s="568">
        <v>0.33333333333333331</v>
      </c>
      <c r="D1918" s="63" t="s">
        <v>7055</v>
      </c>
      <c r="E1918" s="64" t="s">
        <v>7056</v>
      </c>
      <c r="F1918" s="336">
        <v>7</v>
      </c>
      <c r="G1918" s="63" t="s">
        <v>29</v>
      </c>
      <c r="H1918" s="349">
        <v>45401</v>
      </c>
      <c r="I1918" s="65" t="s">
        <v>228</v>
      </c>
      <c r="J1918" s="65" t="s">
        <v>33</v>
      </c>
      <c r="K1918" s="336">
        <f>IFERROR(VLOOKUP(J1918,Jueces!$A$1:$B$11,2,FALSE),"")</f>
        <v>4</v>
      </c>
      <c r="L1918" s="63" t="s">
        <v>791</v>
      </c>
      <c r="M1918" s="335" t="s">
        <v>7089</v>
      </c>
      <c r="N1918" s="63" t="s">
        <v>7330</v>
      </c>
      <c r="O1918" s="233" t="str">
        <f ca="1">IF(H1918&lt;&gt;"",IF(H1918&lt;=TODAY(),"SI","NO"),"LIMBO")</f>
        <v>SI</v>
      </c>
      <c r="P1918" s="233" t="str">
        <f>IF($P$1=H1918,"DIASOL", "DIANOSOL")</f>
        <v>DIANOSOL</v>
      </c>
      <c r="Q1918" s="63" t="s">
        <v>903</v>
      </c>
      <c r="R1918" s="63" t="str">
        <f>VLOOKUP($Q1918,Resultados!$A$1:$B$49,2,FALSE)</f>
        <v>Juicio Abreviado</v>
      </c>
      <c r="S1918" s="63"/>
      <c r="T1918" s="508" t="str">
        <f>IF(G1918=$J$1,"SI","NO")</f>
        <v>NO</v>
      </c>
      <c r="U1918" s="508"/>
      <c r="V1918" s="7" t="str">
        <f ca="1">IF(color_Celda(E1918)=12106214,"ROSA",IF(color_Celda(E1918)=65535,"AMARILLO",IF(color_Celda(E1918)=5296274,"VERDE",IF(color_Celda(E1918)=16777215,"BLANCO","NO SE"))))</f>
        <v>ROSA</v>
      </c>
      <c r="W1918" s="336"/>
      <c r="X1918" s="336"/>
      <c r="Y1918" s="336"/>
      <c r="Z1918" s="63" t="s">
        <v>3368</v>
      </c>
      <c r="AA1918" s="63" t="s">
        <v>1167</v>
      </c>
      <c r="AB1918" s="63" t="s">
        <v>1171</v>
      </c>
      <c r="AC1918" s="336"/>
    </row>
    <row r="1919" spans="1:29" ht="60" customHeight="1">
      <c r="A1919" s="336">
        <v>1916</v>
      </c>
      <c r="B1919" s="349">
        <v>45390</v>
      </c>
      <c r="C1919" s="568">
        <v>0.52569444444444446</v>
      </c>
      <c r="D1919" s="63" t="s">
        <v>6999</v>
      </c>
      <c r="E1919" s="64" t="s">
        <v>7000</v>
      </c>
      <c r="F1919" s="336">
        <v>8</v>
      </c>
      <c r="G1919" s="63" t="s">
        <v>1435</v>
      </c>
      <c r="H1919" s="349">
        <v>45404</v>
      </c>
      <c r="I1919" s="65" t="s">
        <v>73</v>
      </c>
      <c r="J1919" s="65" t="s">
        <v>33</v>
      </c>
      <c r="K1919" s="336">
        <f>IFERROR(VLOOKUP(J1919,Jueces!$A$1:$B$11,2,FALSE),"")</f>
        <v>4</v>
      </c>
      <c r="L1919" s="63" t="s">
        <v>791</v>
      </c>
      <c r="M1919" s="63" t="s">
        <v>2201</v>
      </c>
      <c r="N1919" s="63" t="s">
        <v>7367</v>
      </c>
      <c r="O1919" s="167" t="str">
        <f ca="1">IF(H1919&lt;&gt;"",IF(H1919&lt;=TODAY(),"SI","NO"),"LIMBO")</f>
        <v>SI</v>
      </c>
      <c r="P1919" s="167" t="str">
        <f>IF($P$1=H1919,"DIASOL", "DIANOSOL")</f>
        <v>DIANOSOL</v>
      </c>
      <c r="Q1919" s="63" t="s">
        <v>903</v>
      </c>
      <c r="R1919" s="63" t="str">
        <f>VLOOKUP($Q1919,Resultados!$A$1:$B$49,2,FALSE)</f>
        <v>Juicio Abreviado</v>
      </c>
      <c r="S1919" s="63"/>
      <c r="T1919" s="414" t="str">
        <f>IF(G1919=$J$1,"SI","NO")</f>
        <v>SI</v>
      </c>
      <c r="U1919" s="414"/>
      <c r="V1919" s="7" t="str">
        <f ca="1">IF(color_Celda(E1919)=12106214,"ROSA",IF(color_Celda(E1919)=65535,"AMARILLO",IF(color_Celda(E1919)=5296274,"VERDE",IF(color_Celda(E1919)=16777215,"BLANCO","NO SE"))))</f>
        <v>ROSA</v>
      </c>
      <c r="W1919" s="336"/>
      <c r="X1919" s="336"/>
      <c r="Y1919" s="336"/>
      <c r="Z1919" s="336" t="s">
        <v>748</v>
      </c>
      <c r="AA1919" s="63" t="s">
        <v>2828</v>
      </c>
      <c r="AB1919" s="63" t="s">
        <v>1170</v>
      </c>
      <c r="AC1919" s="336"/>
    </row>
    <row r="1920" spans="1:29" ht="60" customHeight="1">
      <c r="A1920" s="336">
        <v>1929</v>
      </c>
      <c r="B1920" s="349">
        <v>45391</v>
      </c>
      <c r="C1920" s="568">
        <v>0.42777777777777781</v>
      </c>
      <c r="D1920" s="63" t="s">
        <v>5964</v>
      </c>
      <c r="E1920" s="355" t="s">
        <v>5965</v>
      </c>
      <c r="F1920" s="336">
        <v>4</v>
      </c>
      <c r="G1920" s="63" t="s">
        <v>5710</v>
      </c>
      <c r="H1920" s="383">
        <v>45404</v>
      </c>
      <c r="I1920" s="65" t="s">
        <v>73</v>
      </c>
      <c r="J1920" s="65" t="s">
        <v>35</v>
      </c>
      <c r="K1920" s="336">
        <f>IFERROR(VLOOKUP(J1920,Jueces!$A$1:$B$11,2,FALSE),"")</f>
        <v>3</v>
      </c>
      <c r="L1920" s="63" t="s">
        <v>2077</v>
      </c>
      <c r="M1920" s="335" t="s">
        <v>696</v>
      </c>
      <c r="N1920" s="63" t="s">
        <v>7342</v>
      </c>
      <c r="O1920" s="63" t="str">
        <f ca="1">IF(H1920&lt;&gt;"",IF(H1920&lt;=TODAY(),"SI","NO"),"LIMBO")</f>
        <v>SI</v>
      </c>
      <c r="P1920" s="63" t="str">
        <f>IF($P$1=H1920,"DIASOL", "DIANOSOL")</f>
        <v>DIANOSOL</v>
      </c>
      <c r="Q1920" s="63" t="s">
        <v>909</v>
      </c>
      <c r="R1920" s="63" t="str">
        <f>VLOOKUP($Q1920,Resultados!$A$1:$B$49,2,FALSE)</f>
        <v>Suspendida</v>
      </c>
      <c r="S1920" s="63"/>
      <c r="T1920" s="72" t="str">
        <f>IF(G1920=$J$1,"SI","NO")</f>
        <v>NO</v>
      </c>
      <c r="U1920" s="72"/>
      <c r="V1920" s="7" t="str">
        <f ca="1">IF(color_Celda(E1920)=12106214,"ROSA",IF(color_Celda(E1920)=65535,"AMARILLO",IF(color_Celda(E1920)=5296274,"VERDE",IF(color_Celda(E1920)=16777215,"BLANCO","NO SE"))))</f>
        <v>ROSA</v>
      </c>
      <c r="W1920" s="336"/>
      <c r="X1920" s="336"/>
      <c r="Y1920" s="336"/>
      <c r="Z1920" s="336" t="s">
        <v>3368</v>
      </c>
      <c r="AA1920" s="63" t="s">
        <v>3379</v>
      </c>
      <c r="AB1920" s="63" t="s">
        <v>1169</v>
      </c>
      <c r="AC1920" s="336"/>
    </row>
    <row r="1921" spans="1:29" ht="60" customHeight="1">
      <c r="A1921" s="336">
        <v>1949</v>
      </c>
      <c r="B1921" s="349">
        <v>45392</v>
      </c>
      <c r="C1921" s="568">
        <v>0.47916666666666669</v>
      </c>
      <c r="D1921" s="63" t="s">
        <v>7057</v>
      </c>
      <c r="E1921" s="64" t="s">
        <v>7058</v>
      </c>
      <c r="F1921" s="336">
        <v>7</v>
      </c>
      <c r="G1921" s="63" t="s">
        <v>1434</v>
      </c>
      <c r="H1921" s="349">
        <v>45404</v>
      </c>
      <c r="I1921" s="65" t="s">
        <v>73</v>
      </c>
      <c r="J1921" s="65" t="s">
        <v>1217</v>
      </c>
      <c r="K1921" s="336">
        <f>IFERROR(VLOOKUP(J1921,Jueces!$A$1:$B$11,2,FALSE),"")</f>
        <v>7</v>
      </c>
      <c r="L1921" s="63" t="s">
        <v>4789</v>
      </c>
      <c r="M1921" s="63" t="s">
        <v>725</v>
      </c>
      <c r="N1921" s="63" t="s">
        <v>4007</v>
      </c>
      <c r="O1921" s="63" t="str">
        <f ca="1">IF(H1921&lt;&gt;"",IF(H1921&lt;=TODAY(),"SI","NO"),"LIMBO")</f>
        <v>SI</v>
      </c>
      <c r="P1921" s="63" t="str">
        <f>IF($P$1=H1921,"DIASOL", "DIANOSOL")</f>
        <v>DIANOSOL</v>
      </c>
      <c r="Q1921" s="63" t="s">
        <v>902</v>
      </c>
      <c r="R1921" s="63" t="str">
        <f>VLOOKUP($Q1921,Resultados!$A$1:$B$49,2,FALSE)</f>
        <v>Juicio Abreviado</v>
      </c>
      <c r="S1921" s="63"/>
      <c r="T1921" s="72" t="str">
        <f>IF(G1921=$J$1,"SI","NO")</f>
        <v>NO</v>
      </c>
      <c r="U1921" s="72"/>
      <c r="V1921" s="7" t="str">
        <f ca="1">IF(color_Celda(E1921)=12106214,"ROSA",IF(color_Celda(E1921)=65535,"AMARILLO",IF(color_Celda(E1921)=5296274,"VERDE",IF(color_Celda(E1921)=16777215,"BLANCO","NO SE"))))</f>
        <v>ROSA</v>
      </c>
      <c r="W1921" s="336"/>
      <c r="X1921" s="336"/>
      <c r="Y1921" s="336"/>
      <c r="Z1921" s="336" t="s">
        <v>748</v>
      </c>
      <c r="AA1921" s="63" t="s">
        <v>3378</v>
      </c>
      <c r="AB1921" s="63" t="s">
        <v>5776</v>
      </c>
      <c r="AC1921" s="336"/>
    </row>
    <row r="1922" spans="1:29" ht="60" customHeight="1">
      <c r="A1922" s="336">
        <v>1943</v>
      </c>
      <c r="B1922" s="349">
        <v>45393</v>
      </c>
      <c r="C1922" s="568">
        <v>0.33333333333333331</v>
      </c>
      <c r="D1922" s="63" t="s">
        <v>7049</v>
      </c>
      <c r="E1922" s="64" t="s">
        <v>7082</v>
      </c>
      <c r="F1922" s="336">
        <v>8</v>
      </c>
      <c r="G1922" s="63" t="s">
        <v>2752</v>
      </c>
      <c r="H1922" s="349">
        <v>45404</v>
      </c>
      <c r="I1922" s="65" t="s">
        <v>73</v>
      </c>
      <c r="J1922" s="65" t="s">
        <v>78</v>
      </c>
      <c r="K1922" s="336">
        <f>IFERROR(VLOOKUP(J1922,Jueces!$A$1:$B$11,2,FALSE),"")</f>
        <v>8</v>
      </c>
      <c r="L1922" s="63" t="s">
        <v>4790</v>
      </c>
      <c r="M1922" s="7" t="s">
        <v>767</v>
      </c>
      <c r="N1922" s="336" t="s">
        <v>3186</v>
      </c>
      <c r="O1922" s="167" t="str">
        <f ca="1">IF(H1922&lt;&gt;"",IF(H1922&lt;=TODAY(),"SI","NO"),"LIMBO")</f>
        <v>SI</v>
      </c>
      <c r="P1922" s="167" t="str">
        <f>IF($P$1=H1922,"DIASOL", "DIANOSOL")</f>
        <v>DIANOSOL</v>
      </c>
      <c r="Q1922" s="63" t="s">
        <v>907</v>
      </c>
      <c r="R1922" s="63" t="str">
        <f>VLOOKUP($Q1922,Resultados!$A$1:$B$49,2,FALSE)</f>
        <v>Suspensión de juicio a prueba</v>
      </c>
      <c r="S1922" s="63"/>
      <c r="T1922" s="414" t="str">
        <f>IF(G1922=$J$1,"SI","NO")</f>
        <v>NO</v>
      </c>
      <c r="U1922" s="414"/>
      <c r="V1922" s="7" t="str">
        <f ca="1">IF(color_Celda(E1922)=12106214,"ROSA",IF(color_Celda(E1922)=65535,"AMARILLO",IF(color_Celda(E1922)=5296274,"VERDE",IF(color_Celda(E1922)=16777215,"BLANCO","NO SE"))))</f>
        <v>ROSA</v>
      </c>
      <c r="W1922" s="336"/>
      <c r="X1922" s="336"/>
      <c r="Y1922" s="336"/>
      <c r="Z1922" s="336" t="s">
        <v>770</v>
      </c>
      <c r="AA1922" s="63" t="s">
        <v>3378</v>
      </c>
      <c r="AB1922" s="63" t="s">
        <v>3258</v>
      </c>
      <c r="AC1922" s="336"/>
    </row>
    <row r="1923" spans="1:29" ht="60" customHeight="1">
      <c r="A1923" s="336">
        <v>1975</v>
      </c>
      <c r="B1923" s="349">
        <v>45397</v>
      </c>
      <c r="C1923" s="568">
        <v>0.37847222222222227</v>
      </c>
      <c r="D1923" s="336" t="s">
        <v>6237</v>
      </c>
      <c r="E1923" s="355" t="s">
        <v>6995</v>
      </c>
      <c r="F1923" s="336">
        <v>4</v>
      </c>
      <c r="G1923" s="336" t="s">
        <v>568</v>
      </c>
      <c r="H1923" s="383">
        <v>45404</v>
      </c>
      <c r="I1923" s="349" t="s">
        <v>73</v>
      </c>
      <c r="J1923" s="349" t="s">
        <v>31</v>
      </c>
      <c r="K1923" s="336">
        <f>IFERROR(VLOOKUP(J1923,Jueces!$A$1:$B$11,2,FALSE),"")</f>
        <v>2</v>
      </c>
      <c r="L1923" s="63" t="s">
        <v>802</v>
      </c>
      <c r="M1923" s="63" t="s">
        <v>695</v>
      </c>
      <c r="N1923" s="336" t="s">
        <v>7365</v>
      </c>
      <c r="O1923" s="78" t="str">
        <f ca="1">IF(H1923&lt;&gt;"",IF(H1923&lt;=TODAY(),"SI","NO"),"LIMBO")</f>
        <v>SI</v>
      </c>
      <c r="P1923" s="78" t="str">
        <f>IF($P$1=H1923,"DIASOL", "DIANOSOL")</f>
        <v>DIANOSOL</v>
      </c>
      <c r="Q1923" s="63" t="s">
        <v>902</v>
      </c>
      <c r="R1923" s="63" t="str">
        <f>VLOOKUP($Q1923,Resultados!$A$1:$B$49,2,FALSE)</f>
        <v>Juicio Abreviado</v>
      </c>
      <c r="S1923" s="63"/>
      <c r="T1923" s="81" t="str">
        <f>IF(G1923=$J$1,"SI","NO")</f>
        <v>NO</v>
      </c>
      <c r="U1923" s="81"/>
      <c r="V1923" s="7" t="str">
        <f ca="1">IF(color_Celda(E1923)=12106214,"ROSA",IF(color_Celda(E1923)=65535,"AMARILLO",IF(color_Celda(E1923)=5296274,"VERDE",IF(color_Celda(E1923)=16777215,"BLANCO","NO SE"))))</f>
        <v>ROSA</v>
      </c>
      <c r="W1923" s="336"/>
      <c r="X1923" s="336"/>
      <c r="Y1923" s="336"/>
      <c r="Z1923" s="336" t="s">
        <v>3368</v>
      </c>
      <c r="AA1923" s="63" t="s">
        <v>3379</v>
      </c>
      <c r="AB1923" s="63" t="s">
        <v>1171</v>
      </c>
      <c r="AC1923" s="336"/>
    </row>
    <row r="1924" spans="1:29" ht="60" customHeight="1">
      <c r="A1924" s="336">
        <v>1930</v>
      </c>
      <c r="B1924" s="349">
        <v>45391</v>
      </c>
      <c r="C1924" s="568">
        <v>0.52361111111111114</v>
      </c>
      <c r="D1924" s="63" t="s">
        <v>7029</v>
      </c>
      <c r="E1924" s="64" t="s">
        <v>7030</v>
      </c>
      <c r="F1924" s="336">
        <v>8</v>
      </c>
      <c r="G1924" s="63" t="s">
        <v>2766</v>
      </c>
      <c r="H1924" s="349">
        <v>45404</v>
      </c>
      <c r="I1924" s="65" t="s">
        <v>76</v>
      </c>
      <c r="J1924" s="65" t="s">
        <v>35</v>
      </c>
      <c r="K1924" s="336">
        <f>IFERROR(VLOOKUP(J1924,Jueces!$A$1:$B$11,2,FALSE),"")</f>
        <v>3</v>
      </c>
      <c r="L1924" s="63" t="s">
        <v>791</v>
      </c>
      <c r="M1924" s="63" t="s">
        <v>723</v>
      </c>
      <c r="N1924" s="336" t="s">
        <v>4007</v>
      </c>
      <c r="O1924" s="167" t="str">
        <f ca="1">IF(H1924&lt;&gt;"",IF(H1924&lt;=TODAY(),"SI","NO"),"LIMBO")</f>
        <v>SI</v>
      </c>
      <c r="P1924" s="167" t="str">
        <f>IF($P$1=H1924,"DIASOL", "DIANOSOL")</f>
        <v>DIANOSOL</v>
      </c>
      <c r="Q1924" s="63" t="s">
        <v>902</v>
      </c>
      <c r="R1924" s="63" t="str">
        <f>VLOOKUP($Q1924,Resultados!$A$1:$B$49,2,FALSE)</f>
        <v>Juicio Abreviado</v>
      </c>
      <c r="S1924" s="63"/>
      <c r="T1924" s="414" t="str">
        <f>IF(G1924=$J$1,"SI","NO")</f>
        <v>NO</v>
      </c>
      <c r="U1924" s="414"/>
      <c r="V1924" s="7" t="str">
        <f ca="1">IF(color_Celda(E1924)=12106214,"ROSA",IF(color_Celda(E1924)=65535,"AMARILLO",IF(color_Celda(E1924)=5296274,"VERDE",IF(color_Celda(E1924)=16777215,"BLANCO","NO SE"))))</f>
        <v>ROSA</v>
      </c>
      <c r="W1924" s="336"/>
      <c r="X1924" s="336"/>
      <c r="Y1924" s="336"/>
      <c r="Z1924" s="336" t="s">
        <v>3368</v>
      </c>
      <c r="AA1924" s="63" t="s">
        <v>2869</v>
      </c>
      <c r="AB1924" s="63" t="s">
        <v>1170</v>
      </c>
      <c r="AC1924" s="336"/>
    </row>
    <row r="1925" spans="1:29" ht="60" customHeight="1">
      <c r="A1925" s="336">
        <v>1933</v>
      </c>
      <c r="B1925" s="349">
        <v>45391</v>
      </c>
      <c r="C1925" s="568">
        <v>0.53611111111111109</v>
      </c>
      <c r="D1925" s="63" t="s">
        <v>7034</v>
      </c>
      <c r="E1925" s="64" t="s">
        <v>7087</v>
      </c>
      <c r="F1925" s="336">
        <v>8</v>
      </c>
      <c r="G1925" s="63" t="s">
        <v>3324</v>
      </c>
      <c r="H1925" s="349">
        <v>45404</v>
      </c>
      <c r="I1925" s="65" t="s">
        <v>76</v>
      </c>
      <c r="J1925" s="65" t="s">
        <v>78</v>
      </c>
      <c r="K1925" s="336">
        <f>IFERROR(VLOOKUP(J1925,Jueces!$A$1:$B$11,2,FALSE),"")</f>
        <v>8</v>
      </c>
      <c r="L1925" s="63" t="s">
        <v>4790</v>
      </c>
      <c r="M1925" s="63" t="s">
        <v>767</v>
      </c>
      <c r="N1925" s="336" t="s">
        <v>7366</v>
      </c>
      <c r="O1925" s="167" t="str">
        <f ca="1">IF(H1925&lt;&gt;"",IF(H1925&lt;=TODAY(),"SI","NO"),"LIMBO")</f>
        <v>SI</v>
      </c>
      <c r="P1925" s="167" t="str">
        <f>IF($P$1=H1925,"DIASOL", "DIANOSOL")</f>
        <v>DIANOSOL</v>
      </c>
      <c r="Q1925" s="63" t="s">
        <v>902</v>
      </c>
      <c r="R1925" s="63" t="str">
        <f>VLOOKUP($Q1925,Resultados!$A$1:$B$49,2,FALSE)</f>
        <v>Juicio Abreviado</v>
      </c>
      <c r="S1925" s="63"/>
      <c r="T1925" s="414" t="str">
        <f>IF(G1925=$J$1,"SI","NO")</f>
        <v>NO</v>
      </c>
      <c r="U1925" s="414"/>
      <c r="V1925" s="7" t="str">
        <f ca="1">IF(color_Celda(E1925)=12106214,"ROSA",IF(color_Celda(E1925)=65535,"AMARILLO",IF(color_Celda(E1925)=5296274,"VERDE",IF(color_Celda(E1925)=16777215,"BLANCO","NO SE"))))</f>
        <v>ROSA</v>
      </c>
      <c r="W1925" s="336"/>
      <c r="X1925" s="336"/>
      <c r="Y1925" s="336"/>
      <c r="Z1925" s="336" t="s">
        <v>770</v>
      </c>
      <c r="AA1925" s="63" t="s">
        <v>1167</v>
      </c>
      <c r="AB1925" s="63" t="s">
        <v>1169</v>
      </c>
      <c r="AC1925" s="336"/>
    </row>
    <row r="1926" spans="1:29" ht="60" customHeight="1">
      <c r="A1926" s="336">
        <v>1956</v>
      </c>
      <c r="B1926" s="349">
        <v>45393</v>
      </c>
      <c r="C1926" s="568">
        <v>0.4694444444444445</v>
      </c>
      <c r="D1926" s="63" t="s">
        <v>7093</v>
      </c>
      <c r="E1926" s="64" t="s">
        <v>7078</v>
      </c>
      <c r="F1926" s="336">
        <v>7</v>
      </c>
      <c r="G1926" s="336" t="s">
        <v>3791</v>
      </c>
      <c r="H1926" s="349">
        <v>45404</v>
      </c>
      <c r="I1926" s="349" t="s">
        <v>76</v>
      </c>
      <c r="J1926" s="349" t="s">
        <v>31</v>
      </c>
      <c r="K1926" s="336">
        <f>IFERROR(VLOOKUP(J1926,Jueces!$A$1:$B$11,2,FALSE),"")</f>
        <v>2</v>
      </c>
      <c r="L1926" s="63" t="s">
        <v>806</v>
      </c>
      <c r="M1926" s="150" t="s">
        <v>2107</v>
      </c>
      <c r="N1926" s="336" t="s">
        <v>7369</v>
      </c>
      <c r="O1926" s="167" t="str">
        <f ca="1">IF(H1926&lt;&gt;"",IF(H1926&lt;=TODAY(),"SI","NO"),"LIMBO")</f>
        <v>SI</v>
      </c>
      <c r="P1926" s="167" t="str">
        <f>IF($P$1=H1926,"DIASOL", "DIANOSOL")</f>
        <v>DIANOSOL</v>
      </c>
      <c r="Q1926" s="63" t="s">
        <v>903</v>
      </c>
      <c r="R1926" s="63" t="str">
        <f>VLOOKUP($Q1926,Resultados!$A$1:$B$49,2,FALSE)</f>
        <v>Juicio Abreviado</v>
      </c>
      <c r="S1926" s="63"/>
      <c r="T1926" s="414" t="str">
        <f>IF(G1926=$J$1,"SI","NO")</f>
        <v>NO</v>
      </c>
      <c r="U1926" s="414"/>
      <c r="V1926" s="7" t="str">
        <f ca="1">IF(color_Celda(E1926)=12106214,"ROSA",IF(color_Celda(E1926)=65535,"AMARILLO",IF(color_Celda(E1926)=5296274,"VERDE",IF(color_Celda(E1926)=16777215,"BLANCO","NO SE"))))</f>
        <v>ROSA</v>
      </c>
      <c r="W1926" s="336"/>
      <c r="X1926" s="336"/>
      <c r="Y1926" s="336"/>
      <c r="Z1926" s="336" t="s">
        <v>748</v>
      </c>
      <c r="AA1926" s="336" t="s">
        <v>2828</v>
      </c>
      <c r="AB1926" s="63" t="s">
        <v>3258</v>
      </c>
      <c r="AC1926" s="336"/>
    </row>
    <row r="1927" spans="1:29" ht="60" customHeight="1">
      <c r="A1927" s="336">
        <v>1963</v>
      </c>
      <c r="B1927" s="349">
        <v>45394</v>
      </c>
      <c r="C1927" s="568">
        <v>0.38958333333333334</v>
      </c>
      <c r="D1927" s="63" t="s">
        <v>7099</v>
      </c>
      <c r="E1927" s="64" t="s">
        <v>7100</v>
      </c>
      <c r="F1927" s="336">
        <v>8</v>
      </c>
      <c r="G1927" s="63" t="s">
        <v>2815</v>
      </c>
      <c r="H1927" s="349">
        <v>45404</v>
      </c>
      <c r="I1927" s="65" t="s">
        <v>76</v>
      </c>
      <c r="J1927" s="65" t="s">
        <v>1217</v>
      </c>
      <c r="K1927" s="63" t="s">
        <v>3989</v>
      </c>
      <c r="L1927" s="63" t="s">
        <v>789</v>
      </c>
      <c r="M1927" s="335" t="s">
        <v>782</v>
      </c>
      <c r="N1927" s="63" t="s">
        <v>3184</v>
      </c>
      <c r="O1927" s="233" t="str">
        <f ca="1">IF(H1927&lt;&gt;"",IF(H1927&lt;=TODAY(),"SI","NO"),"LIMBO")</f>
        <v>SI</v>
      </c>
      <c r="P1927" s="233" t="str">
        <f>IF($P$1=H1927,"DIASOL", "DIANOSOL")</f>
        <v>DIANOSOL</v>
      </c>
      <c r="Q1927" s="63" t="s">
        <v>903</v>
      </c>
      <c r="R1927" s="63" t="str">
        <f>VLOOKUP($Q1927,Resultados!$A$1:$B$49,2,FALSE)</f>
        <v>Juicio Abreviado</v>
      </c>
      <c r="S1927" s="63"/>
      <c r="T1927" s="508" t="str">
        <f>IF(G1927=$J$1,"SI","NO")</f>
        <v>NO</v>
      </c>
      <c r="U1927" s="508"/>
      <c r="V1927" s="7" t="str">
        <f ca="1">IF(color_Celda(E1927)=12106214,"ROSA",IF(color_Celda(E1927)=65535,"AMARILLO",IF(color_Celda(E1927)=5296274,"VERDE",IF(color_Celda(E1927)=16777215,"BLANCO","NO SE"))))</f>
        <v>ROSA</v>
      </c>
      <c r="W1927" s="336"/>
      <c r="X1927" s="336"/>
      <c r="Y1927" s="336"/>
      <c r="Z1927" s="336" t="s">
        <v>770</v>
      </c>
      <c r="AA1927" s="336" t="s">
        <v>1167</v>
      </c>
      <c r="AB1927" s="63" t="s">
        <v>1171</v>
      </c>
      <c r="AC1927" s="336"/>
    </row>
    <row r="1928" spans="1:29" ht="60" customHeight="1">
      <c r="A1928" s="336">
        <v>1905</v>
      </c>
      <c r="B1928" s="349">
        <v>45387</v>
      </c>
      <c r="C1928" s="568">
        <v>0.53888888888888886</v>
      </c>
      <c r="D1928" s="63" t="s">
        <v>6978</v>
      </c>
      <c r="E1928" s="355" t="s">
        <v>6979</v>
      </c>
      <c r="F1928" s="336">
        <v>8</v>
      </c>
      <c r="G1928" s="63" t="s">
        <v>1433</v>
      </c>
      <c r="H1928" s="349">
        <v>45404</v>
      </c>
      <c r="I1928" s="65" t="s">
        <v>987</v>
      </c>
      <c r="J1928" s="65" t="s">
        <v>31</v>
      </c>
      <c r="K1928" s="63" t="s">
        <v>1916</v>
      </c>
      <c r="L1928" s="63" t="s">
        <v>4789</v>
      </c>
      <c r="M1928" s="63" t="s">
        <v>723</v>
      </c>
      <c r="N1928" s="336" t="s">
        <v>7368</v>
      </c>
      <c r="O1928" s="233" t="str">
        <f ca="1">IF(H1928&lt;&gt;"",IF(H1928&lt;=TODAY(),"SI","NO"),"LIMBO")</f>
        <v>SI</v>
      </c>
      <c r="P1928" s="233" t="str">
        <f>IF($P$1=H1928,"DIASOL", "DIANOSOL")</f>
        <v>DIANOSOL</v>
      </c>
      <c r="Q1928" s="63" t="s">
        <v>903</v>
      </c>
      <c r="R1928" s="63" t="str">
        <f>VLOOKUP($Q1928,Resultados!$A$1:$B$49,2,FALSE)</f>
        <v>Juicio Abreviado</v>
      </c>
      <c r="S1928" s="63"/>
      <c r="T1928" s="508" t="str">
        <f>IF(G1928=$J$1,"SI","NO")</f>
        <v>NO</v>
      </c>
      <c r="U1928" s="508"/>
      <c r="V1928" s="7" t="str">
        <f ca="1">IF(color_Celda(E1928)=12106214,"ROSA",IF(color_Celda(E1928)=65535,"AMARILLO",IF(color_Celda(E1928)=5296274,"VERDE",IF(color_Celda(E1928)=16777215,"BLANCO","NO SE"))))</f>
        <v>ROSA</v>
      </c>
      <c r="W1928" s="336"/>
      <c r="X1928" s="336"/>
      <c r="Y1928" s="336"/>
      <c r="Z1928" s="336" t="s">
        <v>770</v>
      </c>
      <c r="AA1928" s="63" t="s">
        <v>2869</v>
      </c>
      <c r="AB1928" s="63" t="s">
        <v>1170</v>
      </c>
      <c r="AC1928" s="336"/>
    </row>
    <row r="1929" spans="1:29" ht="60" customHeight="1">
      <c r="A1929" s="336">
        <v>1932</v>
      </c>
      <c r="B1929" s="349">
        <v>45391</v>
      </c>
      <c r="C1929" s="568">
        <v>0.52708333333333335</v>
      </c>
      <c r="D1929" s="63" t="s">
        <v>7032</v>
      </c>
      <c r="E1929" s="64" t="s">
        <v>7033</v>
      </c>
      <c r="F1929" s="336">
        <v>8</v>
      </c>
      <c r="G1929" s="63" t="s">
        <v>283</v>
      </c>
      <c r="H1929" s="349">
        <v>45405</v>
      </c>
      <c r="I1929" s="65" t="s">
        <v>73</v>
      </c>
      <c r="J1929" s="65" t="s">
        <v>1217</v>
      </c>
      <c r="K1929" s="336">
        <f>IFERROR(VLOOKUP(J1929,Jueces!$A$1:$B$11,2,FALSE),"")</f>
        <v>7</v>
      </c>
      <c r="L1929" s="63" t="s">
        <v>4788</v>
      </c>
      <c r="M1929" s="63" t="s">
        <v>723</v>
      </c>
      <c r="N1929" s="63" t="s">
        <v>3152</v>
      </c>
      <c r="O1929" s="167" t="str">
        <f ca="1">IF(H1929&lt;&gt;"",IF(H1929&lt;=TODAY(),"SI","NO"),"LIMBO")</f>
        <v>SI</v>
      </c>
      <c r="P1929" s="167" t="str">
        <f>IF($P$1=H1929,"DIASOL", "DIANOSOL")</f>
        <v>DIANOSOL</v>
      </c>
      <c r="Q1929" s="63" t="s">
        <v>902</v>
      </c>
      <c r="R1929" s="63" t="str">
        <f>VLOOKUP($Q1929,Resultados!$A$1:$B$49,2,FALSE)</f>
        <v>Juicio Abreviado</v>
      </c>
      <c r="S1929" s="63"/>
      <c r="T1929" s="414" t="str">
        <f>IF(G1929=$J$1,"SI","NO")</f>
        <v>NO</v>
      </c>
      <c r="U1929" s="414"/>
      <c r="V1929" s="7" t="str">
        <f ca="1">IF(color_Celda(E1929)=12106214,"ROSA",IF(color_Celda(E1929)=65535,"AMARILLO",IF(color_Celda(E1929)=5296274,"VERDE",IF(color_Celda(E1929)=16777215,"BLANCO","NO SE"))))</f>
        <v>ROSA</v>
      </c>
      <c r="W1929" s="336"/>
      <c r="X1929" s="336"/>
      <c r="Y1929" s="336"/>
      <c r="Z1929" s="63" t="s">
        <v>3368</v>
      </c>
      <c r="AA1929" s="63" t="s">
        <v>2869</v>
      </c>
      <c r="AB1929" s="63" t="s">
        <v>3258</v>
      </c>
      <c r="AC1929" s="336"/>
    </row>
    <row r="1930" spans="1:29" ht="60" customHeight="1">
      <c r="A1930" s="336">
        <v>2031</v>
      </c>
      <c r="B1930" s="349">
        <v>45391</v>
      </c>
      <c r="C1930" s="568">
        <v>0.42777777777777781</v>
      </c>
      <c r="D1930" s="336" t="s">
        <v>5964</v>
      </c>
      <c r="E1930" s="355" t="s">
        <v>5965</v>
      </c>
      <c r="F1930" s="336">
        <v>4</v>
      </c>
      <c r="G1930" s="336" t="s">
        <v>5710</v>
      </c>
      <c r="H1930" s="383">
        <v>45405</v>
      </c>
      <c r="I1930" s="65" t="s">
        <v>73</v>
      </c>
      <c r="J1930" s="349" t="s">
        <v>35</v>
      </c>
      <c r="K1930" s="336">
        <v>3</v>
      </c>
      <c r="L1930" s="63" t="s">
        <v>2077</v>
      </c>
      <c r="M1930" s="63" t="s">
        <v>696</v>
      </c>
      <c r="N1930" s="63" t="s">
        <v>7397</v>
      </c>
      <c r="O1930" s="78" t="str">
        <f ca="1">IF(H1930&lt;&gt;"",IF(H1930&lt;=TODAY(),"SI","NO"),"LIMBO")</f>
        <v>SI</v>
      </c>
      <c r="P1930" s="78" t="str">
        <f>IF($P$1=H1930,"DIASOL", "DIANOSOL")</f>
        <v>DIANOSOL</v>
      </c>
      <c r="Q1930" s="63" t="s">
        <v>1010</v>
      </c>
      <c r="R1930" s="63" t="str">
        <f>VLOOKUP($Q1930,Resultados!$A$1:$B$49,2,FALSE)</f>
        <v>Suspendida</v>
      </c>
      <c r="S1930" s="63"/>
      <c r="T1930" s="81" t="str">
        <f>IF(G1930=$J$1,"SI","NO")</f>
        <v>NO</v>
      </c>
      <c r="U1930" s="81"/>
      <c r="V1930" s="85" t="str">
        <f ca="1">IF(color_Celda(E1930)=12106214,"ROSA",IF(color_Celda(E1930)=65535,"AMARILLO",IF(color_Celda(E1930)=5296274,"VERDE",IF(color_Celda(E1930)=16777215,"BLANCO","NO SE"))))</f>
        <v>ROSA</v>
      </c>
      <c r="W1930" s="336"/>
      <c r="X1930" s="336"/>
      <c r="Y1930" s="336"/>
      <c r="Z1930" s="63" t="s">
        <v>770</v>
      </c>
      <c r="AA1930" s="63" t="s">
        <v>3379</v>
      </c>
      <c r="AB1930" s="63" t="s">
        <v>1169</v>
      </c>
      <c r="AC1930" s="336"/>
    </row>
    <row r="1931" spans="1:29" ht="60" customHeight="1">
      <c r="A1931" s="336">
        <v>1936</v>
      </c>
      <c r="B1931" s="349">
        <v>45392</v>
      </c>
      <c r="C1931" s="568">
        <v>0.41597222222222219</v>
      </c>
      <c r="D1931" s="63" t="s">
        <v>7039</v>
      </c>
      <c r="E1931" s="64" t="s">
        <v>7204</v>
      </c>
      <c r="F1931" s="336">
        <v>7</v>
      </c>
      <c r="G1931" s="63" t="s">
        <v>568</v>
      </c>
      <c r="H1931" s="349">
        <v>45405</v>
      </c>
      <c r="I1931" s="65" t="s">
        <v>749</v>
      </c>
      <c r="J1931" s="65" t="s">
        <v>1221</v>
      </c>
      <c r="K1931" s="336">
        <f>IFERROR(VLOOKUP(J1931,Jueces!$A$1:$B$11,2,FALSE),"")</f>
        <v>6</v>
      </c>
      <c r="L1931" s="63" t="s">
        <v>791</v>
      </c>
      <c r="M1931" s="63" t="s">
        <v>725</v>
      </c>
      <c r="N1931" s="63" t="s">
        <v>621</v>
      </c>
      <c r="O1931" s="167" t="str">
        <f ca="1">IF(H1931&lt;&gt;"",IF(H1931&lt;=TODAY(),"SI","NO"),"LIMBO")</f>
        <v>SI</v>
      </c>
      <c r="P1931" s="167" t="str">
        <f>IF($P$1=H1931,"DIASOL", "DIANOSOL")</f>
        <v>DIANOSOL</v>
      </c>
      <c r="Q1931" s="63" t="s">
        <v>151</v>
      </c>
      <c r="R1931" s="63" t="str">
        <f>VLOOKUP($Q1931,Resultados!$A$1:$B$49,2,FALSE)</f>
        <v>Prisión Preventiva</v>
      </c>
      <c r="S1931" s="63"/>
      <c r="T1931" s="414" t="str">
        <f>IF(G1931=$J$1,"SI","NO")</f>
        <v>NO</v>
      </c>
      <c r="U1931" s="414"/>
      <c r="V1931" s="7" t="str">
        <f ca="1">IF(color_Celda(E1931)=12106214,"ROSA",IF(color_Celda(E1931)=65535,"AMARILLO",IF(color_Celda(E1931)=5296274,"VERDE",IF(color_Celda(E1931)=16777215,"BLANCO","NO SE"))))</f>
        <v>ROSA</v>
      </c>
      <c r="W1931" s="336"/>
      <c r="X1931" s="336"/>
      <c r="Y1931" s="336"/>
      <c r="Z1931" s="63" t="s">
        <v>748</v>
      </c>
      <c r="AA1931" s="63" t="s">
        <v>3379</v>
      </c>
      <c r="AB1931" s="63" t="s">
        <v>1171</v>
      </c>
      <c r="AC1931" s="336"/>
    </row>
    <row r="1932" spans="1:29" ht="60" customHeight="1">
      <c r="A1932" s="336">
        <v>1922</v>
      </c>
      <c r="B1932" s="349">
        <v>45391</v>
      </c>
      <c r="C1932" s="568">
        <v>0.33333333333333331</v>
      </c>
      <c r="D1932" s="63" t="s">
        <v>7012</v>
      </c>
      <c r="E1932" s="64" t="s">
        <v>7013</v>
      </c>
      <c r="F1932" s="336">
        <v>8</v>
      </c>
      <c r="G1932" s="63" t="s">
        <v>2815</v>
      </c>
      <c r="H1932" s="349">
        <v>45405</v>
      </c>
      <c r="I1932" s="65" t="s">
        <v>76</v>
      </c>
      <c r="J1932" s="65" t="s">
        <v>78</v>
      </c>
      <c r="K1932" s="336">
        <f>IFERROR(VLOOKUP(J1932,Jueces!$A$1:$B$11,2,FALSE),"")</f>
        <v>8</v>
      </c>
      <c r="L1932" s="63" t="s">
        <v>4790</v>
      </c>
      <c r="M1932" s="63" t="s">
        <v>723</v>
      </c>
      <c r="N1932" s="63" t="s">
        <v>7395</v>
      </c>
      <c r="O1932" s="78" t="str">
        <f ca="1">IF(H1932&lt;&gt;"",IF(H1932&lt;=TODAY(),"SI","NO"),"LIMBO")</f>
        <v>SI</v>
      </c>
      <c r="P1932" s="78" t="str">
        <f>IF($P$1=H1932,"DIASOL", "DIANOSOL")</f>
        <v>DIANOSOL</v>
      </c>
      <c r="Q1932" s="63" t="s">
        <v>902</v>
      </c>
      <c r="R1932" s="63" t="str">
        <f>VLOOKUP($Q1932,Resultados!$A$1:$B$49,2,FALSE)</f>
        <v>Juicio Abreviado</v>
      </c>
      <c r="S1932" s="63"/>
      <c r="T1932" s="81" t="str">
        <f>IF(G1932=$J$1,"SI","NO")</f>
        <v>NO</v>
      </c>
      <c r="U1932" s="81"/>
      <c r="V1932" s="7" t="str">
        <f ca="1">IF(color_Celda(E1932)=12106214,"ROSA",IF(color_Celda(E1932)=65535,"AMARILLO",IF(color_Celda(E1932)=5296274,"VERDE",IF(color_Celda(E1932)=16777215,"BLANCO","NO SE"))))</f>
        <v>ROSA</v>
      </c>
      <c r="W1932" s="336"/>
      <c r="X1932" s="336"/>
      <c r="Y1932" s="336"/>
      <c r="Z1932" s="63" t="s">
        <v>3368</v>
      </c>
      <c r="AA1932" s="63" t="s">
        <v>2869</v>
      </c>
      <c r="AB1932" s="63" t="s">
        <v>1169</v>
      </c>
      <c r="AC1932" s="336"/>
    </row>
    <row r="1933" spans="1:29" ht="60" customHeight="1">
      <c r="A1933" s="336">
        <v>1924</v>
      </c>
      <c r="B1933" s="349">
        <v>45391</v>
      </c>
      <c r="C1933" s="568">
        <v>0.53819444444444442</v>
      </c>
      <c r="D1933" s="336" t="s">
        <v>6006</v>
      </c>
      <c r="E1933" s="355" t="s">
        <v>6089</v>
      </c>
      <c r="F1933" s="336">
        <v>7</v>
      </c>
      <c r="G1933" s="63" t="s">
        <v>1433</v>
      </c>
      <c r="H1933" s="383">
        <v>45405</v>
      </c>
      <c r="I1933" s="65" t="s">
        <v>76</v>
      </c>
      <c r="J1933" s="65" t="s">
        <v>31</v>
      </c>
      <c r="K1933" s="336">
        <f>IFERROR(VLOOKUP(J1933,Jueces!$A$1:$B$11,2,FALSE),"")</f>
        <v>2</v>
      </c>
      <c r="L1933" s="63" t="s">
        <v>2077</v>
      </c>
      <c r="M1933" s="63" t="s">
        <v>6090</v>
      </c>
      <c r="N1933" s="63" t="s">
        <v>7398</v>
      </c>
      <c r="O1933" s="167" t="str">
        <f ca="1">IF(H1933&lt;&gt;"",IF(H1933&lt;=TODAY(),"SI","NO"),"LIMBO")</f>
        <v>SI</v>
      </c>
      <c r="P1933" s="167" t="str">
        <f>IF($P$1=H1933,"DIASOL", "DIANOSOL")</f>
        <v>DIANOSOL</v>
      </c>
      <c r="Q1933" s="63" t="s">
        <v>911</v>
      </c>
      <c r="R1933" s="63" t="str">
        <f>VLOOKUP($Q1933,Resultados!$A$1:$B$49,2,FALSE)</f>
        <v>Prision domiciliaria</v>
      </c>
      <c r="S1933" s="63"/>
      <c r="T1933" s="414" t="str">
        <f>IF(G1933=$J$1,"SI","NO")</f>
        <v>NO</v>
      </c>
      <c r="U1933" s="414"/>
      <c r="V1933" s="7" t="str">
        <f ca="1">IF(color_Celda(E1933)=12106214,"ROSA",IF(color_Celda(E1933)=65535,"AMARILLO",IF(color_Celda(E1933)=5296274,"VERDE",IF(color_Celda(E1933)=16777215,"BLANCO","NO SE"))))</f>
        <v>ROSA</v>
      </c>
      <c r="W1933" s="336"/>
      <c r="X1933" s="336"/>
      <c r="Y1933" s="336"/>
      <c r="Z1933" s="63" t="s">
        <v>770</v>
      </c>
      <c r="AA1933" s="63" t="s">
        <v>1167</v>
      </c>
      <c r="AB1933" s="63" t="s">
        <v>1170</v>
      </c>
      <c r="AC1933" s="336"/>
    </row>
    <row r="1934" spans="1:29" ht="60" customHeight="1">
      <c r="A1934" s="336">
        <v>2005</v>
      </c>
      <c r="B1934" s="349">
        <v>45398</v>
      </c>
      <c r="C1934" s="568">
        <v>0.3972222222222222</v>
      </c>
      <c r="D1934" s="336" t="s">
        <v>6898</v>
      </c>
      <c r="E1934" s="64" t="s">
        <v>7351</v>
      </c>
      <c r="F1934" s="336">
        <v>5</v>
      </c>
      <c r="G1934" s="63" t="s">
        <v>29</v>
      </c>
      <c r="H1934" s="383">
        <v>45405</v>
      </c>
      <c r="I1934" s="65" t="s">
        <v>76</v>
      </c>
      <c r="J1934" s="65" t="s">
        <v>33</v>
      </c>
      <c r="K1934" s="63" t="s">
        <v>1321</v>
      </c>
      <c r="L1934" s="63" t="s">
        <v>582</v>
      </c>
      <c r="M1934" s="63" t="s">
        <v>3381</v>
      </c>
      <c r="N1934" s="63" t="s">
        <v>3184</v>
      </c>
      <c r="O1934" s="233" t="str">
        <f ca="1">IF(H1934&lt;&gt;"",IF(H1934&lt;=TODAY(),"SI","NO"),"LIMBO")</f>
        <v>SI</v>
      </c>
      <c r="P1934" s="233" t="str">
        <f>IF($P$1=H1934,"DIASOL", "DIANOSOL")</f>
        <v>DIANOSOL</v>
      </c>
      <c r="Q1934" s="63" t="s">
        <v>903</v>
      </c>
      <c r="R1934" s="63" t="str">
        <f>VLOOKUP($Q1934,Resultados!$A$1:$B$49,2,FALSE)</f>
        <v>Juicio Abreviado</v>
      </c>
      <c r="S1934" s="63"/>
      <c r="T1934" s="508" t="str">
        <f>IF(G1934=$J$1,"SI","NO")</f>
        <v>NO</v>
      </c>
      <c r="U1934" s="508"/>
      <c r="V1934" s="434" t="str">
        <f ca="1">IF(color_Celda(E1934)=12106214,"ROSA",IF(color_Celda(E1934)=65535,"AMARILLO",IF(color_Celda(E1934)=5296274,"VERDE",IF(color_Celda(E1934)=16777215,"BLANCO","NO SE"))))</f>
        <v>ROSA</v>
      </c>
      <c r="W1934" s="336"/>
      <c r="X1934" s="336"/>
      <c r="Y1934" s="336"/>
      <c r="Z1934" s="63" t="s">
        <v>748</v>
      </c>
      <c r="AA1934" s="336"/>
      <c r="AB1934" s="63" t="s">
        <v>3258</v>
      </c>
      <c r="AC1934" s="336"/>
    </row>
    <row r="1935" spans="1:29" ht="60" customHeight="1">
      <c r="A1935" s="336">
        <v>1899</v>
      </c>
      <c r="B1935" s="349">
        <v>45387</v>
      </c>
      <c r="C1935" s="568">
        <v>0.48055555555555557</v>
      </c>
      <c r="D1935" s="336" t="s">
        <v>6949</v>
      </c>
      <c r="E1935" s="355" t="s">
        <v>6950</v>
      </c>
      <c r="F1935" s="336">
        <v>8</v>
      </c>
      <c r="G1935" s="63" t="s">
        <v>2752</v>
      </c>
      <c r="H1935" s="349">
        <v>45405</v>
      </c>
      <c r="I1935" s="65" t="s">
        <v>75</v>
      </c>
      <c r="J1935" s="65" t="s">
        <v>78</v>
      </c>
      <c r="K1935" s="336">
        <f>IFERROR(VLOOKUP(J1935,Jueces!$A$1:$B$11,2,FALSE),"")</f>
        <v>8</v>
      </c>
      <c r="L1935" s="63" t="s">
        <v>4790</v>
      </c>
      <c r="M1935" s="7" t="s">
        <v>723</v>
      </c>
      <c r="N1935" s="63" t="s">
        <v>7396</v>
      </c>
      <c r="O1935" s="167" t="str">
        <f ca="1">IF(H1935&lt;&gt;"",IF(H1935&lt;=TODAY(),"SI","NO"),"LIMBO")</f>
        <v>SI</v>
      </c>
      <c r="P1935" s="167" t="str">
        <f>IF($P$1=H1935,"DIASOL", "DIANOSOL")</f>
        <v>DIANOSOL</v>
      </c>
      <c r="Q1935" s="63" t="s">
        <v>902</v>
      </c>
      <c r="R1935" s="63" t="str">
        <f>VLOOKUP($Q1935,Resultados!$A$1:$B$49,2,FALSE)</f>
        <v>Juicio Abreviado</v>
      </c>
      <c r="S1935" s="63"/>
      <c r="T1935" s="414" t="str">
        <f>IF(G1935=$J$1,"SI","NO")</f>
        <v>NO</v>
      </c>
      <c r="U1935" s="414"/>
      <c r="V1935" s="7" t="str">
        <f ca="1">IF(color_Celda(E1935)=12106214,"ROSA",IF(color_Celda(E1935)=65535,"AMARILLO",IF(color_Celda(E1935)=5296274,"VERDE",IF(color_Celda(E1935)=16777215,"BLANCO","NO SE"))))</f>
        <v>ROSA</v>
      </c>
      <c r="W1935" s="336"/>
      <c r="X1935" s="336"/>
      <c r="Y1935" s="336"/>
      <c r="Z1935" s="63" t="s">
        <v>3368</v>
      </c>
      <c r="AA1935" s="63" t="s">
        <v>2828</v>
      </c>
      <c r="AB1935" s="63" t="s">
        <v>1171</v>
      </c>
      <c r="AC1935" s="336"/>
    </row>
    <row r="1936" spans="1:29" ht="60" customHeight="1">
      <c r="A1936" s="336">
        <v>1946</v>
      </c>
      <c r="B1936" s="349">
        <v>45393</v>
      </c>
      <c r="C1936" s="568">
        <v>0.33333333333333331</v>
      </c>
      <c r="D1936" s="63" t="s">
        <v>7053</v>
      </c>
      <c r="E1936" s="64" t="s">
        <v>7054</v>
      </c>
      <c r="F1936" s="336">
        <v>7</v>
      </c>
      <c r="G1936" s="63" t="s">
        <v>5710</v>
      </c>
      <c r="H1936" s="349">
        <v>45405</v>
      </c>
      <c r="I1936" s="65" t="s">
        <v>3171</v>
      </c>
      <c r="J1936" s="65" t="s">
        <v>1221</v>
      </c>
      <c r="K1936" s="63" t="s">
        <v>1483</v>
      </c>
      <c r="L1936" s="63" t="s">
        <v>4789</v>
      </c>
      <c r="M1936" s="63" t="s">
        <v>725</v>
      </c>
      <c r="N1936" s="63" t="s">
        <v>4255</v>
      </c>
      <c r="O1936" s="233" t="str">
        <f ca="1">IF(H1936&lt;&gt;"",IF(H1936&lt;=TODAY(),"SI","NO"),"LIMBO")</f>
        <v>SI</v>
      </c>
      <c r="P1936" s="233" t="str">
        <f>IF($P$1=H1936,"DIASOL", "DIANOSOL")</f>
        <v>DIANOSOL</v>
      </c>
      <c r="Q1936" s="63" t="s">
        <v>902</v>
      </c>
      <c r="R1936" s="63" t="str">
        <f>VLOOKUP($Q1936,Resultados!$A$1:$B$49,2,FALSE)</f>
        <v>Juicio Abreviado</v>
      </c>
      <c r="S1936" s="63"/>
      <c r="T1936" s="508" t="str">
        <f>IF(G1936=$J$1,"SI","NO")</f>
        <v>NO</v>
      </c>
      <c r="U1936" s="508"/>
      <c r="V1936" s="7" t="str">
        <f ca="1">IF(color_Celda(E1936)=12106214,"ROSA",IF(color_Celda(E1936)=65535,"AMARILLO",IF(color_Celda(E1936)=5296274,"VERDE",IF(color_Celda(E1936)=16777215,"BLANCO","NO SE"))))</f>
        <v>ROSA</v>
      </c>
      <c r="W1936" s="336"/>
      <c r="X1936" s="336"/>
      <c r="Y1936" s="336"/>
      <c r="Z1936" s="63" t="s">
        <v>748</v>
      </c>
      <c r="AA1936" s="63" t="s">
        <v>2828</v>
      </c>
      <c r="AB1936" s="63" t="s">
        <v>1170</v>
      </c>
      <c r="AC1936" s="336"/>
    </row>
    <row r="1937" spans="1:29" ht="60" customHeight="1">
      <c r="A1937" s="336">
        <v>1903</v>
      </c>
      <c r="B1937" s="349">
        <v>45387</v>
      </c>
      <c r="C1937" s="568">
        <v>0.4145833333333333</v>
      </c>
      <c r="D1937" s="63" t="s">
        <v>6956</v>
      </c>
      <c r="E1937" s="64" t="s">
        <v>7059</v>
      </c>
      <c r="F1937" s="336">
        <v>8</v>
      </c>
      <c r="G1937" s="63" t="s">
        <v>2766</v>
      </c>
      <c r="H1937" s="349">
        <v>45405</v>
      </c>
      <c r="I1937" s="65" t="s">
        <v>77</v>
      </c>
      <c r="J1937" s="65" t="s">
        <v>1217</v>
      </c>
      <c r="K1937" s="336">
        <v>8</v>
      </c>
      <c r="L1937" s="63" t="s">
        <v>4790</v>
      </c>
      <c r="M1937" s="63" t="s">
        <v>723</v>
      </c>
      <c r="N1937" s="63" t="s">
        <v>7400</v>
      </c>
      <c r="O1937" s="233" t="str">
        <f ca="1">IF(H1937&lt;&gt;"",IF(H1937&lt;=TODAY(),"SI","NO"),"LIMBO")</f>
        <v>SI</v>
      </c>
      <c r="P1937" s="233" t="str">
        <f>IF($P$1=H1937,"DIASOL", "DIANOSOL")</f>
        <v>DIANOSOL</v>
      </c>
      <c r="Q1937" s="63" t="s">
        <v>903</v>
      </c>
      <c r="R1937" s="63" t="str">
        <f>VLOOKUP($Q1937,Resultados!$A$1:$B$49,2,FALSE)</f>
        <v>Juicio Abreviado</v>
      </c>
      <c r="S1937" s="63"/>
      <c r="T1937" s="508" t="str">
        <f>IF(G1937=$J$1,"SI","NO")</f>
        <v>NO</v>
      </c>
      <c r="U1937" s="508"/>
      <c r="V1937" s="7" t="str">
        <f ca="1">IF(color_Celda(E1937)=12106214,"ROSA",IF(color_Celda(E1937)=65535,"AMARILLO",IF(color_Celda(E1937)=5296274,"VERDE",IF(color_Celda(E1937)=16777215,"BLANCO","NO SE"))))</f>
        <v>ROSA</v>
      </c>
      <c r="W1937" s="336"/>
      <c r="X1937" s="336"/>
      <c r="Y1937" s="336"/>
      <c r="Z1937" s="63" t="s">
        <v>770</v>
      </c>
      <c r="AA1937" s="63" t="s">
        <v>3378</v>
      </c>
      <c r="AB1937" s="63" t="s">
        <v>1169</v>
      </c>
      <c r="AC1937" s="336"/>
    </row>
    <row r="1938" spans="1:29" ht="60" customHeight="1">
      <c r="A1938" s="336">
        <v>1938</v>
      </c>
      <c r="B1938" s="349">
        <v>45392</v>
      </c>
      <c r="C1938" s="568">
        <v>0.42638888888888887</v>
      </c>
      <c r="D1938" s="63" t="s">
        <v>7043</v>
      </c>
      <c r="E1938" s="355" t="s">
        <v>7042</v>
      </c>
      <c r="F1938" s="336">
        <v>7</v>
      </c>
      <c r="G1938" s="63" t="s">
        <v>1434</v>
      </c>
      <c r="H1938" s="349">
        <v>45405</v>
      </c>
      <c r="I1938" s="65" t="s">
        <v>77</v>
      </c>
      <c r="J1938" s="65" t="s">
        <v>33</v>
      </c>
      <c r="K1938" s="63" t="s">
        <v>1483</v>
      </c>
      <c r="L1938" s="63" t="s">
        <v>4788</v>
      </c>
      <c r="M1938" s="63" t="s">
        <v>725</v>
      </c>
      <c r="N1938" s="63" t="s">
        <v>7401</v>
      </c>
      <c r="O1938" s="233" t="str">
        <f ca="1">IF(H1938&lt;&gt;"",IF(H1938&lt;=TODAY(),"SI","NO"),"LIMBO")</f>
        <v>SI</v>
      </c>
      <c r="P1938" s="233" t="str">
        <f>IF($P$1=H1938,"DIASOL", "DIANOSOL")</f>
        <v>DIANOSOL</v>
      </c>
      <c r="Q1938" s="63" t="s">
        <v>909</v>
      </c>
      <c r="R1938" s="63" t="str">
        <f>VLOOKUP($Q1938,Resultados!$A$1:$B$49,2,FALSE)</f>
        <v>Suspendida</v>
      </c>
      <c r="S1938" s="63"/>
      <c r="T1938" s="508" t="str">
        <f>IF(G1938=$J$1,"SI","NO")</f>
        <v>NO</v>
      </c>
      <c r="U1938" s="508"/>
      <c r="V1938" s="7" t="str">
        <f ca="1">IF(color_Celda(E1938)=12106214,"ROSA",IF(color_Celda(E1938)=65535,"AMARILLO",IF(color_Celda(E1938)=5296274,"VERDE",IF(color_Celda(E1938)=16777215,"BLANCO","NO SE"))))</f>
        <v>ROSA</v>
      </c>
      <c r="W1938" s="336"/>
      <c r="X1938" s="336"/>
      <c r="Y1938" s="336"/>
      <c r="Z1938" s="63" t="s">
        <v>748</v>
      </c>
      <c r="AA1938" s="63" t="s">
        <v>1167</v>
      </c>
      <c r="AB1938" s="63" t="s">
        <v>3258</v>
      </c>
      <c r="AC1938" s="336"/>
    </row>
    <row r="1939" spans="1:29" ht="60" customHeight="1">
      <c r="A1939" s="336">
        <v>1917</v>
      </c>
      <c r="B1939" s="349">
        <v>45391</v>
      </c>
      <c r="C1939" s="568">
        <v>0.33333333333333331</v>
      </c>
      <c r="D1939" s="63" t="s">
        <v>7002</v>
      </c>
      <c r="E1939" s="355" t="s">
        <v>7003</v>
      </c>
      <c r="F1939" s="336">
        <v>7</v>
      </c>
      <c r="G1939" s="63" t="s">
        <v>3791</v>
      </c>
      <c r="H1939" s="349">
        <v>45405</v>
      </c>
      <c r="I1939" s="65" t="s">
        <v>228</v>
      </c>
      <c r="J1939" s="65" t="s">
        <v>31</v>
      </c>
      <c r="K1939" s="336">
        <f>IFERROR(VLOOKUP(J1939,Jueces!$A$1:$B$11,2,FALSE),"")</f>
        <v>2</v>
      </c>
      <c r="L1939" s="63" t="s">
        <v>4776</v>
      </c>
      <c r="M1939" s="7" t="s">
        <v>725</v>
      </c>
      <c r="N1939" s="63" t="s">
        <v>2178</v>
      </c>
      <c r="O1939" s="167" t="str">
        <f ca="1">IF(H1939&lt;&gt;"",IF(H1939&lt;=TODAY(),"SI","NO"),"LIMBO")</f>
        <v>SI</v>
      </c>
      <c r="P1939" s="167" t="str">
        <f>IF($P$1=H1939,"DIASOL", "DIANOSOL")</f>
        <v>DIANOSOL</v>
      </c>
      <c r="Q1939" s="63" t="s">
        <v>902</v>
      </c>
      <c r="R1939" s="63" t="str">
        <f>VLOOKUP($Q1939,Resultados!$A$1:$B$49,2,FALSE)</f>
        <v>Juicio Abreviado</v>
      </c>
      <c r="S1939" s="63"/>
      <c r="T1939" s="414" t="str">
        <f>IF(G1939=$J$1,"SI","NO")</f>
        <v>NO</v>
      </c>
      <c r="U1939" s="414"/>
      <c r="V1939" s="7" t="str">
        <f ca="1">IF(color_Celda(E1939)=12106214,"ROSA",IF(color_Celda(E1939)=65535,"AMARILLO",IF(color_Celda(E1939)=5296274,"VERDE",IF(color_Celda(E1939)=16777215,"BLANCO","NO SE"))))</f>
        <v>ROSA</v>
      </c>
      <c r="W1939" s="336"/>
      <c r="X1939" s="336"/>
      <c r="Y1939" s="336"/>
      <c r="Z1939" s="63" t="s">
        <v>770</v>
      </c>
      <c r="AA1939" s="63" t="s">
        <v>3378</v>
      </c>
      <c r="AB1939" s="63" t="s">
        <v>1171</v>
      </c>
      <c r="AC1939" s="336"/>
    </row>
    <row r="1940" spans="1:29" ht="60" customHeight="1">
      <c r="A1940" s="336">
        <v>2013</v>
      </c>
      <c r="B1940" s="349">
        <v>45392</v>
      </c>
      <c r="C1940" s="568">
        <v>0.37361111111111112</v>
      </c>
      <c r="D1940" s="336" t="s">
        <v>7037</v>
      </c>
      <c r="E1940" s="355" t="s">
        <v>7038</v>
      </c>
      <c r="F1940" s="336">
        <v>5</v>
      </c>
      <c r="G1940" s="336" t="s">
        <v>283</v>
      </c>
      <c r="H1940" s="383">
        <v>45405</v>
      </c>
      <c r="I1940" s="349" t="s">
        <v>228</v>
      </c>
      <c r="J1940" s="349" t="s">
        <v>35</v>
      </c>
      <c r="K1940" s="336" t="s">
        <v>2324</v>
      </c>
      <c r="L1940" s="63" t="s">
        <v>4790</v>
      </c>
      <c r="M1940" s="63" t="s">
        <v>1378</v>
      </c>
      <c r="N1940" s="63" t="s">
        <v>7399</v>
      </c>
      <c r="O1940" s="78" t="str">
        <f ca="1">IF(H1940&lt;&gt;"",IF(H1940&lt;=TODAY(),"SI","NO"),"LIMBO")</f>
        <v>SI</v>
      </c>
      <c r="P1940" s="78" t="str">
        <f>IF($P$1=H1940,"DIASOL", "DIANOSOL")</f>
        <v>DIANOSOL</v>
      </c>
      <c r="Q1940" s="63" t="s">
        <v>902</v>
      </c>
      <c r="R1940" s="63" t="str">
        <f>VLOOKUP($Q1940,Resultados!$A$1:$B$49,2,FALSE)</f>
        <v>Juicio Abreviado</v>
      </c>
      <c r="S1940" s="63"/>
      <c r="T1940" s="81" t="str">
        <f>IF(G1940=$J$1,"SI","NO")</f>
        <v>NO</v>
      </c>
      <c r="U1940" s="81"/>
      <c r="V1940" s="85" t="str">
        <f ca="1">IF(color_Celda(E1940)=12106214,"ROSA",IF(color_Celda(E1940)=65535,"AMARILLO",IF(color_Celda(E1940)=5296274,"VERDE",IF(color_Celda(E1940)=16777215,"BLANCO","NO SE"))))</f>
        <v>ROSA</v>
      </c>
      <c r="W1940" s="336"/>
      <c r="X1940" s="336"/>
      <c r="Y1940" s="336"/>
      <c r="Z1940" s="63" t="s">
        <v>3368</v>
      </c>
      <c r="AA1940" s="63" t="s">
        <v>2869</v>
      </c>
      <c r="AB1940" s="63" t="s">
        <v>1170</v>
      </c>
      <c r="AC1940" s="336"/>
    </row>
    <row r="1941" spans="1:29" ht="60" customHeight="1">
      <c r="A1941" s="336">
        <v>1915</v>
      </c>
      <c r="B1941" s="349">
        <v>45390</v>
      </c>
      <c r="C1941" s="568">
        <v>0.52222222222222225</v>
      </c>
      <c r="D1941" s="63" t="s">
        <v>6997</v>
      </c>
      <c r="E1941" s="64" t="s">
        <v>6998</v>
      </c>
      <c r="F1941" s="336">
        <v>8</v>
      </c>
      <c r="G1941" s="63" t="s">
        <v>3324</v>
      </c>
      <c r="H1941" s="349">
        <v>45406</v>
      </c>
      <c r="I1941" s="65" t="s">
        <v>73</v>
      </c>
      <c r="J1941" s="65" t="s">
        <v>1217</v>
      </c>
      <c r="K1941" s="336">
        <f>IFERROR(VLOOKUP(J1941,Jueces!$A$1:$B$11,2,FALSE),"")</f>
        <v>7</v>
      </c>
      <c r="L1941" s="63" t="s">
        <v>2077</v>
      </c>
      <c r="M1941" s="335" t="s">
        <v>7063</v>
      </c>
      <c r="N1941" s="63" t="s">
        <v>7456</v>
      </c>
      <c r="O1941" s="78" t="str">
        <f ca="1">IF(H1941&lt;&gt;"",IF(H1941&lt;=TODAY(),"SI","NO"),"LIMBO")</f>
        <v>SI</v>
      </c>
      <c r="P1941" s="78" t="str">
        <f>IF($P$1=H1941,"DIASOL", "DIANOSOL")</f>
        <v>DIANOSOL</v>
      </c>
      <c r="Q1941" s="63" t="s">
        <v>151</v>
      </c>
      <c r="R1941" s="63" t="str">
        <f>VLOOKUP($Q1941,Resultados!$A$1:$B$49,2,FALSE)</f>
        <v>Prisión Preventiva</v>
      </c>
      <c r="S1941" s="63"/>
      <c r="T1941" s="81" t="str">
        <f>IF(G1941=$J$1,"SI","NO")</f>
        <v>NO</v>
      </c>
      <c r="U1941" s="81"/>
      <c r="V1941" s="7" t="str">
        <f ca="1">IF(color_Celda(E1941)=12106214,"ROSA",IF(color_Celda(E1941)=65535,"AMARILLO",IF(color_Celda(E1941)=5296274,"VERDE",IF(color_Celda(E1941)=16777215,"BLANCO","NO SE"))))</f>
        <v>ROSA</v>
      </c>
      <c r="W1941" s="336"/>
      <c r="X1941" s="336"/>
      <c r="Y1941" s="336"/>
      <c r="Z1941" s="336" t="s">
        <v>748</v>
      </c>
      <c r="AA1941" s="336" t="s">
        <v>3378</v>
      </c>
      <c r="AB1941" s="63" t="s">
        <v>1169</v>
      </c>
      <c r="AC1941" s="336"/>
    </row>
    <row r="1942" spans="1:29" ht="60" customHeight="1">
      <c r="A1942" s="336">
        <v>1945</v>
      </c>
      <c r="B1942" s="349">
        <v>45393</v>
      </c>
      <c r="C1942" s="568">
        <v>0.33333333333333331</v>
      </c>
      <c r="D1942" s="63" t="s">
        <v>7052</v>
      </c>
      <c r="E1942" s="64" t="s">
        <v>7083</v>
      </c>
      <c r="F1942" s="336">
        <v>8</v>
      </c>
      <c r="G1942" s="63" t="s">
        <v>283</v>
      </c>
      <c r="H1942" s="349">
        <v>45406</v>
      </c>
      <c r="I1942" s="65" t="s">
        <v>73</v>
      </c>
      <c r="J1942" s="65" t="s">
        <v>31</v>
      </c>
      <c r="K1942" s="336">
        <f>IFERROR(VLOOKUP(J1942,Jueces!$A$1:$B$11,2,FALSE),"")</f>
        <v>2</v>
      </c>
      <c r="L1942" s="63" t="s">
        <v>805</v>
      </c>
      <c r="M1942" s="63" t="s">
        <v>723</v>
      </c>
      <c r="N1942" s="63" t="s">
        <v>4007</v>
      </c>
      <c r="O1942" s="233" t="str">
        <f ca="1">IF(H1942&lt;&gt;"",IF(H1942&lt;=TODAY(),"SI","NO"),"LIMBO")</f>
        <v>SI</v>
      </c>
      <c r="P1942" s="233" t="str">
        <f>IF($P$1=H1942,"DIASOL", "DIANOSOL")</f>
        <v>DIANOSOL</v>
      </c>
      <c r="Q1942" s="63" t="s">
        <v>902</v>
      </c>
      <c r="R1942" s="63" t="str">
        <f>VLOOKUP($Q1942,Resultados!$A$1:$B$49,2,FALSE)</f>
        <v>Juicio Abreviado</v>
      </c>
      <c r="S1942" s="63"/>
      <c r="T1942" s="508" t="str">
        <f>IF(G1942=$J$1,"SI","NO")</f>
        <v>NO</v>
      </c>
      <c r="U1942" s="508"/>
      <c r="V1942" s="7" t="str">
        <f ca="1">IF(color_Celda(E1942)=12106214,"ROSA",IF(color_Celda(E1942)=65535,"AMARILLO",IF(color_Celda(E1942)=5296274,"VERDE",IF(color_Celda(E1942)=16777215,"BLANCO","NO SE"))))</f>
        <v>ROSA</v>
      </c>
      <c r="W1942" s="336"/>
      <c r="X1942" s="336"/>
      <c r="Y1942" s="336"/>
      <c r="Z1942" s="336" t="s">
        <v>3368</v>
      </c>
      <c r="AA1942" s="63" t="s">
        <v>2828</v>
      </c>
      <c r="AB1942" s="63" t="s">
        <v>1169</v>
      </c>
      <c r="AC1942" s="336"/>
    </row>
    <row r="1943" spans="1:29" ht="60" customHeight="1">
      <c r="A1943" s="336">
        <v>1953</v>
      </c>
      <c r="B1943" s="349">
        <v>45393</v>
      </c>
      <c r="C1943" s="568">
        <v>0.43055555555555558</v>
      </c>
      <c r="D1943" s="63" t="s">
        <v>7072</v>
      </c>
      <c r="E1943" s="64" t="s">
        <v>7073</v>
      </c>
      <c r="F1943" s="336">
        <v>7</v>
      </c>
      <c r="G1943" s="63" t="s">
        <v>29</v>
      </c>
      <c r="H1943" s="349">
        <v>45406</v>
      </c>
      <c r="I1943" s="65" t="s">
        <v>73</v>
      </c>
      <c r="J1943" s="65" t="s">
        <v>35</v>
      </c>
      <c r="K1943" s="336">
        <f>IFERROR(VLOOKUP(J1943,Jueces!$A$1:$B$11,2,FALSE),"")</f>
        <v>3</v>
      </c>
      <c r="L1943" s="63" t="s">
        <v>4778</v>
      </c>
      <c r="M1943" s="63" t="s">
        <v>725</v>
      </c>
      <c r="N1943" s="63" t="s">
        <v>6971</v>
      </c>
      <c r="O1943" s="167" t="str">
        <f ca="1">IF(H1943&lt;&gt;"",IF(H1943&lt;=TODAY(),"SI","NO"),"LIMBO")</f>
        <v>SI</v>
      </c>
      <c r="P1943" s="167" t="str">
        <f>IF($P$1=H1943,"DIASOL", "DIANOSOL")</f>
        <v>DIANOSOL</v>
      </c>
      <c r="Q1943" s="63" t="s">
        <v>903</v>
      </c>
      <c r="R1943" s="63" t="str">
        <f>VLOOKUP($Q1943,Resultados!$A$1:$B$49,2,FALSE)</f>
        <v>Juicio Abreviado</v>
      </c>
      <c r="S1943" s="63"/>
      <c r="T1943" s="414" t="str">
        <f>IF(G1943=$J$1,"SI","NO")</f>
        <v>NO</v>
      </c>
      <c r="U1943" s="414"/>
      <c r="V1943" s="7" t="str">
        <f ca="1">IF(color_Celda(E1943)=12106214,"ROSA",IF(color_Celda(E1943)=65535,"AMARILLO",IF(color_Celda(E1943)=5296274,"VERDE",IF(color_Celda(E1943)=16777215,"BLANCO","NO SE"))))</f>
        <v>ROSA</v>
      </c>
      <c r="W1943" s="336"/>
      <c r="X1943" s="336"/>
      <c r="Y1943" s="336"/>
      <c r="Z1943" s="336" t="s">
        <v>3368</v>
      </c>
      <c r="AA1943" s="63" t="s">
        <v>2828</v>
      </c>
      <c r="AB1943" s="63" t="s">
        <v>3258</v>
      </c>
      <c r="AC1943" s="336"/>
    </row>
    <row r="1944" spans="1:29" ht="60" customHeight="1">
      <c r="A1944" s="336">
        <v>1920</v>
      </c>
      <c r="B1944" s="349">
        <v>45391</v>
      </c>
      <c r="C1944" s="568">
        <v>0.33333333333333331</v>
      </c>
      <c r="D1944" s="63" t="s">
        <v>7008</v>
      </c>
      <c r="E1944" s="64" t="s">
        <v>7009</v>
      </c>
      <c r="F1944" s="336">
        <v>8</v>
      </c>
      <c r="G1944" s="63" t="s">
        <v>1434</v>
      </c>
      <c r="H1944" s="349">
        <v>45406</v>
      </c>
      <c r="I1944" s="65" t="s">
        <v>749</v>
      </c>
      <c r="J1944" s="65" t="s">
        <v>1221</v>
      </c>
      <c r="K1944" s="336">
        <f>IFERROR(VLOOKUP(J1944,Jueces!$A$1:$B$11,2,FALSE),"")</f>
        <v>6</v>
      </c>
      <c r="L1944" s="63" t="s">
        <v>4791</v>
      </c>
      <c r="M1944" s="7" t="s">
        <v>767</v>
      </c>
      <c r="N1944" s="63" t="s">
        <v>577</v>
      </c>
      <c r="O1944" s="167" t="str">
        <f ca="1">IF(H1944&lt;&gt;"",IF(H1944&lt;=TODAY(),"SI","NO"),"LIMBO")</f>
        <v>SI</v>
      </c>
      <c r="P1944" s="167" t="str">
        <f>IF($P$1=H1944,"DIASOL", "DIANOSOL")</f>
        <v>DIANOSOL</v>
      </c>
      <c r="Q1944" s="63" t="s">
        <v>151</v>
      </c>
      <c r="R1944" s="63" t="str">
        <f>VLOOKUP($Q1944,Resultados!$A$1:$B$49,2,FALSE)</f>
        <v>Prisión Preventiva</v>
      </c>
      <c r="S1944" s="63"/>
      <c r="T1944" s="414" t="str">
        <f>IF(G1944=$J$1,"SI","NO")</f>
        <v>NO</v>
      </c>
      <c r="U1944" s="414"/>
      <c r="V1944" s="7" t="str">
        <f ca="1">IF(color_Celda(E1944)=12106214,"ROSA",IF(color_Celda(E1944)=65535,"AMARILLO",IF(color_Celda(E1944)=5296274,"VERDE",IF(color_Celda(E1944)=16777215,"BLANCO","NO SE"))))</f>
        <v>ROSA</v>
      </c>
      <c r="W1944" s="336"/>
      <c r="X1944" s="336"/>
      <c r="Y1944" s="336"/>
      <c r="Z1944" s="336" t="s">
        <v>770</v>
      </c>
      <c r="AA1944" s="63" t="s">
        <v>1167</v>
      </c>
      <c r="AB1944" s="63" t="s">
        <v>3258</v>
      </c>
      <c r="AC1944" s="336"/>
    </row>
    <row r="1945" spans="1:29" ht="60" customHeight="1">
      <c r="A1945" s="336">
        <v>1952</v>
      </c>
      <c r="B1945" s="349">
        <v>45393</v>
      </c>
      <c r="C1945" s="568">
        <v>0.40625</v>
      </c>
      <c r="D1945" s="325" t="s">
        <v>7071</v>
      </c>
      <c r="E1945" s="64" t="s">
        <v>7096</v>
      </c>
      <c r="F1945" s="336">
        <v>2</v>
      </c>
      <c r="G1945" s="336" t="s">
        <v>5710</v>
      </c>
      <c r="H1945" s="349">
        <v>45406</v>
      </c>
      <c r="I1945" s="349" t="s">
        <v>76</v>
      </c>
      <c r="J1945" s="349" t="s">
        <v>78</v>
      </c>
      <c r="K1945" s="336">
        <f>IFERROR(VLOOKUP(J1945,Jueces!$A$1:$B$11,2,FALSE),"")</f>
        <v>8</v>
      </c>
      <c r="L1945" s="63" t="s">
        <v>4780</v>
      </c>
      <c r="M1945" s="63" t="s">
        <v>711</v>
      </c>
      <c r="N1945" s="63" t="s">
        <v>7459</v>
      </c>
      <c r="O1945" s="233" t="str">
        <f ca="1">IF(H1945&lt;&gt;"",IF(H1945&lt;=TODAY(),"SI","NO"),"LIMBO")</f>
        <v>SI</v>
      </c>
      <c r="P1945" s="233" t="str">
        <f>IF($P$1=H1945,"DIASOL", "DIANOSOL")</f>
        <v>DIANOSOL</v>
      </c>
      <c r="Q1945" s="63" t="s">
        <v>911</v>
      </c>
      <c r="R1945" s="63" t="str">
        <f>VLOOKUP($Q1945,Resultados!$A$1:$B$49,2,FALSE)</f>
        <v>Prision domiciliaria</v>
      </c>
      <c r="S1945" s="63"/>
      <c r="T1945" s="508" t="str">
        <f>IF(G1945=$J$1,"SI","NO")</f>
        <v>NO</v>
      </c>
      <c r="U1945" s="508"/>
      <c r="V1945" s="7" t="str">
        <f ca="1">IF(color_Celda(E1945)=12106214,"ROSA",IF(color_Celda(E1945)=65535,"AMARILLO",IF(color_Celda(E1945)=5296274,"VERDE",IF(color_Celda(E1945)=16777215,"BLANCO","NO SE"))))</f>
        <v>ROSA</v>
      </c>
      <c r="W1945" s="336"/>
      <c r="X1945" s="336"/>
      <c r="Y1945" s="336"/>
      <c r="Z1945" s="336" t="s">
        <v>770</v>
      </c>
      <c r="AA1945" s="336" t="s">
        <v>3379</v>
      </c>
      <c r="AB1945" s="63" t="s">
        <v>1171</v>
      </c>
      <c r="AC1945" s="336" t="s">
        <v>1792</v>
      </c>
    </row>
    <row r="1946" spans="1:29" ht="60" customHeight="1">
      <c r="A1946" s="336">
        <v>1962</v>
      </c>
      <c r="B1946" s="349">
        <v>45394</v>
      </c>
      <c r="C1946" s="568">
        <v>0.37986111111111115</v>
      </c>
      <c r="D1946" s="63" t="s">
        <v>7097</v>
      </c>
      <c r="E1946" s="355" t="s">
        <v>7098</v>
      </c>
      <c r="F1946" s="336">
        <v>8</v>
      </c>
      <c r="G1946" s="63" t="s">
        <v>1433</v>
      </c>
      <c r="H1946" s="349">
        <v>45406</v>
      </c>
      <c r="I1946" s="65" t="s">
        <v>76</v>
      </c>
      <c r="J1946" s="65" t="s">
        <v>33</v>
      </c>
      <c r="K1946" s="336">
        <f>IFERROR(VLOOKUP(J1946,Jueces!$A$1:$B$11,2,FALSE),"")</f>
        <v>4</v>
      </c>
      <c r="L1946" s="63" t="s">
        <v>4779</v>
      </c>
      <c r="M1946" s="7" t="s">
        <v>767</v>
      </c>
      <c r="N1946" s="63" t="s">
        <v>7458</v>
      </c>
      <c r="O1946" s="167" t="str">
        <f ca="1">IF(H1946&lt;&gt;"",IF(H1946&lt;=TODAY(),"SI","NO"),"LIMBO")</f>
        <v>SI</v>
      </c>
      <c r="P1946" s="167" t="str">
        <f>IF($P$1=H1946,"DIASOL", "DIANOSOL")</f>
        <v>DIANOSOL</v>
      </c>
      <c r="Q1946" s="63" t="s">
        <v>902</v>
      </c>
      <c r="R1946" s="63" t="str">
        <f>VLOOKUP($Q1946,Resultados!$A$1:$B$49,2,FALSE)</f>
        <v>Juicio Abreviado</v>
      </c>
      <c r="S1946" s="63"/>
      <c r="T1946" s="414" t="str">
        <f>IF(G1946=$J$1,"SI","NO")</f>
        <v>NO</v>
      </c>
      <c r="U1946" s="414"/>
      <c r="V1946" s="7" t="str">
        <f ca="1">IF(color_Celda(E1946)=12106214,"ROSA",IF(color_Celda(E1946)=65535,"AMARILLO",IF(color_Celda(E1946)=5296274,"VERDE",IF(color_Celda(E1946)=16777215,"BLANCO","NO SE"))))</f>
        <v>ROSA</v>
      </c>
      <c r="W1946" s="336"/>
      <c r="X1946" s="336"/>
      <c r="Y1946" s="336"/>
      <c r="Z1946" s="336" t="s">
        <v>748</v>
      </c>
      <c r="AA1946" s="336" t="s">
        <v>1167</v>
      </c>
      <c r="AB1946" s="63" t="s">
        <v>1169</v>
      </c>
      <c r="AC1946" s="336"/>
    </row>
    <row r="1947" spans="1:29" ht="60" customHeight="1">
      <c r="A1947" s="336">
        <v>1969</v>
      </c>
      <c r="B1947" s="349">
        <v>45394</v>
      </c>
      <c r="C1947" s="568">
        <v>0.51527777777777783</v>
      </c>
      <c r="D1947" s="325" t="s">
        <v>7109</v>
      </c>
      <c r="E1947" s="64" t="s">
        <v>7160</v>
      </c>
      <c r="F1947" s="336">
        <v>7</v>
      </c>
      <c r="G1947" s="63" t="s">
        <v>2752</v>
      </c>
      <c r="H1947" s="349">
        <v>45406</v>
      </c>
      <c r="I1947" s="65" t="s">
        <v>76</v>
      </c>
      <c r="J1947" s="65" t="s">
        <v>35</v>
      </c>
      <c r="K1947" s="336">
        <f>IFERROR(VLOOKUP(J1947,Jueces!$A$1:$B$11,2,FALSE),"")</f>
        <v>3</v>
      </c>
      <c r="L1947" s="63" t="s">
        <v>806</v>
      </c>
      <c r="M1947" s="63" t="s">
        <v>725</v>
      </c>
      <c r="N1947" s="63" t="s">
        <v>7457</v>
      </c>
      <c r="O1947" s="167" t="str">
        <f ca="1">IF(H1947&lt;&gt;"",IF(H1947&lt;=TODAY(),"SI","NO"),"LIMBO")</f>
        <v>SI</v>
      </c>
      <c r="P1947" s="167" t="str">
        <f>IF($P$1=H1947,"DIASOL", "DIANOSOL")</f>
        <v>DIANOSOL</v>
      </c>
      <c r="Q1947" s="63" t="s">
        <v>911</v>
      </c>
      <c r="R1947" s="63" t="str">
        <f>VLOOKUP($Q1947,Resultados!$A$1:$B$49,2,FALSE)</f>
        <v>Prision domiciliaria</v>
      </c>
      <c r="S1947" s="63"/>
      <c r="T1947" s="414" t="str">
        <f>IF(G1947=$J$1,"SI","NO")</f>
        <v>NO</v>
      </c>
      <c r="U1947" s="414"/>
      <c r="V1947" s="7" t="str">
        <f ca="1">IF(color_Celda(E1947)=12106214,"ROSA",IF(color_Celda(E1947)=65535,"AMARILLO",IF(color_Celda(E1947)=5296274,"VERDE",IF(color_Celda(E1947)=16777215,"BLANCO","NO SE"))))</f>
        <v>ROSA</v>
      </c>
      <c r="W1947" s="336"/>
      <c r="X1947" s="336"/>
      <c r="Y1947" s="336"/>
      <c r="Z1947" s="336" t="s">
        <v>3368</v>
      </c>
      <c r="AA1947" s="336" t="s">
        <v>2869</v>
      </c>
      <c r="AB1947" s="63" t="s">
        <v>3258</v>
      </c>
      <c r="AC1947" s="336" t="s">
        <v>1792</v>
      </c>
    </row>
    <row r="1948" spans="1:29" ht="60" customHeight="1">
      <c r="A1948" s="336">
        <v>2014</v>
      </c>
      <c r="B1948" s="349">
        <v>45391</v>
      </c>
      <c r="C1948" s="568">
        <v>0.33333333333333331</v>
      </c>
      <c r="D1948" s="336" t="s">
        <v>7010</v>
      </c>
      <c r="E1948" s="355" t="s">
        <v>7011</v>
      </c>
      <c r="F1948" s="336">
        <v>8</v>
      </c>
      <c r="G1948" s="336" t="s">
        <v>2766</v>
      </c>
      <c r="H1948" s="383">
        <v>45406</v>
      </c>
      <c r="I1948" s="349" t="s">
        <v>75</v>
      </c>
      <c r="J1948" s="349" t="s">
        <v>1217</v>
      </c>
      <c r="K1948" s="336">
        <v>7</v>
      </c>
      <c r="L1948" s="63" t="s">
        <v>4779</v>
      </c>
      <c r="M1948" s="63" t="s">
        <v>7064</v>
      </c>
      <c r="N1948" s="63" t="s">
        <v>7460</v>
      </c>
      <c r="O1948" s="78" t="str">
        <f ca="1">IF(H1948&lt;&gt;"",IF(H1948&lt;=TODAY(),"SI","NO"),"LIMBO")</f>
        <v>SI</v>
      </c>
      <c r="P1948" s="78" t="str">
        <f>IF($P$1=H1948,"DIASOL", "DIANOSOL")</f>
        <v>DIANOSOL</v>
      </c>
      <c r="Q1948" s="63" t="s">
        <v>902</v>
      </c>
      <c r="R1948" s="63" t="str">
        <f>VLOOKUP($Q1948,Resultados!$A$1:$B$49,2,FALSE)</f>
        <v>Juicio Abreviado</v>
      </c>
      <c r="S1948" s="63"/>
      <c r="T1948" s="81" t="str">
        <f>IF(G1948=$J$1,"SI","NO")</f>
        <v>NO</v>
      </c>
      <c r="U1948" s="81"/>
      <c r="V1948" s="85" t="str">
        <f ca="1">IF(color_Celda(E1948)=12106214,"ROSA",IF(color_Celda(E1948)=65535,"AMARILLO",IF(color_Celda(E1948)=5296274,"VERDE",IF(color_Celda(E1948)=16777215,"BLANCO","NO SE"))))</f>
        <v>ROSA</v>
      </c>
      <c r="W1948" s="336"/>
      <c r="X1948" s="336"/>
      <c r="Y1948" s="336"/>
      <c r="Z1948" s="336" t="s">
        <v>748</v>
      </c>
      <c r="AA1948" s="336" t="s">
        <v>2828</v>
      </c>
      <c r="AB1948" s="63" t="s">
        <v>1171</v>
      </c>
      <c r="AC1948" s="336"/>
    </row>
    <row r="1949" spans="1:29" ht="60" customHeight="1">
      <c r="A1949" s="336">
        <v>1983</v>
      </c>
      <c r="B1949" s="349">
        <v>45398</v>
      </c>
      <c r="C1949" s="568">
        <v>0.33333333333333331</v>
      </c>
      <c r="D1949" s="63" t="s">
        <v>7200</v>
      </c>
      <c r="E1949" s="355" t="s">
        <v>7201</v>
      </c>
      <c r="F1949" s="336">
        <v>8</v>
      </c>
      <c r="G1949" s="63" t="s">
        <v>3323</v>
      </c>
      <c r="H1949" s="349">
        <v>45406</v>
      </c>
      <c r="I1949" s="65" t="s">
        <v>75</v>
      </c>
      <c r="J1949" s="65" t="s">
        <v>1221</v>
      </c>
      <c r="K1949" s="63" t="s">
        <v>1483</v>
      </c>
      <c r="L1949" s="63" t="s">
        <v>805</v>
      </c>
      <c r="M1949" s="150" t="s">
        <v>767</v>
      </c>
      <c r="N1949" s="63" t="s">
        <v>577</v>
      </c>
      <c r="O1949" s="78" t="str">
        <f ca="1">IF(H1949&lt;&gt;"",IF(H1949&lt;=TODAY(),"SI","NO"),"LIMBO")</f>
        <v>SI</v>
      </c>
      <c r="P1949" s="78" t="str">
        <f>IF($P$1=H1949,"DIASOL", "DIANOSOL")</f>
        <v>DIANOSOL</v>
      </c>
      <c r="Q1949" s="63" t="s">
        <v>151</v>
      </c>
      <c r="R1949" s="63" t="str">
        <f>VLOOKUP($Q1949,Resultados!$A$1:$B$49,2,FALSE)</f>
        <v>Prisión Preventiva</v>
      </c>
      <c r="S1949" s="63"/>
      <c r="T1949" s="81" t="str">
        <f>IF(G1949=$J$1,"SI","NO")</f>
        <v>NO</v>
      </c>
      <c r="U1949" s="81"/>
      <c r="V1949" s="85" t="str">
        <f ca="1">IF(color_Celda(E1949)=12106214,"ROSA",IF(color_Celda(E1949)=65535,"AMARILLO",IF(color_Celda(E1949)=5296274,"VERDE",IF(color_Celda(E1949)=16777215,"BLANCO","NO SE"))))</f>
        <v>ROSA</v>
      </c>
      <c r="W1949" s="336"/>
      <c r="X1949" s="336"/>
      <c r="Y1949" s="336"/>
      <c r="Z1949" s="336" t="s">
        <v>770</v>
      </c>
      <c r="AA1949" s="336" t="s">
        <v>1165</v>
      </c>
      <c r="AB1949" s="63" t="s">
        <v>1170</v>
      </c>
      <c r="AC1949" s="336"/>
    </row>
    <row r="1950" spans="1:29" ht="60" customHeight="1">
      <c r="A1950" s="336">
        <v>1982</v>
      </c>
      <c r="B1950" s="349">
        <v>45397</v>
      </c>
      <c r="C1950" s="568">
        <v>0.48819444444444443</v>
      </c>
      <c r="D1950" s="63" t="s">
        <v>7169</v>
      </c>
      <c r="E1950" s="669" t="s">
        <v>7168</v>
      </c>
      <c r="F1950" s="336">
        <v>8</v>
      </c>
      <c r="G1950" s="63" t="s">
        <v>3791</v>
      </c>
      <c r="H1950" s="349">
        <v>45406</v>
      </c>
      <c r="I1950" s="65" t="s">
        <v>77</v>
      </c>
      <c r="J1950" s="65" t="s">
        <v>31</v>
      </c>
      <c r="K1950" s="336">
        <f>IFERROR(VLOOKUP(J1950,Jueces!$A$1:$B$11,2,FALSE),"")</f>
        <v>2</v>
      </c>
      <c r="L1950" s="63" t="s">
        <v>4780</v>
      </c>
      <c r="M1950" s="335" t="s">
        <v>2266</v>
      </c>
      <c r="N1950" s="63" t="s">
        <v>7461</v>
      </c>
      <c r="O1950" s="167" t="str">
        <f ca="1">IF(H1950&lt;&gt;"",IF(H1950&lt;=TODAY(),"SI","NO"),"LIMBO")</f>
        <v>SI</v>
      </c>
      <c r="P1950" s="167" t="str">
        <f>IF($P$1=H1950,"DIASOL", "DIANOSOL")</f>
        <v>DIANOSOL</v>
      </c>
      <c r="Q1950" s="63" t="s">
        <v>903</v>
      </c>
      <c r="R1950" s="63" t="str">
        <f>VLOOKUP($Q1950,Resultados!$A$1:$B$49,2,FALSE)</f>
        <v>Juicio Abreviado</v>
      </c>
      <c r="S1950" s="63"/>
      <c r="T1950" s="414" t="str">
        <f>IF(G1950=$J$1,"SI","NO")</f>
        <v>NO</v>
      </c>
      <c r="U1950" s="414"/>
      <c r="V1950" s="7" t="str">
        <f ca="1">IF(color_Celda(E1950)=12106214,"ROSA",IF(color_Celda(E1950)=65535,"AMARILLO",IF(color_Celda(E1950)=5296274,"VERDE",IF(color_Celda(E1950)=16777215,"BLANCO","NO SE"))))</f>
        <v>ROSA</v>
      </c>
      <c r="W1950" s="336"/>
      <c r="X1950" s="336"/>
      <c r="Y1950" s="336"/>
      <c r="Z1950" s="336" t="s">
        <v>3368</v>
      </c>
      <c r="AA1950" s="336" t="s">
        <v>2869</v>
      </c>
      <c r="AB1950" s="63" t="s">
        <v>1171</v>
      </c>
      <c r="AC1950" s="336"/>
    </row>
    <row r="1951" spans="1:29" ht="60" customHeight="1">
      <c r="A1951" s="336">
        <v>1958</v>
      </c>
      <c r="B1951" s="65">
        <v>45393</v>
      </c>
      <c r="C1951" s="568">
        <v>0.4861111111111111</v>
      </c>
      <c r="D1951" s="63" t="s">
        <v>7090</v>
      </c>
      <c r="E1951" s="355" t="s">
        <v>7091</v>
      </c>
      <c r="F1951" s="336">
        <v>7</v>
      </c>
      <c r="G1951" s="63" t="s">
        <v>1435</v>
      </c>
      <c r="H1951" s="349">
        <v>45406</v>
      </c>
      <c r="I1951" s="65" t="s">
        <v>1146</v>
      </c>
      <c r="J1951" s="65" t="s">
        <v>33</v>
      </c>
      <c r="K1951" s="63" t="s">
        <v>7141</v>
      </c>
      <c r="L1951" s="63" t="s">
        <v>791</v>
      </c>
      <c r="M1951" s="63" t="s">
        <v>723</v>
      </c>
      <c r="N1951" s="63" t="s">
        <v>577</v>
      </c>
      <c r="O1951" s="233" t="str">
        <f ca="1">IF(H1951&lt;&gt;"",IF(H1951&lt;=TODAY(),"SI","NO"),"LIMBO")</f>
        <v>SI</v>
      </c>
      <c r="P1951" s="233" t="str">
        <f>IF($P$1=H1951,"DIASOL", "DIANOSOL")</f>
        <v>DIANOSOL</v>
      </c>
      <c r="Q1951" s="63" t="s">
        <v>151</v>
      </c>
      <c r="R1951" s="63" t="str">
        <f>VLOOKUP($Q1951,Resultados!$A$1:$B$49,2,FALSE)</f>
        <v>Prisión Preventiva</v>
      </c>
      <c r="S1951" s="63"/>
      <c r="T1951" s="508" t="str">
        <f>IF(G1951=$J$1,"SI","NO")</f>
        <v>SI</v>
      </c>
      <c r="U1951" s="508"/>
      <c r="V1951" s="7" t="str">
        <f ca="1">IF(color_Celda(E1951)=12106214,"ROSA",IF(color_Celda(E1951)=65535,"AMARILLO",IF(color_Celda(E1951)=5296274,"VERDE",IF(color_Celda(E1951)=16777215,"BLANCO","NO SE"))))</f>
        <v>ROSA</v>
      </c>
      <c r="W1951" s="336"/>
      <c r="X1951" s="336"/>
      <c r="Y1951" s="336"/>
      <c r="Z1951" s="336" t="s">
        <v>748</v>
      </c>
      <c r="AA1951" s="63" t="s">
        <v>3378</v>
      </c>
      <c r="AB1951" s="63" t="s">
        <v>1170</v>
      </c>
      <c r="AC1951" s="336"/>
    </row>
    <row r="1952" spans="1:29" ht="60" customHeight="1">
      <c r="A1952" s="336">
        <v>1927</v>
      </c>
      <c r="B1952" s="349">
        <v>45391</v>
      </c>
      <c r="C1952" s="63" t="s">
        <v>3514</v>
      </c>
      <c r="D1952" s="63" t="s">
        <v>7024</v>
      </c>
      <c r="E1952" s="64" t="s">
        <v>7027</v>
      </c>
      <c r="F1952" s="336">
        <v>8</v>
      </c>
      <c r="G1952" s="63" t="s">
        <v>568</v>
      </c>
      <c r="H1952" s="349">
        <v>45406</v>
      </c>
      <c r="I1952" s="65" t="s">
        <v>2011</v>
      </c>
      <c r="J1952" s="65" t="s">
        <v>78</v>
      </c>
      <c r="K1952" s="336">
        <f>IFERROR(VLOOKUP(J1952,Jueces!$A$1:$B$11,2,FALSE),"")</f>
        <v>8</v>
      </c>
      <c r="L1952" s="63" t="s">
        <v>791</v>
      </c>
      <c r="M1952" s="335" t="s">
        <v>1408</v>
      </c>
      <c r="N1952" s="63" t="s">
        <v>577</v>
      </c>
      <c r="O1952" s="233" t="str">
        <f ca="1">IF(H1952&lt;&gt;"",IF(H1952&lt;=TODAY(),"SI","NO"),"LIMBO")</f>
        <v>SI</v>
      </c>
      <c r="P1952" s="233" t="str">
        <f>IF($P$1=H1952,"DIASOL", "DIANOSOL")</f>
        <v>DIANOSOL</v>
      </c>
      <c r="Q1952" s="63" t="s">
        <v>151</v>
      </c>
      <c r="R1952" s="63" t="str">
        <f>VLOOKUP($Q1952,Resultados!$A$1:$B$49,2,FALSE)</f>
        <v>Prisión Preventiva</v>
      </c>
      <c r="S1952" s="63"/>
      <c r="T1952" s="508" t="str">
        <f>IF(G1952=$J$1,"SI","NO")</f>
        <v>NO</v>
      </c>
      <c r="U1952" s="508"/>
      <c r="V1952" s="7" t="str">
        <f ca="1">IF(color_Celda(E1952)=12106214,"ROSA",IF(color_Celda(E1952)=65535,"AMARILLO",IF(color_Celda(E1952)=5296274,"VERDE",IF(color_Celda(E1952)=16777215,"BLANCO","NO SE"))))</f>
        <v>ROSA</v>
      </c>
      <c r="W1952" s="336"/>
      <c r="X1952" s="336"/>
      <c r="Y1952" s="336"/>
      <c r="Z1952" s="336" t="s">
        <v>770</v>
      </c>
      <c r="AA1952" s="63" t="s">
        <v>3379</v>
      </c>
      <c r="AB1952" s="63" t="s">
        <v>1170</v>
      </c>
      <c r="AC1952" s="336"/>
    </row>
    <row r="1953" spans="1:29" ht="60" customHeight="1">
      <c r="A1953" s="336">
        <v>1937</v>
      </c>
      <c r="B1953" s="349">
        <v>45392</v>
      </c>
      <c r="C1953" s="568">
        <v>0.41805555555555557</v>
      </c>
      <c r="D1953" s="63" t="s">
        <v>7040</v>
      </c>
      <c r="E1953" s="355" t="s">
        <v>7041</v>
      </c>
      <c r="F1953" s="336">
        <v>7</v>
      </c>
      <c r="G1953" s="63" t="s">
        <v>3791</v>
      </c>
      <c r="H1953" s="349">
        <v>45407</v>
      </c>
      <c r="I1953" s="65" t="s">
        <v>73</v>
      </c>
      <c r="J1953" s="65" t="s">
        <v>31</v>
      </c>
      <c r="K1953" s="336">
        <f>IFERROR(VLOOKUP(J1953,Jueces!$A$1:$B$11,2,FALSE),"")</f>
        <v>2</v>
      </c>
      <c r="L1953" s="63" t="s">
        <v>582</v>
      </c>
      <c r="M1953" s="339" t="s">
        <v>725</v>
      </c>
      <c r="N1953" s="63" t="s">
        <v>7515</v>
      </c>
      <c r="O1953" s="233" t="str">
        <f ca="1">IF(H1953&lt;&gt;"",IF(H1953&lt;=TODAY(),"SI","NO"),"LIMBO")</f>
        <v>SI</v>
      </c>
      <c r="P1953" s="233" t="str">
        <f>IF($P$1=H1953,"DIASOL", "DIANOSOL")</f>
        <v>DIANOSOL</v>
      </c>
      <c r="Q1953" s="63" t="s">
        <v>1010</v>
      </c>
      <c r="R1953" s="63" t="str">
        <f>VLOOKUP($Q1953,Resultados!$A$1:$B$49,2,FALSE)</f>
        <v>Suspendida</v>
      </c>
      <c r="S1953" s="63"/>
      <c r="T1953" s="508" t="str">
        <f>IF(G1953=$J$1,"SI","NO")</f>
        <v>NO</v>
      </c>
      <c r="U1953" s="508"/>
      <c r="V1953" s="7" t="str">
        <f ca="1">IF(color_Celda(E1953)=12106214,"ROSA",IF(color_Celda(E1953)=65535,"AMARILLO",IF(color_Celda(E1953)=5296274,"VERDE",IF(color_Celda(E1953)=16777215,"BLANCO","NO SE"))))</f>
        <v>ROSA</v>
      </c>
      <c r="W1953" s="336"/>
      <c r="X1953" s="336"/>
      <c r="Y1953" s="336"/>
      <c r="Z1953" s="336" t="s">
        <v>748</v>
      </c>
      <c r="AA1953" s="336"/>
      <c r="AB1953" s="63" t="s">
        <v>3258</v>
      </c>
      <c r="AC1953" s="336"/>
    </row>
    <row r="1954" spans="1:29" ht="60" customHeight="1">
      <c r="A1954" s="336">
        <v>1948</v>
      </c>
      <c r="B1954" s="349">
        <v>45392</v>
      </c>
      <c r="C1954" s="568">
        <v>0.54166666666666663</v>
      </c>
      <c r="D1954" s="325" t="s">
        <v>5985</v>
      </c>
      <c r="E1954" s="355" t="s">
        <v>5984</v>
      </c>
      <c r="F1954" s="336">
        <v>3</v>
      </c>
      <c r="G1954" s="63" t="s">
        <v>2766</v>
      </c>
      <c r="H1954" s="383">
        <v>45407</v>
      </c>
      <c r="I1954" s="65" t="s">
        <v>73</v>
      </c>
      <c r="J1954" s="65" t="s">
        <v>35</v>
      </c>
      <c r="K1954" s="336">
        <f>IFERROR(VLOOKUP(J1954,Jueces!$A$1:$B$11,2,FALSE),"")</f>
        <v>3</v>
      </c>
      <c r="L1954" s="63" t="s">
        <v>569</v>
      </c>
      <c r="M1954" s="63" t="s">
        <v>3381</v>
      </c>
      <c r="N1954" s="63" t="s">
        <v>7513</v>
      </c>
      <c r="O1954" s="63" t="str">
        <f ca="1">IF(H1954&lt;&gt;"",IF(H1954&lt;=TODAY(),"SI","NO"),"LIMBO")</f>
        <v>SI</v>
      </c>
      <c r="P1954" s="63" t="str">
        <f>IF($P$1=H1954,"DIASOL", "DIANOSOL")</f>
        <v>DIANOSOL</v>
      </c>
      <c r="Q1954" s="63" t="s">
        <v>151</v>
      </c>
      <c r="R1954" s="63" t="str">
        <f>VLOOKUP($Q1954,Resultados!$A$1:$B$49,2,FALSE)</f>
        <v>Prisión Preventiva</v>
      </c>
      <c r="S1954" s="63"/>
      <c r="T1954" s="72" t="str">
        <f>IF(G1954=$J$1,"SI","NO")</f>
        <v>NO</v>
      </c>
      <c r="U1954" s="72"/>
      <c r="V1954" s="7" t="str">
        <f ca="1">IF(color_Celda(E1954)=12106214,"ROSA",IF(color_Celda(E1954)=65535,"AMARILLO",IF(color_Celda(E1954)=5296274,"VERDE",IF(color_Celda(E1954)=16777215,"BLANCO","NO SE"))))</f>
        <v>ROSA</v>
      </c>
      <c r="W1954" s="336"/>
      <c r="X1954" s="336"/>
      <c r="Y1954" s="336"/>
      <c r="Z1954" s="336" t="s">
        <v>748</v>
      </c>
      <c r="AA1954" s="336"/>
      <c r="AB1954" s="63" t="s">
        <v>1171</v>
      </c>
      <c r="AC1954" s="336" t="s">
        <v>1792</v>
      </c>
    </row>
    <row r="1955" spans="1:29" ht="60" customHeight="1">
      <c r="A1955" s="336">
        <v>1957</v>
      </c>
      <c r="B1955" s="349">
        <v>45393</v>
      </c>
      <c r="C1955" s="568">
        <v>0.44444444444444442</v>
      </c>
      <c r="D1955" s="63" t="s">
        <v>7080</v>
      </c>
      <c r="E1955" s="355" t="s">
        <v>7081</v>
      </c>
      <c r="F1955" s="336">
        <v>8</v>
      </c>
      <c r="G1955" s="63" t="s">
        <v>1435</v>
      </c>
      <c r="H1955" s="349">
        <v>45407</v>
      </c>
      <c r="I1955" s="65" t="s">
        <v>73</v>
      </c>
      <c r="J1955" s="65" t="s">
        <v>33</v>
      </c>
      <c r="K1955" s="336">
        <f>IFERROR(VLOOKUP(J1955,Jueces!$A$1:$B$11,2,FALSE),"")</f>
        <v>4</v>
      </c>
      <c r="L1955" s="63" t="s">
        <v>805</v>
      </c>
      <c r="M1955" s="63" t="s">
        <v>723</v>
      </c>
      <c r="N1955" s="63" t="s">
        <v>7512</v>
      </c>
      <c r="O1955" s="63" t="str">
        <f ca="1">IF(H1955&lt;&gt;"",IF(H1955&lt;=TODAY(),"SI","NO"),"LIMBO")</f>
        <v>SI</v>
      </c>
      <c r="P1955" s="63" t="str">
        <f>IF($P$1=H1955,"DIASOL", "DIANOSOL")</f>
        <v>DIANOSOL</v>
      </c>
      <c r="Q1955" s="63" t="s">
        <v>902</v>
      </c>
      <c r="R1955" s="63" t="str">
        <f>VLOOKUP($Q1955,Resultados!$A$1:$B$49,2,FALSE)</f>
        <v>Juicio Abreviado</v>
      </c>
      <c r="S1955" s="63"/>
      <c r="T1955" s="72" t="str">
        <f>IF(G1955=$J$1,"SI","NO")</f>
        <v>SI</v>
      </c>
      <c r="U1955" s="72"/>
      <c r="V1955" s="7" t="str">
        <f ca="1">IF(color_Celda(E1955)=12106214,"ROSA",IF(color_Celda(E1955)=65535,"AMARILLO",IF(color_Celda(E1955)=5296274,"VERDE",IF(color_Celda(E1955)=16777215,"BLANCO","NO SE"))))</f>
        <v>ROSA</v>
      </c>
      <c r="W1955" s="336"/>
      <c r="X1955" s="336"/>
      <c r="Y1955" s="336"/>
      <c r="Z1955" s="336" t="s">
        <v>3368</v>
      </c>
      <c r="AA1955" s="63" t="s">
        <v>3379</v>
      </c>
      <c r="AB1955" s="63" t="s">
        <v>1170</v>
      </c>
      <c r="AC1955" s="336"/>
    </row>
    <row r="1956" spans="1:29" ht="60" customHeight="1">
      <c r="A1956" s="336">
        <v>1964</v>
      </c>
      <c r="B1956" s="349">
        <v>45394</v>
      </c>
      <c r="C1956" s="568">
        <v>0.40347222222222223</v>
      </c>
      <c r="D1956" s="63" t="s">
        <v>7101</v>
      </c>
      <c r="E1956" s="64" t="s">
        <v>7102</v>
      </c>
      <c r="F1956" s="336">
        <v>8</v>
      </c>
      <c r="G1956" s="63" t="s">
        <v>5710</v>
      </c>
      <c r="H1956" s="349">
        <v>45407</v>
      </c>
      <c r="I1956" s="65" t="s">
        <v>749</v>
      </c>
      <c r="J1956" s="65" t="s">
        <v>1221</v>
      </c>
      <c r="K1956" s="336">
        <f>IFERROR(VLOOKUP(J1956,Jueces!$A$1:$B$11,2,FALSE),"")</f>
        <v>6</v>
      </c>
      <c r="L1956" s="63" t="s">
        <v>4788</v>
      </c>
      <c r="M1956" s="63" t="s">
        <v>767</v>
      </c>
      <c r="N1956" s="63" t="s">
        <v>577</v>
      </c>
      <c r="O1956" s="78" t="str">
        <f ca="1">IF(H1956&lt;&gt;"",IF(H1956&lt;=TODAY(),"SI","NO"),"LIMBO")</f>
        <v>SI</v>
      </c>
      <c r="P1956" s="78" t="str">
        <f>IF($P$1=H1956,"DIASOL", "DIANOSOL")</f>
        <v>DIANOSOL</v>
      </c>
      <c r="Q1956" s="63" t="s">
        <v>151</v>
      </c>
      <c r="R1956" s="63" t="str">
        <f>VLOOKUP($Q1956,Resultados!$A$1:$B$49,2,FALSE)</f>
        <v>Prisión Preventiva</v>
      </c>
      <c r="S1956" s="63"/>
      <c r="T1956" s="81" t="str">
        <f>IF(G1956=$J$1,"SI","NO")</f>
        <v>NO</v>
      </c>
      <c r="U1956" s="81"/>
      <c r="V1956" s="76" t="str">
        <f ca="1">IF(color_Celda(E1956)=12106214,"ROSA",IF(color_Celda(E1956)=65535,"AMARILLO",IF(color_Celda(E1956)=5296274,"VERDE",IF(color_Celda(E1956)=16777215,"BLANCO","NO SE"))))</f>
        <v>ROSA</v>
      </c>
      <c r="W1956" s="336"/>
      <c r="X1956" s="336"/>
      <c r="Y1956" s="336"/>
      <c r="Z1956" s="336" t="s">
        <v>770</v>
      </c>
      <c r="AA1956" s="336" t="s">
        <v>1167</v>
      </c>
      <c r="AB1956" s="63" t="s">
        <v>3258</v>
      </c>
      <c r="AC1956" s="336"/>
    </row>
    <row r="1957" spans="1:29" ht="60" customHeight="1">
      <c r="A1957" s="336">
        <v>1926</v>
      </c>
      <c r="B1957" s="349">
        <v>45391</v>
      </c>
      <c r="C1957" s="63" t="s">
        <v>4680</v>
      </c>
      <c r="D1957" s="325" t="s">
        <v>7023</v>
      </c>
      <c r="E1957" s="64" t="s">
        <v>7147</v>
      </c>
      <c r="F1957" s="336">
        <v>1</v>
      </c>
      <c r="G1957" s="336" t="s">
        <v>1433</v>
      </c>
      <c r="H1957" s="349">
        <v>45407</v>
      </c>
      <c r="I1957" s="349" t="s">
        <v>76</v>
      </c>
      <c r="J1957" s="349" t="s">
        <v>31</v>
      </c>
      <c r="K1957" s="336" t="s">
        <v>1483</v>
      </c>
      <c r="L1957" s="63" t="s">
        <v>789</v>
      </c>
      <c r="M1957" s="63" t="s">
        <v>1956</v>
      </c>
      <c r="N1957" s="63" t="s">
        <v>7514</v>
      </c>
      <c r="O1957" s="63" t="str">
        <f ca="1">IF(H1957&lt;&gt;"",IF(H1957&lt;=TODAY(),"SI","NO"),"LIMBO")</f>
        <v>SI</v>
      </c>
      <c r="P1957" s="63" t="str">
        <f>IF($P$1=H1957,"DIASOL", "DIANOSOL")</f>
        <v>DIANOSOL</v>
      </c>
      <c r="Q1957" s="63" t="s">
        <v>1892</v>
      </c>
      <c r="R1957" s="63" t="str">
        <f>VLOOKUP($Q1957,Resultados!$A$1:$B$49,2,FALSE)</f>
        <v>Sobreseimiento</v>
      </c>
      <c r="S1957" s="63"/>
      <c r="T1957" s="72" t="str">
        <f>IF(G1957=$J$1,"SI","NO")</f>
        <v>NO</v>
      </c>
      <c r="U1957" s="72"/>
      <c r="V1957" s="7" t="str">
        <f ca="1">IF(color_Celda(E1957)=12106214,"ROSA",IF(color_Celda(E1957)=65535,"AMARILLO",IF(color_Celda(E1957)=5296274,"VERDE",IF(color_Celda(E1957)=16777215,"BLANCO","NO SE"))))</f>
        <v>ROSA</v>
      </c>
      <c r="W1957" s="336"/>
      <c r="X1957" s="336"/>
      <c r="Y1957" s="336"/>
      <c r="Z1957" s="336" t="s">
        <v>748</v>
      </c>
      <c r="AA1957" s="336" t="s">
        <v>3378</v>
      </c>
      <c r="AB1957" s="63" t="s">
        <v>1171</v>
      </c>
      <c r="AC1957" s="336" t="s">
        <v>1792</v>
      </c>
    </row>
    <row r="1958" spans="1:29" ht="60" customHeight="1">
      <c r="A1958" s="336">
        <v>1968</v>
      </c>
      <c r="B1958" s="349">
        <v>45394</v>
      </c>
      <c r="C1958" s="568">
        <v>0.50208333333333333</v>
      </c>
      <c r="D1958" s="63" t="s">
        <v>7107</v>
      </c>
      <c r="E1958" s="64" t="s">
        <v>7108</v>
      </c>
      <c r="F1958" s="336">
        <v>8</v>
      </c>
      <c r="G1958" s="63" t="s">
        <v>568</v>
      </c>
      <c r="H1958" s="349">
        <v>45407</v>
      </c>
      <c r="I1958" s="65" t="s">
        <v>76</v>
      </c>
      <c r="J1958" s="65" t="s">
        <v>33</v>
      </c>
      <c r="K1958" s="336">
        <f>IFERROR(VLOOKUP(J1958,Jueces!$A$1:$B$11,2,FALSE),"")</f>
        <v>4</v>
      </c>
      <c r="L1958" s="63" t="s">
        <v>4781</v>
      </c>
      <c r="M1958" s="63" t="s">
        <v>767</v>
      </c>
      <c r="N1958" s="63" t="s">
        <v>3184</v>
      </c>
      <c r="O1958" s="63" t="str">
        <f ca="1">IF(H1958&lt;&gt;"",IF(H1958&lt;=TODAY(),"SI","NO"),"LIMBO")</f>
        <v>SI</v>
      </c>
      <c r="P1958" s="63" t="str">
        <f>IF($P$1=H1958,"DIASOL", "DIANOSOL")</f>
        <v>DIANOSOL</v>
      </c>
      <c r="Q1958" s="63" t="s">
        <v>903</v>
      </c>
      <c r="R1958" s="63" t="str">
        <f>VLOOKUP($Q1958,Resultados!$A$1:$B$49,2,FALSE)</f>
        <v>Juicio Abreviado</v>
      </c>
      <c r="S1958" s="63"/>
      <c r="T1958" s="72" t="str">
        <f>IF(G1958=$J$1,"SI","NO")</f>
        <v>NO</v>
      </c>
      <c r="U1958" s="72"/>
      <c r="V1958" s="7" t="str">
        <f ca="1">IF(color_Celda(E1958)=12106214,"ROSA",IF(color_Celda(E1958)=65535,"AMARILLO",IF(color_Celda(E1958)=5296274,"VERDE",IF(color_Celda(E1958)=16777215,"BLANCO","NO SE"))))</f>
        <v>ROSA</v>
      </c>
      <c r="W1958" s="336"/>
      <c r="X1958" s="336"/>
      <c r="Y1958" s="336"/>
      <c r="Z1958" s="336" t="s">
        <v>3368</v>
      </c>
      <c r="AA1958" s="336" t="s">
        <v>1165</v>
      </c>
      <c r="AB1958" s="63" t="s">
        <v>1170</v>
      </c>
      <c r="AC1958" s="336"/>
    </row>
    <row r="1959" spans="1:29" ht="60" customHeight="1">
      <c r="A1959" s="336">
        <v>1997</v>
      </c>
      <c r="B1959" s="349">
        <v>45399</v>
      </c>
      <c r="C1959" s="568">
        <v>0.41666666666666669</v>
      </c>
      <c r="D1959" s="63" t="s">
        <v>5428</v>
      </c>
      <c r="E1959" s="355" t="s">
        <v>6906</v>
      </c>
      <c r="F1959" s="336">
        <v>7</v>
      </c>
      <c r="G1959" s="63" t="s">
        <v>3324</v>
      </c>
      <c r="H1959" s="208">
        <v>45407</v>
      </c>
      <c r="I1959" s="65" t="s">
        <v>76</v>
      </c>
      <c r="J1959" s="65" t="s">
        <v>1217</v>
      </c>
      <c r="K1959" s="336" t="s">
        <v>2324</v>
      </c>
      <c r="L1959" s="63" t="s">
        <v>805</v>
      </c>
      <c r="M1959" s="373" t="s">
        <v>7506</v>
      </c>
      <c r="N1959" s="63" t="s">
        <v>7249</v>
      </c>
      <c r="O1959" s="78" t="str">
        <f ca="1">IF(H1959&lt;&gt;"",IF(H1959&lt;=TODAY(),"SI","NO"),"LIMBO")</f>
        <v>SI</v>
      </c>
      <c r="P1959" s="78" t="str">
        <f>IF($P$1=H1959,"DIASOL", "DIANOSOL")</f>
        <v>DIANOSOL</v>
      </c>
      <c r="Q1959" s="63" t="s">
        <v>909</v>
      </c>
      <c r="R1959" s="63" t="str">
        <f>VLOOKUP($Q1959,Resultados!$A$1:$B$49,2,FALSE)</f>
        <v>Suspendida</v>
      </c>
      <c r="S1959" s="63"/>
      <c r="T1959" s="81" t="str">
        <f>IF(G1959=$J$1,"SI","NO")</f>
        <v>NO</v>
      </c>
      <c r="U1959" s="81"/>
      <c r="V1959" s="85" t="str">
        <f ca="1">IF(color_Celda(E1959)=12106214,"ROSA",IF(color_Celda(E1959)=65535,"AMARILLO",IF(color_Celda(E1959)=5296274,"VERDE",IF(color_Celda(E1959)=16777215,"BLANCO","NO SE"))))</f>
        <v>ROSA</v>
      </c>
      <c r="W1959" s="336"/>
      <c r="X1959" s="336"/>
      <c r="Y1959" s="336"/>
      <c r="Z1959" s="336" t="s">
        <v>770</v>
      </c>
      <c r="AA1959" s="63" t="s">
        <v>1167</v>
      </c>
      <c r="AB1959" s="63" t="s">
        <v>3258</v>
      </c>
      <c r="AC1959" s="336"/>
    </row>
    <row r="1960" spans="1:29" ht="60" customHeight="1">
      <c r="A1960" s="336">
        <v>1972</v>
      </c>
      <c r="B1960" s="349">
        <v>45397</v>
      </c>
      <c r="C1960" s="568">
        <v>0.33333333333333331</v>
      </c>
      <c r="D1960" s="63" t="s">
        <v>7143</v>
      </c>
      <c r="E1960" s="64" t="s">
        <v>7144</v>
      </c>
      <c r="F1960" s="336">
        <v>8</v>
      </c>
      <c r="G1960" s="63" t="s">
        <v>2815</v>
      </c>
      <c r="H1960" s="349">
        <v>45407</v>
      </c>
      <c r="I1960" s="65" t="s">
        <v>75</v>
      </c>
      <c r="J1960" s="349" t="s">
        <v>35</v>
      </c>
      <c r="K1960" s="336">
        <f>IFERROR(VLOOKUP(J1960,Jueces!$A$1:$B$11,2,FALSE),"")</f>
        <v>3</v>
      </c>
      <c r="L1960" s="63" t="s">
        <v>805</v>
      </c>
      <c r="M1960" s="63" t="s">
        <v>767</v>
      </c>
      <c r="N1960" s="63" t="s">
        <v>2566</v>
      </c>
      <c r="O1960" s="78" t="str">
        <f ca="1">IF(H1960&lt;&gt;"",IF(H1960&lt;=TODAY(),"SI","NO"),"LIMBO")</f>
        <v>SI</v>
      </c>
      <c r="P1960" s="78" t="str">
        <f>IF($P$1=H1960,"DIASOL", "DIANOSOL")</f>
        <v>DIANOSOL</v>
      </c>
      <c r="Q1960" s="63" t="s">
        <v>902</v>
      </c>
      <c r="R1960" s="63" t="str">
        <f>VLOOKUP($Q1960,Resultados!$A$1:$B$49,2,FALSE)</f>
        <v>Juicio Abreviado</v>
      </c>
      <c r="S1960" s="63"/>
      <c r="T1960" s="81" t="str">
        <f>IF(G1960=$J$1,"SI","NO")</f>
        <v>NO</v>
      </c>
      <c r="U1960" s="81"/>
      <c r="V1960" s="76" t="str">
        <f ca="1">IF(color_Celda(E1960)=12106214,"ROSA",IF(color_Celda(E1960)=65535,"AMARILLO",IF(color_Celda(E1960)=5296274,"VERDE",IF(color_Celda(E1960)=16777215,"BLANCO","NO SE"))))</f>
        <v>ROSA</v>
      </c>
      <c r="W1960" s="336"/>
      <c r="X1960" s="336"/>
      <c r="Y1960" s="336"/>
      <c r="Z1960" s="336" t="s">
        <v>770</v>
      </c>
      <c r="AA1960" s="336" t="s">
        <v>2869</v>
      </c>
      <c r="AB1960" s="63" t="s">
        <v>1171</v>
      </c>
      <c r="AC1960" s="336"/>
    </row>
    <row r="1961" spans="1:29" ht="60" customHeight="1">
      <c r="A1961" s="336">
        <v>1907</v>
      </c>
      <c r="B1961" s="349">
        <v>45390</v>
      </c>
      <c r="C1961" s="63" t="s">
        <v>73</v>
      </c>
      <c r="D1961" s="63" t="s">
        <v>6980</v>
      </c>
      <c r="E1961" s="64" t="s">
        <v>6981</v>
      </c>
      <c r="F1961" s="336">
        <v>8</v>
      </c>
      <c r="G1961" s="63" t="s">
        <v>5710</v>
      </c>
      <c r="H1961" s="349">
        <v>45408</v>
      </c>
      <c r="I1961" s="65" t="s">
        <v>73</v>
      </c>
      <c r="J1961" s="65" t="s">
        <v>35</v>
      </c>
      <c r="K1961" s="336">
        <f>IFERROR(VLOOKUP(J1961,Jueces!$A$1:$B$11,2,FALSE),"")</f>
        <v>3</v>
      </c>
      <c r="L1961" s="63" t="s">
        <v>4790</v>
      </c>
      <c r="M1961" s="7" t="s">
        <v>723</v>
      </c>
      <c r="N1961" s="63" t="s">
        <v>7553</v>
      </c>
      <c r="O1961" s="167" t="str">
        <f ca="1">IF(H1961&lt;&gt;"",IF(H1961&lt;=TODAY(),"SI","NO"),"LIMBO")</f>
        <v>SI</v>
      </c>
      <c r="P1961" s="167" t="str">
        <f>IF($P$1=H1961,"DIASOL", "DIANOSOL")</f>
        <v>DIASOL</v>
      </c>
      <c r="Q1961" s="63" t="s">
        <v>902</v>
      </c>
      <c r="R1961" s="63" t="str">
        <f>VLOOKUP($Q1961,Resultados!$A$1:$B$49,2,FALSE)</f>
        <v>Juicio Abreviado</v>
      </c>
      <c r="S1961" s="63"/>
      <c r="T1961" s="414" t="str">
        <f>IF(G1961=$J$1,"SI","NO")</f>
        <v>NO</v>
      </c>
      <c r="U1961" s="414"/>
      <c r="V1961" s="7" t="str">
        <f ca="1">IF(color_Celda(E1961)=12106214,"ROSA",IF(color_Celda(E1961)=65535,"AMARILLO",IF(color_Celda(E1961)=5296274,"VERDE",IF(color_Celda(E1961)=16777215,"BLANCO","NO SE"))))</f>
        <v>ROSA</v>
      </c>
      <c r="W1961" s="336"/>
      <c r="X1961" s="336"/>
      <c r="Y1961" s="336"/>
      <c r="Z1961" s="336" t="s">
        <v>770</v>
      </c>
      <c r="AA1961" s="336" t="s">
        <v>1167</v>
      </c>
      <c r="AB1961" s="63" t="s">
        <v>1170</v>
      </c>
      <c r="AC1961" s="336"/>
    </row>
    <row r="1962" spans="1:29" ht="60" customHeight="1">
      <c r="A1962" s="336">
        <v>2015</v>
      </c>
      <c r="B1962" s="349">
        <v>45390</v>
      </c>
      <c r="C1962" s="568">
        <v>0.39999999999999997</v>
      </c>
      <c r="D1962" s="63" t="s">
        <v>6986</v>
      </c>
      <c r="E1962" s="355" t="s">
        <v>6987</v>
      </c>
      <c r="F1962" s="336">
        <v>7</v>
      </c>
      <c r="G1962" s="336" t="s">
        <v>5710</v>
      </c>
      <c r="H1962" s="383">
        <v>45408</v>
      </c>
      <c r="I1962" s="349" t="s">
        <v>73</v>
      </c>
      <c r="J1962" s="349" t="s">
        <v>78</v>
      </c>
      <c r="K1962" s="336">
        <f>IFERROR(VLOOKUP(J1962,Jueces!$A$1:$B$11,2,FALSE),"")</f>
        <v>8</v>
      </c>
      <c r="L1962" s="63" t="s">
        <v>2077</v>
      </c>
      <c r="M1962" s="63" t="s">
        <v>2201</v>
      </c>
      <c r="N1962" s="63" t="s">
        <v>4059</v>
      </c>
      <c r="O1962" s="78" t="str">
        <f ca="1">IF(H1962&lt;&gt;"",IF(H1962&lt;=TODAY(),"SI","NO"),"LIMBO")</f>
        <v>SI</v>
      </c>
      <c r="P1962" s="78" t="str">
        <f>IF($P$1=H1962,"DIASOL", "DIANOSOL")</f>
        <v>DIASOL</v>
      </c>
      <c r="Q1962" s="63" t="s">
        <v>902</v>
      </c>
      <c r="R1962" s="63" t="str">
        <f>VLOOKUP($Q1962,Resultados!$A$1:$B$49,2,FALSE)</f>
        <v>Juicio Abreviado</v>
      </c>
      <c r="S1962" s="63"/>
      <c r="T1962" s="81" t="str">
        <f>IF(G1962=$J$1,"SI","NO")</f>
        <v>NO</v>
      </c>
      <c r="U1962" s="81"/>
      <c r="V1962" s="85" t="str">
        <f ca="1">IF(color_Celda(E1962)=12106214,"ROSA",IF(color_Celda(E1962)=65535,"AMARILLO",IF(color_Celda(E1962)=5296274,"VERDE",IF(color_Celda(E1962)=16777215,"BLANCO","NO SE"))))</f>
        <v>ROSA</v>
      </c>
      <c r="W1962" s="336"/>
      <c r="X1962" s="336"/>
      <c r="Y1962" s="336"/>
      <c r="Z1962" s="336" t="s">
        <v>748</v>
      </c>
      <c r="AA1962" s="336" t="s">
        <v>2828</v>
      </c>
      <c r="AB1962" s="63" t="s">
        <v>1169</v>
      </c>
      <c r="AC1962" s="336"/>
    </row>
    <row r="1963" spans="1:29" ht="60" customHeight="1">
      <c r="A1963" s="336">
        <v>1944</v>
      </c>
      <c r="B1963" s="349">
        <v>45393</v>
      </c>
      <c r="C1963" s="568">
        <v>0.33333333333333331</v>
      </c>
      <c r="D1963" s="63" t="s">
        <v>7050</v>
      </c>
      <c r="E1963" s="64" t="s">
        <v>7051</v>
      </c>
      <c r="F1963" s="336">
        <v>8</v>
      </c>
      <c r="G1963" s="336" t="s">
        <v>3324</v>
      </c>
      <c r="H1963" s="349">
        <v>45408</v>
      </c>
      <c r="I1963" s="349" t="s">
        <v>73</v>
      </c>
      <c r="J1963" s="349" t="s">
        <v>31</v>
      </c>
      <c r="K1963" s="336">
        <f>IFERROR(VLOOKUP(J1963,Jueces!$A$1:$B$11,2,FALSE),"")</f>
        <v>2</v>
      </c>
      <c r="L1963" s="63" t="s">
        <v>791</v>
      </c>
      <c r="M1963" s="373" t="s">
        <v>2043</v>
      </c>
      <c r="N1963" s="63" t="s">
        <v>7554</v>
      </c>
      <c r="O1963" s="233" t="str">
        <f ca="1">IF(H1963&lt;&gt;"",IF(H1963&lt;=TODAY(),"SI","NO"),"LIMBO")</f>
        <v>SI</v>
      </c>
      <c r="P1963" s="233" t="str">
        <f>IF($P$1=H1963,"DIASOL", "DIANOSOL")</f>
        <v>DIASOL</v>
      </c>
      <c r="Q1963" s="63" t="s">
        <v>151</v>
      </c>
      <c r="R1963" s="63" t="str">
        <f>VLOOKUP($Q1963,Resultados!$A$1:$B$49,2,FALSE)</f>
        <v>Prisión Preventiva</v>
      </c>
      <c r="S1963" s="63"/>
      <c r="T1963" s="508" t="str">
        <f>IF(G1963=$J$1,"SI","NO")</f>
        <v>NO</v>
      </c>
      <c r="U1963" s="508"/>
      <c r="V1963" s="7" t="str">
        <f ca="1">IF(color_Celda(E1963)=12106214,"ROSA",IF(color_Celda(E1963)=65535,"AMARILLO",IF(color_Celda(E1963)=5296274,"VERDE",IF(color_Celda(E1963)=16777215,"BLANCO","NO SE"))))</f>
        <v>ROSA</v>
      </c>
      <c r="W1963" s="336"/>
      <c r="X1963" s="336"/>
      <c r="Y1963" s="336"/>
      <c r="Z1963" s="336" t="s">
        <v>770</v>
      </c>
      <c r="AA1963" s="336" t="s">
        <v>1167</v>
      </c>
      <c r="AB1963" s="63" t="s">
        <v>3258</v>
      </c>
      <c r="AC1963" s="336"/>
    </row>
    <row r="1964" spans="1:29" ht="60" customHeight="1">
      <c r="A1964" s="336">
        <v>2006</v>
      </c>
      <c r="B1964" s="349">
        <v>45398</v>
      </c>
      <c r="C1964" s="568">
        <v>0.47152777777777777</v>
      </c>
      <c r="D1964" s="63" t="s">
        <v>6098</v>
      </c>
      <c r="E1964" s="355" t="s">
        <v>6099</v>
      </c>
      <c r="F1964" s="336">
        <v>4</v>
      </c>
      <c r="G1964" s="63" t="s">
        <v>3323</v>
      </c>
      <c r="H1964" s="383">
        <v>45408</v>
      </c>
      <c r="I1964" s="65" t="s">
        <v>73</v>
      </c>
      <c r="J1964" s="65" t="s">
        <v>1217</v>
      </c>
      <c r="K1964" s="336">
        <f>IFERROR(VLOOKUP(J1964,Jueces!$A$1:$B$11,2,FALSE),"")</f>
        <v>7</v>
      </c>
      <c r="L1964" s="63" t="s">
        <v>582</v>
      </c>
      <c r="M1964" s="150" t="s">
        <v>695</v>
      </c>
      <c r="N1964" s="63" t="s">
        <v>7555</v>
      </c>
      <c r="O1964" s="78" t="str">
        <f ca="1">IF(H1964&lt;&gt;"",IF(H1964&lt;=TODAY(),"SI","NO"),"LIMBO")</f>
        <v>SI</v>
      </c>
      <c r="P1964" s="78" t="str">
        <f>IF($P$1=H1964,"DIASOL", "DIANOSOL")</f>
        <v>DIASOL</v>
      </c>
      <c r="Q1964" s="63" t="s">
        <v>909</v>
      </c>
      <c r="R1964" s="63" t="str">
        <f>VLOOKUP($Q1964,Resultados!$A$1:$B$49,2,FALSE)</f>
        <v>Suspendida</v>
      </c>
      <c r="S1964" s="63"/>
      <c r="T1964" s="81" t="str">
        <f>IF(G1964=$J$1,"SI","NO")</f>
        <v>NO</v>
      </c>
      <c r="U1964" s="81"/>
      <c r="V1964" s="85" t="str">
        <f ca="1">IF(color_Celda(E1964)=12106214,"ROSA",IF(color_Celda(E1964)=65535,"AMARILLO",IF(color_Celda(E1964)=5296274,"VERDE",IF(color_Celda(E1964)=16777215,"BLANCO","NO SE"))))</f>
        <v>ROSA</v>
      </c>
      <c r="W1964" s="336"/>
      <c r="X1964" s="336"/>
      <c r="Y1964" s="336"/>
      <c r="Z1964" s="336" t="s">
        <v>3368</v>
      </c>
      <c r="AA1964" s="336"/>
      <c r="AB1964" s="63" t="s">
        <v>1171</v>
      </c>
      <c r="AC1964" s="336"/>
    </row>
    <row r="1965" spans="1:29" ht="60" customHeight="1">
      <c r="A1965" s="336">
        <v>1813</v>
      </c>
      <c r="B1965" s="349">
        <v>45400</v>
      </c>
      <c r="C1965" s="70" t="s">
        <v>73</v>
      </c>
      <c r="D1965" s="63" t="s">
        <v>6319</v>
      </c>
      <c r="E1965" s="355" t="s">
        <v>6320</v>
      </c>
      <c r="F1965" s="336">
        <v>6</v>
      </c>
      <c r="G1965" s="63" t="s">
        <v>568</v>
      </c>
      <c r="H1965" s="383">
        <v>45408</v>
      </c>
      <c r="I1965" s="65" t="s">
        <v>73</v>
      </c>
      <c r="J1965" s="65" t="s">
        <v>33</v>
      </c>
      <c r="K1965" s="336">
        <f>IFERROR(VLOOKUP(J1965,Jueces!$A$1:$B$11,2,FALSE),"")</f>
        <v>4</v>
      </c>
      <c r="L1965" s="63" t="s">
        <v>4791</v>
      </c>
      <c r="M1965" s="63" t="s">
        <v>1866</v>
      </c>
      <c r="N1965" s="63" t="s">
        <v>7556</v>
      </c>
      <c r="O1965" s="78" t="str">
        <f ca="1">IF(H1965&lt;&gt;"",IF(H1965&lt;=TODAY(),"SI","NO"),"LIMBO")</f>
        <v>SI</v>
      </c>
      <c r="P1965" s="78" t="str">
        <f>IF($P$1=H1965,"DIASOL", "DIANOSOL")</f>
        <v>DIASOL</v>
      </c>
      <c r="Q1965" s="63" t="s">
        <v>897</v>
      </c>
      <c r="R1965" s="63" t="str">
        <f>VLOOKUP($Q1965,Resultados!$A$1:$B$49,2,FALSE)</f>
        <v>Libertad</v>
      </c>
      <c r="S1965" s="63"/>
      <c r="T1965" s="81" t="str">
        <f>IF(G1965=$J$1,"SI","NO")</f>
        <v>NO</v>
      </c>
      <c r="U1965" s="81"/>
      <c r="V1965" s="76" t="str">
        <f ca="1">IF(color_Celda(E1965)=12106214,"ROSA",IF(color_Celda(E1965)=65535,"AMARILLO",IF(color_Celda(E1965)=5296274,"VERDE",IF(color_Celda(E1965)=16777215,"BLANCO","NO SE"))))</f>
        <v>ROSA</v>
      </c>
      <c r="W1965" s="336"/>
      <c r="X1965" s="336"/>
      <c r="Y1965" s="336"/>
      <c r="Z1965" s="336" t="s">
        <v>3368</v>
      </c>
      <c r="AA1965" s="63" t="s">
        <v>3379</v>
      </c>
      <c r="AB1965" s="63" t="s">
        <v>1170</v>
      </c>
      <c r="AC1965" s="336"/>
    </row>
    <row r="1966" spans="1:29" ht="60" customHeight="1">
      <c r="A1966" s="336">
        <v>1955</v>
      </c>
      <c r="B1966" s="349">
        <v>45393</v>
      </c>
      <c r="C1966" s="568">
        <v>0.46388888888888885</v>
      </c>
      <c r="D1966" s="63" t="s">
        <v>7076</v>
      </c>
      <c r="E1966" s="64" t="s">
        <v>7077</v>
      </c>
      <c r="F1966" s="336">
        <v>2</v>
      </c>
      <c r="G1966" s="336" t="s">
        <v>1435</v>
      </c>
      <c r="H1966" s="349">
        <v>45408</v>
      </c>
      <c r="I1966" s="349" t="s">
        <v>749</v>
      </c>
      <c r="J1966" s="349" t="s">
        <v>1221</v>
      </c>
      <c r="K1966" s="336">
        <f>IFERROR(VLOOKUP(J1966,Jueces!$A$1:$B$11,2,FALSE),"")</f>
        <v>6</v>
      </c>
      <c r="L1966" s="63" t="s">
        <v>4778</v>
      </c>
      <c r="M1966" s="63" t="s">
        <v>725</v>
      </c>
      <c r="N1966" s="63" t="s">
        <v>3625</v>
      </c>
      <c r="O1966" s="78" t="str">
        <f ca="1">IF(H1966&lt;&gt;"",IF(H1966&lt;=TODAY(),"SI","NO"),"LIMBO")</f>
        <v>SI</v>
      </c>
      <c r="P1966" s="78" t="str">
        <f>IF($P$1=H1966,"DIASOL", "DIANOSOL")</f>
        <v>DIASOL</v>
      </c>
      <c r="Q1966" s="63" t="s">
        <v>151</v>
      </c>
      <c r="R1966" s="63" t="str">
        <f>VLOOKUP($Q1966,Resultados!$A$1:$B$49,2,FALSE)</f>
        <v>Prisión Preventiva</v>
      </c>
      <c r="S1966" s="63"/>
      <c r="T1966" s="81" t="str">
        <f>IF(G1966=$J$1,"SI","NO")</f>
        <v>SI</v>
      </c>
      <c r="U1966" s="81"/>
      <c r="V1966" s="7" t="str">
        <f ca="1">IF(color_Celda(E1966)=12106214,"ROSA",IF(color_Celda(E1966)=65535,"AMARILLO",IF(color_Celda(E1966)=5296274,"VERDE",IF(color_Celda(E1966)=16777215,"BLANCO","NO SE"))))</f>
        <v>ROSA</v>
      </c>
      <c r="W1966" s="336"/>
      <c r="X1966" s="336"/>
      <c r="Y1966" s="336"/>
      <c r="Z1966" s="336" t="s">
        <v>748</v>
      </c>
      <c r="AA1966" s="336" t="s">
        <v>2828</v>
      </c>
      <c r="AB1966" s="63" t="s">
        <v>1169</v>
      </c>
      <c r="AC1966" s="336"/>
    </row>
    <row r="1967" spans="1:29" ht="60" customHeight="1">
      <c r="A1967" s="336">
        <v>1951</v>
      </c>
      <c r="B1967" s="349">
        <v>45393</v>
      </c>
      <c r="C1967" s="568">
        <v>0.39513888888888887</v>
      </c>
      <c r="D1967" s="63" t="s">
        <v>7069</v>
      </c>
      <c r="E1967" s="64" t="s">
        <v>7070</v>
      </c>
      <c r="F1967" s="336">
        <v>7</v>
      </c>
      <c r="G1967" s="63" t="s">
        <v>1433</v>
      </c>
      <c r="H1967" s="349">
        <v>45408</v>
      </c>
      <c r="I1967" s="65" t="s">
        <v>76</v>
      </c>
      <c r="J1967" s="65" t="s">
        <v>35</v>
      </c>
      <c r="K1967" s="63" t="s">
        <v>1483</v>
      </c>
      <c r="L1967" s="63" t="s">
        <v>4788</v>
      </c>
      <c r="M1967" s="63" t="s">
        <v>723</v>
      </c>
      <c r="N1967" s="63" t="s">
        <v>5421</v>
      </c>
      <c r="O1967" s="233" t="str">
        <f ca="1">IF(H1967&lt;&gt;"",IF(H1967&lt;=TODAY(),"SI","NO"),"LIMBO")</f>
        <v>SI</v>
      </c>
      <c r="P1967" s="233" t="str">
        <f>IF($P$1=H1967,"DIASOL", "DIANOSOL")</f>
        <v>DIASOL</v>
      </c>
      <c r="Q1967" s="63" t="s">
        <v>902</v>
      </c>
      <c r="R1967" s="63" t="str">
        <f>VLOOKUP($Q1967,Resultados!$A$1:$B$49,2,FALSE)</f>
        <v>Juicio Abreviado</v>
      </c>
      <c r="S1967" s="63"/>
      <c r="T1967" s="508" t="str">
        <f>IF(G1967=$J$1,"SI","NO")</f>
        <v>NO</v>
      </c>
      <c r="U1967" s="508"/>
      <c r="V1967" s="7" t="str">
        <f ca="1">IF(color_Celda(E1967)=12106214,"ROSA",IF(color_Celda(E1967)=65535,"AMARILLO",IF(color_Celda(E1967)=5296274,"VERDE",IF(color_Celda(E1967)=16777215,"BLANCO","NO SE"))))</f>
        <v>ROSA</v>
      </c>
      <c r="W1967" s="336"/>
      <c r="X1967" s="336"/>
      <c r="Y1967" s="336"/>
      <c r="Z1967" s="336" t="s">
        <v>770</v>
      </c>
      <c r="AA1967" s="336" t="s">
        <v>3378</v>
      </c>
      <c r="AB1967" s="63" t="s">
        <v>3258</v>
      </c>
      <c r="AC1967" s="336"/>
    </row>
    <row r="1968" spans="1:29" ht="60" customHeight="1">
      <c r="A1968" s="336">
        <v>1967</v>
      </c>
      <c r="B1968" s="349">
        <v>45394</v>
      </c>
      <c r="C1968" s="568">
        <v>0.48958333333333331</v>
      </c>
      <c r="D1968" s="63" t="s">
        <v>7106</v>
      </c>
      <c r="E1968" s="64" t="s">
        <v>7155</v>
      </c>
      <c r="F1968" s="336">
        <v>7</v>
      </c>
      <c r="G1968" s="63" t="s">
        <v>2766</v>
      </c>
      <c r="H1968" s="349">
        <v>45408</v>
      </c>
      <c r="I1968" s="65" t="s">
        <v>76</v>
      </c>
      <c r="J1968" s="65" t="s">
        <v>31</v>
      </c>
      <c r="K1968" s="336">
        <f>IFERROR(VLOOKUP(J1968,Jueces!$A$1:$B$11,2,FALSE),"")</f>
        <v>2</v>
      </c>
      <c r="L1968" s="63" t="s">
        <v>806</v>
      </c>
      <c r="M1968" s="63" t="s">
        <v>725</v>
      </c>
      <c r="N1968" s="63" t="s">
        <v>7557</v>
      </c>
      <c r="O1968" s="167" t="str">
        <f ca="1">IF(H1968&lt;&gt;"",IF(H1968&lt;=TODAY(),"SI","NO"),"LIMBO")</f>
        <v>SI</v>
      </c>
      <c r="P1968" s="167" t="str">
        <f>IF($P$1=H1968,"DIASOL", "DIANOSOL")</f>
        <v>DIASOL</v>
      </c>
      <c r="Q1968" s="63" t="s">
        <v>1010</v>
      </c>
      <c r="R1968" s="63" t="str">
        <f>VLOOKUP($Q1968,Resultados!$A$1:$B$49,2,FALSE)</f>
        <v>Suspendida</v>
      </c>
      <c r="S1968" s="63"/>
      <c r="T1968" s="414" t="str">
        <f>IF(G1968=$J$1,"SI","NO")</f>
        <v>NO</v>
      </c>
      <c r="U1968" s="414"/>
      <c r="V1968" s="7" t="str">
        <f ca="1">IF(color_Celda(E1968)=12106214,"ROSA",IF(color_Celda(E1968)=65535,"AMARILLO",IF(color_Celda(E1968)=5296274,"VERDE",IF(color_Celda(E1968)=16777215,"BLANCO","NO SE"))))</f>
        <v>ROSA</v>
      </c>
      <c r="W1968" s="336"/>
      <c r="X1968" s="336"/>
      <c r="Y1968" s="336"/>
      <c r="Z1968" s="336" t="s">
        <v>770</v>
      </c>
      <c r="AA1968" s="336" t="s">
        <v>3378</v>
      </c>
      <c r="AB1968" s="63" t="s">
        <v>1171</v>
      </c>
      <c r="AC1968" s="336"/>
    </row>
    <row r="1969" spans="1:29" ht="60" customHeight="1">
      <c r="A1969" s="336">
        <v>1965</v>
      </c>
      <c r="B1969" s="349">
        <v>45394</v>
      </c>
      <c r="C1969" s="568">
        <v>0.47986111111111113</v>
      </c>
      <c r="D1969" s="63" t="s">
        <v>7103</v>
      </c>
      <c r="E1969" s="64" t="s">
        <v>7104</v>
      </c>
      <c r="F1969" s="336">
        <v>8</v>
      </c>
      <c r="G1969" s="63" t="s">
        <v>2815</v>
      </c>
      <c r="H1969" s="349">
        <v>45408</v>
      </c>
      <c r="I1969" s="65" t="s">
        <v>75</v>
      </c>
      <c r="J1969" s="65" t="s">
        <v>33</v>
      </c>
      <c r="K1969" s="336">
        <v>4</v>
      </c>
      <c r="L1969" s="63" t="s">
        <v>789</v>
      </c>
      <c r="M1969" s="63" t="s">
        <v>723</v>
      </c>
      <c r="N1969" s="63" t="s">
        <v>3046</v>
      </c>
      <c r="O1969" s="167" t="str">
        <f ca="1">IF(H1969&lt;&gt;"",IF(H1969&lt;=TODAY(),"SI","NO"),"LIMBO")</f>
        <v>SI</v>
      </c>
      <c r="P1969" s="167" t="str">
        <f>IF($P$1=H1969,"DIASOL", "DIANOSOL")</f>
        <v>DIASOL</v>
      </c>
      <c r="Q1969" s="63" t="s">
        <v>903</v>
      </c>
      <c r="R1969" s="63" t="str">
        <f>VLOOKUP($Q1969,Resultados!$A$1:$B$49,2,FALSE)</f>
        <v>Juicio Abreviado</v>
      </c>
      <c r="S1969" s="63"/>
      <c r="T1969" s="414" t="str">
        <f>IF(G1969=$J$1,"SI","NO")</f>
        <v>NO</v>
      </c>
      <c r="U1969" s="414"/>
      <c r="V1969" s="7" t="str">
        <f ca="1">IF(color_Celda(E1969)=12106214,"ROSA",IF(color_Celda(E1969)=65535,"AMARILLO",IF(color_Celda(E1969)=5296274,"VERDE",IF(color_Celda(E1969)=16777215,"BLANCO","NO SE"))))</f>
        <v>ROSA</v>
      </c>
      <c r="W1969" s="336"/>
      <c r="X1969" s="336"/>
      <c r="Y1969" s="336"/>
      <c r="Z1969" s="336" t="s">
        <v>3368</v>
      </c>
      <c r="AA1969" s="336" t="s">
        <v>2869</v>
      </c>
      <c r="AB1969" s="63" t="s">
        <v>1170</v>
      </c>
      <c r="AC1969" s="336"/>
    </row>
    <row r="1970" spans="1:29" ht="60" customHeight="1">
      <c r="A1970" s="336">
        <v>1960</v>
      </c>
      <c r="B1970" s="349">
        <v>45394</v>
      </c>
      <c r="C1970" s="568">
        <v>0.4236111111111111</v>
      </c>
      <c r="D1970" s="63" t="s">
        <v>7094</v>
      </c>
      <c r="E1970" s="64" t="s">
        <v>7095</v>
      </c>
      <c r="F1970" s="336">
        <v>7</v>
      </c>
      <c r="G1970" s="336" t="s">
        <v>283</v>
      </c>
      <c r="H1970" s="349">
        <v>45408</v>
      </c>
      <c r="I1970" s="65" t="s">
        <v>75</v>
      </c>
      <c r="J1970" s="349" t="s">
        <v>78</v>
      </c>
      <c r="K1970" s="336">
        <f>IFERROR(VLOOKUP(J1970,Jueces!$A$1:$B$11,2,FALSE),"")</f>
        <v>8</v>
      </c>
      <c r="L1970" s="63" t="s">
        <v>4789</v>
      </c>
      <c r="M1970" s="63" t="s">
        <v>725</v>
      </c>
      <c r="N1970" s="63" t="s">
        <v>7558</v>
      </c>
      <c r="O1970" s="78" t="str">
        <f ca="1">IF(H1970&lt;&gt;"",IF(H1970&lt;=TODAY(),"SI","NO"),"LIMBO")</f>
        <v>SI</v>
      </c>
      <c r="P1970" s="78" t="str">
        <f>IF($P$1=H1970,"DIASOL", "DIANOSOL")</f>
        <v>DIASOL</v>
      </c>
      <c r="Q1970" s="63" t="s">
        <v>902</v>
      </c>
      <c r="R1970" s="63" t="str">
        <f>VLOOKUP($Q1970,Resultados!$A$1:$B$49,2,FALSE)</f>
        <v>Juicio Abreviado</v>
      </c>
      <c r="S1970" s="63"/>
      <c r="T1970" s="81" t="str">
        <f>IF(G1970=$J$1,"SI","NO")</f>
        <v>NO</v>
      </c>
      <c r="U1970" s="81"/>
      <c r="V1970" s="7" t="str">
        <f ca="1">IF(color_Celda(E1970)=12106214,"ROSA",IF(color_Celda(E1970)=65535,"AMARILLO",IF(color_Celda(E1970)=5296274,"VERDE",IF(color_Celda(E1970)=16777215,"BLANCO","NO SE"))))</f>
        <v>ROSA</v>
      </c>
      <c r="W1970" s="336"/>
      <c r="X1970" s="336"/>
      <c r="Y1970" s="336"/>
      <c r="Z1970" s="336" t="s">
        <v>748</v>
      </c>
      <c r="AA1970" s="336" t="s">
        <v>2869</v>
      </c>
      <c r="AB1970" s="63" t="s">
        <v>1169</v>
      </c>
      <c r="AC1970" s="336"/>
    </row>
    <row r="1971" spans="1:29" ht="60" customHeight="1">
      <c r="A1971" s="336">
        <v>1934</v>
      </c>
      <c r="B1971" s="349">
        <v>45392</v>
      </c>
      <c r="C1971" s="568">
        <v>0.33333333333333331</v>
      </c>
      <c r="D1971" s="63" t="s">
        <v>7035</v>
      </c>
      <c r="E1971" s="64" t="s">
        <v>7036</v>
      </c>
      <c r="F1971" s="336">
        <v>8</v>
      </c>
      <c r="G1971" s="336" t="s">
        <v>3791</v>
      </c>
      <c r="H1971" s="349">
        <v>45408</v>
      </c>
      <c r="I1971" s="349" t="s">
        <v>77</v>
      </c>
      <c r="J1971" s="349" t="s">
        <v>1217</v>
      </c>
      <c r="K1971" s="63" t="s">
        <v>2324</v>
      </c>
      <c r="L1971" s="63" t="s">
        <v>4789</v>
      </c>
      <c r="M1971" s="63" t="s">
        <v>723</v>
      </c>
      <c r="N1971" s="63" t="s">
        <v>7559</v>
      </c>
      <c r="O1971" s="167" t="str">
        <f ca="1">IF(H1971&lt;&gt;"",IF(H1971&lt;=TODAY(),"SI","NO"),"LIMBO")</f>
        <v>SI</v>
      </c>
      <c r="P1971" s="167" t="str">
        <f>IF($P$1=H1971,"DIASOL", "DIANOSOL")</f>
        <v>DIASOL</v>
      </c>
      <c r="Q1971" s="63" t="s">
        <v>902</v>
      </c>
      <c r="R1971" s="63" t="str">
        <f>VLOOKUP($Q1971,Resultados!$A$1:$B$49,2,FALSE)</f>
        <v>Juicio Abreviado</v>
      </c>
      <c r="S1971" s="63"/>
      <c r="T1971" s="414" t="str">
        <f>IF(G1971=$J$1,"SI","NO")</f>
        <v>NO</v>
      </c>
      <c r="U1971" s="414"/>
      <c r="V1971" s="7" t="str">
        <f ca="1">IF(color_Celda(E1971)=12106214,"ROSA",IF(color_Celda(E1971)=65535,"AMARILLO",IF(color_Celda(E1971)=5296274,"VERDE",IF(color_Celda(E1971)=16777215,"BLANCO","NO SE"))))</f>
        <v>ROSA</v>
      </c>
      <c r="W1971" s="336"/>
      <c r="X1971" s="336"/>
      <c r="Y1971" s="336"/>
      <c r="Z1971" s="336" t="s">
        <v>748</v>
      </c>
      <c r="AA1971" s="63" t="s">
        <v>1165</v>
      </c>
      <c r="AB1971" s="63" t="s">
        <v>3258</v>
      </c>
      <c r="AC1971" s="336"/>
    </row>
    <row r="1972" spans="1:29" ht="60" customHeight="1">
      <c r="A1972" s="336">
        <v>2057</v>
      </c>
      <c r="B1972" s="349">
        <v>45392</v>
      </c>
      <c r="C1972" s="568">
        <v>0.41805555555555557</v>
      </c>
      <c r="D1972" s="336" t="s">
        <v>7040</v>
      </c>
      <c r="E1972" s="355" t="s">
        <v>7041</v>
      </c>
      <c r="F1972" s="336">
        <v>7</v>
      </c>
      <c r="G1972" s="336" t="s">
        <v>3791</v>
      </c>
      <c r="H1972" s="383">
        <v>45408</v>
      </c>
      <c r="I1972" s="65" t="s">
        <v>228</v>
      </c>
      <c r="J1972" s="349" t="s">
        <v>31</v>
      </c>
      <c r="K1972" s="336">
        <v>2</v>
      </c>
      <c r="L1972" s="63" t="s">
        <v>582</v>
      </c>
      <c r="M1972" s="63" t="s">
        <v>725</v>
      </c>
      <c r="N1972" s="63" t="s">
        <v>577</v>
      </c>
      <c r="O1972" s="78" t="str">
        <f ca="1">IF(H1972&lt;&gt;"",IF(H1972&lt;=TODAY(),"SI","NO"),"LIMBO")</f>
        <v>SI</v>
      </c>
      <c r="P1972" s="78" t="str">
        <f>IF($P$1=H1972,"DIASOL", "DIANOSOL")</f>
        <v>DIASOL</v>
      </c>
      <c r="Q1972" s="63" t="s">
        <v>151</v>
      </c>
      <c r="R1972" s="63" t="str">
        <f>VLOOKUP($Q1972,Resultados!$A$1:$B$49,2,FALSE)</f>
        <v>Prisión Preventiva</v>
      </c>
      <c r="S1972" s="63"/>
      <c r="T1972" s="81" t="str">
        <f>IF(G1972=$J$1,"SI","NO")</f>
        <v>NO</v>
      </c>
      <c r="U1972" s="81"/>
      <c r="V1972" s="85" t="str">
        <f ca="1">IF(color_Celda(E1972)=12106214,"ROSA",IF(color_Celda(E1972)=65535,"AMARILLO",IF(color_Celda(E1972)=5296274,"VERDE",IF(color_Celda(E1972)=16777215,"BLANCO","NO SE"))))</f>
        <v>ROSA</v>
      </c>
      <c r="W1972" s="336"/>
      <c r="X1972" s="336"/>
      <c r="Y1972" s="336"/>
      <c r="Z1972" s="336" t="s">
        <v>3368</v>
      </c>
      <c r="AA1972" s="336"/>
      <c r="AB1972" s="63" t="s">
        <v>1171</v>
      </c>
      <c r="AC1972" s="336"/>
    </row>
    <row r="1973" spans="1:29" ht="60" customHeight="1">
      <c r="A1973" s="75">
        <v>2045</v>
      </c>
      <c r="B1973" s="77">
        <v>45392</v>
      </c>
      <c r="C1973" s="696">
        <v>0.42638888888888887</v>
      </c>
      <c r="D1973" s="75" t="s">
        <v>7043</v>
      </c>
      <c r="E1973" s="347" t="s">
        <v>7042</v>
      </c>
      <c r="F1973" s="75">
        <v>7</v>
      </c>
      <c r="G1973" s="78" t="s">
        <v>3324</v>
      </c>
      <c r="H1973" s="424">
        <v>45411</v>
      </c>
      <c r="I1973" s="80">
        <v>0.5</v>
      </c>
      <c r="J1973" s="80" t="s">
        <v>33</v>
      </c>
      <c r="K1973" s="75">
        <f>IFERROR(VLOOKUP(J1973,Jueces!$A$1:$B$11,2,FALSE),"")</f>
        <v>4</v>
      </c>
      <c r="L1973" s="78" t="s">
        <v>4788</v>
      </c>
      <c r="M1973" s="78" t="s">
        <v>725</v>
      </c>
      <c r="N1973" s="75"/>
      <c r="O1973" s="78" t="str">
        <f ca="1">IF(H1973&lt;&gt;"",IF(H1973&lt;=TODAY(),"SI","NO"),"LIMBO")</f>
        <v>NO</v>
      </c>
      <c r="P1973" s="78" t="str">
        <f>IF($P$1=H1973,"DIASOL", "DIANOSOL")</f>
        <v>DIANOSOL</v>
      </c>
      <c r="Q1973" s="78" t="s">
        <v>949</v>
      </c>
      <c r="R1973" s="78" t="str">
        <f>VLOOKUP($Q1973,Resultados!$A$1:$B$49,2,FALSE)</f>
        <v xml:space="preserve"> _</v>
      </c>
      <c r="S1973" s="78"/>
      <c r="T1973" s="81" t="str">
        <f>IF(G1973=$J$1,"SI","NO")</f>
        <v>NO</v>
      </c>
      <c r="U1973" s="81"/>
      <c r="V1973" s="85" t="str">
        <f ca="1">IF(color_Celda(E1973)=12106214,"ROSA",IF(color_Celda(E1973)=65535,"AMARILLO",IF(color_Celda(E1973)=5296274,"VERDE",IF(color_Celda(E1973)=16777215,"BLANCO","NO SE"))))</f>
        <v>BLANCO</v>
      </c>
      <c r="W1973" s="75"/>
      <c r="X1973" s="75"/>
      <c r="Y1973" s="75"/>
      <c r="Z1973" s="75"/>
      <c r="AA1973" s="78" t="s">
        <v>1167</v>
      </c>
      <c r="AB1973" s="75"/>
      <c r="AC1973" s="75"/>
    </row>
    <row r="1974" spans="1:29" ht="60" customHeight="1">
      <c r="A1974" s="75">
        <v>1924</v>
      </c>
      <c r="B1974" s="77">
        <v>45391</v>
      </c>
      <c r="C1974" s="696">
        <v>0.375</v>
      </c>
      <c r="D1974" s="325" t="s">
        <v>7017</v>
      </c>
      <c r="E1974" s="576" t="s">
        <v>7016</v>
      </c>
      <c r="F1974" s="75">
        <v>7</v>
      </c>
      <c r="G1974" s="78" t="s">
        <v>1434</v>
      </c>
      <c r="H1974" s="77">
        <v>45411</v>
      </c>
      <c r="I1974" s="80" t="s">
        <v>73</v>
      </c>
      <c r="J1974" s="80" t="s">
        <v>1217</v>
      </c>
      <c r="K1974" s="78" t="s">
        <v>3779</v>
      </c>
      <c r="L1974" s="78" t="s">
        <v>4785</v>
      </c>
      <c r="M1974" s="570" t="s">
        <v>7018</v>
      </c>
      <c r="N1974" s="78" t="s">
        <v>7028</v>
      </c>
      <c r="O1974" s="78" t="str">
        <f ca="1">IF(H1974&lt;&gt;"",IF(H1974&lt;=TODAY(),"SI","NO"),"LIMBO")</f>
        <v>NO</v>
      </c>
      <c r="P1974" s="78" t="str">
        <f>IF($P$1=H1974,"DIASOL", "DIANOSOL")</f>
        <v>DIANOSOL</v>
      </c>
      <c r="Q1974" s="78" t="s">
        <v>949</v>
      </c>
      <c r="R1974" s="78" t="str">
        <f>VLOOKUP($Q1974,Resultados!$A$1:$B$49,2,FALSE)</f>
        <v xml:space="preserve"> _</v>
      </c>
      <c r="S1974" s="78"/>
      <c r="T1974" s="81" t="str">
        <f>IF(G1974=$J$1,"SI","NO")</f>
        <v>NO</v>
      </c>
      <c r="U1974" s="81"/>
      <c r="V1974" s="7" t="str">
        <f ca="1">IF(color_Celda(E1974)=12106214,"ROSA",IF(color_Celda(E1974)=65535,"AMARILLO",IF(color_Celda(E1974)=5296274,"VERDE",IF(color_Celda(E1974)=16777215,"BLANCO","NO SE"))))</f>
        <v>BLANCO</v>
      </c>
      <c r="W1974" s="75"/>
      <c r="X1974" s="75"/>
      <c r="Y1974" s="75"/>
      <c r="Z1974" s="75"/>
      <c r="AA1974" s="78" t="s">
        <v>7150</v>
      </c>
      <c r="AB1974" s="75"/>
      <c r="AC1974" s="75" t="s">
        <v>1792</v>
      </c>
    </row>
    <row r="1975" spans="1:29" ht="60" customHeight="1">
      <c r="A1975" s="510">
        <v>1954</v>
      </c>
      <c r="B1975" s="511">
        <v>45393</v>
      </c>
      <c r="C1975" s="606">
        <v>0.45763888888888887</v>
      </c>
      <c r="D1975" s="512" t="s">
        <v>7074</v>
      </c>
      <c r="E1975" s="513" t="s">
        <v>7075</v>
      </c>
      <c r="F1975" s="510">
        <v>8</v>
      </c>
      <c r="G1975" s="510" t="s">
        <v>568</v>
      </c>
      <c r="H1975" s="511">
        <v>45411</v>
      </c>
      <c r="I1975" s="511" t="s">
        <v>73</v>
      </c>
      <c r="J1975" s="511" t="s">
        <v>31</v>
      </c>
      <c r="K1975" s="510">
        <f>IFERROR(VLOOKUP(J1975,Jueces!$A$1:$B$11,2,FALSE),"")</f>
        <v>2</v>
      </c>
      <c r="L1975" s="512" t="s">
        <v>4790</v>
      </c>
      <c r="M1975" s="512" t="s">
        <v>723</v>
      </c>
      <c r="N1975" s="510"/>
      <c r="O1975" s="233" t="str">
        <f ca="1">IF(H1975&lt;&gt;"",IF(H1975&lt;=TODAY(),"SI","NO"),"LIMBO")</f>
        <v>NO</v>
      </c>
      <c r="P1975" s="233" t="str">
        <f>IF($P$1=H1975,"DIASOL", "DIANOSOL")</f>
        <v>DIANOSOL</v>
      </c>
      <c r="Q1975" s="512" t="s">
        <v>949</v>
      </c>
      <c r="R1975" s="512" t="str">
        <f>VLOOKUP($Q1975,Resultados!$A$1:$B$49,2,FALSE)</f>
        <v xml:space="preserve"> _</v>
      </c>
      <c r="S1975" s="512"/>
      <c r="T1975" s="508" t="str">
        <f>IF(G1975=$J$1,"SI","NO")</f>
        <v>NO</v>
      </c>
      <c r="U1975" s="508"/>
      <c r="V1975" s="7" t="str">
        <f ca="1">IF(color_Celda(E1975)=12106214,"ROSA",IF(color_Celda(E1975)=65535,"AMARILLO",IF(color_Celda(E1975)=5296274,"VERDE",IF(color_Celda(E1975)=16777215,"BLANCO","NO SE"))))</f>
        <v>BLANCO</v>
      </c>
      <c r="W1975" s="510"/>
      <c r="X1975" s="510"/>
      <c r="Y1975" s="510"/>
      <c r="Z1975" s="510"/>
      <c r="AA1975" s="510" t="s">
        <v>3379</v>
      </c>
      <c r="AB1975" s="510"/>
      <c r="AC1975" s="510"/>
    </row>
    <row r="1976" spans="1:29" ht="60" customHeight="1">
      <c r="A1976" s="510">
        <v>1966</v>
      </c>
      <c r="B1976" s="511">
        <v>45394</v>
      </c>
      <c r="C1976" s="606">
        <v>0.52430555555555558</v>
      </c>
      <c r="D1976" s="512" t="s">
        <v>7105</v>
      </c>
      <c r="E1976" s="513" t="s">
        <v>7184</v>
      </c>
      <c r="F1976" s="510">
        <v>8</v>
      </c>
      <c r="G1976" s="512" t="s">
        <v>1435</v>
      </c>
      <c r="H1976" s="511">
        <v>45411</v>
      </c>
      <c r="I1976" s="514" t="s">
        <v>73</v>
      </c>
      <c r="J1976" s="514" t="s">
        <v>78</v>
      </c>
      <c r="K1976" s="510">
        <f>IFERROR(VLOOKUP(J1976,Jueces!$A$1:$B$11,2,FALSE),"")</f>
        <v>8</v>
      </c>
      <c r="L1976" s="512" t="s">
        <v>4789</v>
      </c>
      <c r="M1976" s="512" t="s">
        <v>767</v>
      </c>
      <c r="N1976" s="510"/>
      <c r="O1976" s="233" t="str">
        <f ca="1">IF(H1976&lt;&gt;"",IF(H1976&lt;=TODAY(),"SI","NO"),"LIMBO")</f>
        <v>NO</v>
      </c>
      <c r="P1976" s="233" t="str">
        <f>IF($P$1=H1976,"DIASOL", "DIANOSOL")</f>
        <v>DIANOSOL</v>
      </c>
      <c r="Q1976" s="512" t="s">
        <v>949</v>
      </c>
      <c r="R1976" s="512" t="str">
        <f>VLOOKUP($Q1976,Resultados!$A$1:$B$49,2,FALSE)</f>
        <v xml:space="preserve"> _</v>
      </c>
      <c r="S1976" s="512"/>
      <c r="T1976" s="508" t="str">
        <f>IF(G1976=$J$1,"SI","NO")</f>
        <v>SI</v>
      </c>
      <c r="U1976" s="508"/>
      <c r="V1976" s="7" t="str">
        <f ca="1">IF(color_Celda(E1976)=12106214,"ROSA",IF(color_Celda(E1976)=65535,"AMARILLO",IF(color_Celda(E1976)=5296274,"VERDE",IF(color_Celda(E1976)=16777215,"BLANCO","NO SE"))))</f>
        <v>BLANCO</v>
      </c>
      <c r="W1976" s="510"/>
      <c r="X1976" s="510"/>
      <c r="Y1976" s="510"/>
      <c r="Z1976" s="510"/>
      <c r="AA1976" s="510" t="s">
        <v>2869</v>
      </c>
      <c r="AB1976" s="510"/>
      <c r="AC1976" s="510"/>
    </row>
    <row r="1977" spans="1:29" ht="60" customHeight="1">
      <c r="A1977" s="510">
        <v>1974</v>
      </c>
      <c r="B1977" s="511">
        <v>45397</v>
      </c>
      <c r="C1977" s="606">
        <v>0.35000000000000003</v>
      </c>
      <c r="D1977" s="512" t="s">
        <v>7158</v>
      </c>
      <c r="E1977" s="520" t="s">
        <v>7146</v>
      </c>
      <c r="F1977" s="510">
        <v>7</v>
      </c>
      <c r="G1977" s="512" t="s">
        <v>29</v>
      </c>
      <c r="H1977" s="511">
        <v>45411</v>
      </c>
      <c r="I1977" s="514" t="s">
        <v>73</v>
      </c>
      <c r="J1977" s="514" t="s">
        <v>35</v>
      </c>
      <c r="K1977" s="510">
        <f>IFERROR(VLOOKUP(J1977,Jueces!$A$1:$B$11,2,FALSE),"")</f>
        <v>3</v>
      </c>
      <c r="L1977" s="512" t="s">
        <v>805</v>
      </c>
      <c r="M1977" s="512" t="s">
        <v>725</v>
      </c>
      <c r="N1977" s="512" t="s">
        <v>7159</v>
      </c>
      <c r="O1977" s="167" t="str">
        <f ca="1">IF(H1977&lt;&gt;"",IF(H1977&lt;=TODAY(),"SI","NO"),"LIMBO")</f>
        <v>NO</v>
      </c>
      <c r="P1977" s="167" t="str">
        <f>IF($P$1=H1977,"DIASOL", "DIANOSOL")</f>
        <v>DIANOSOL</v>
      </c>
      <c r="Q1977" s="512" t="s">
        <v>949</v>
      </c>
      <c r="R1977" s="512" t="str">
        <f>VLOOKUP($Q1977,Resultados!$A$1:$B$49,2,FALSE)</f>
        <v xml:space="preserve"> _</v>
      </c>
      <c r="S1977" s="512"/>
      <c r="T1977" s="414" t="str">
        <f>IF(G1977=$J$1,"SI","NO")</f>
        <v>NO</v>
      </c>
      <c r="U1977" s="414"/>
      <c r="V1977" s="7" t="str">
        <f ca="1">IF(color_Celda(E1977)=12106214,"ROSA",IF(color_Celda(E1977)=65535,"AMARILLO",IF(color_Celda(E1977)=5296274,"VERDE",IF(color_Celda(E1977)=16777215,"BLANCO","NO SE"))))</f>
        <v>BLANCO</v>
      </c>
      <c r="W1977" s="510"/>
      <c r="X1977" s="510"/>
      <c r="Y1977" s="510"/>
      <c r="Z1977" s="510"/>
      <c r="AA1977" s="510" t="s">
        <v>1165</v>
      </c>
      <c r="AB1977" s="510"/>
      <c r="AC1977" s="510"/>
    </row>
    <row r="1978" spans="1:29" ht="60" customHeight="1">
      <c r="A1978" s="510">
        <v>1973</v>
      </c>
      <c r="B1978" s="511">
        <v>45397</v>
      </c>
      <c r="C1978" s="512" t="s">
        <v>73</v>
      </c>
      <c r="D1978" s="512" t="s">
        <v>7226</v>
      </c>
      <c r="E1978" s="513" t="s">
        <v>7145</v>
      </c>
      <c r="F1978" s="510">
        <v>7</v>
      </c>
      <c r="G1978" s="512" t="s">
        <v>1433</v>
      </c>
      <c r="H1978" s="511">
        <v>45411</v>
      </c>
      <c r="I1978" s="514" t="s">
        <v>76</v>
      </c>
      <c r="J1978" s="514" t="s">
        <v>31</v>
      </c>
      <c r="K1978" s="512" t="s">
        <v>1483</v>
      </c>
      <c r="L1978" s="512" t="s">
        <v>4789</v>
      </c>
      <c r="M1978" s="512" t="s">
        <v>2201</v>
      </c>
      <c r="N1978" s="510"/>
      <c r="O1978" s="167" t="str">
        <f ca="1">IF(H1978&lt;&gt;"",IF(H1978&lt;=TODAY(),"SI","NO"),"LIMBO")</f>
        <v>NO</v>
      </c>
      <c r="P1978" s="167" t="str">
        <f>IF($P$1=H1978,"DIASOL", "DIANOSOL")</f>
        <v>DIANOSOL</v>
      </c>
      <c r="Q1978" s="512" t="s">
        <v>949</v>
      </c>
      <c r="R1978" s="512" t="str">
        <f>VLOOKUP($Q1978,Resultados!$A$1:$B$49,2,FALSE)</f>
        <v xml:space="preserve"> _</v>
      </c>
      <c r="S1978" s="512"/>
      <c r="T1978" s="414" t="str">
        <f>IF(G1978=$J$1,"SI","NO")</f>
        <v>NO</v>
      </c>
      <c r="U1978" s="414"/>
      <c r="V1978" s="7" t="str">
        <f ca="1">IF(color_Celda(E1978)=12106214,"ROSA",IF(color_Celda(E1978)=65535,"AMARILLO",IF(color_Celda(E1978)=5296274,"VERDE",IF(color_Celda(E1978)=16777215,"BLANCO","NO SE"))))</f>
        <v>BLANCO</v>
      </c>
      <c r="W1978" s="510"/>
      <c r="X1978" s="510"/>
      <c r="Y1978" s="510"/>
      <c r="Z1978" s="510"/>
      <c r="AA1978" s="510" t="s">
        <v>1167</v>
      </c>
      <c r="AB1978" s="510"/>
      <c r="AC1978" s="510"/>
    </row>
    <row r="1979" spans="1:29" ht="60" customHeight="1">
      <c r="A1979" s="510">
        <v>1980</v>
      </c>
      <c r="B1979" s="511">
        <v>45397</v>
      </c>
      <c r="C1979" s="606">
        <v>0.44236111111111115</v>
      </c>
      <c r="D1979" s="510" t="s">
        <v>7156</v>
      </c>
      <c r="E1979" s="520" t="s">
        <v>7157</v>
      </c>
      <c r="F1979" s="510">
        <v>7</v>
      </c>
      <c r="G1979" s="512" t="s">
        <v>3323</v>
      </c>
      <c r="H1979" s="511">
        <v>45411</v>
      </c>
      <c r="I1979" s="514" t="s">
        <v>76</v>
      </c>
      <c r="J1979" s="514" t="s">
        <v>78</v>
      </c>
      <c r="K1979" s="510">
        <f>IFERROR(VLOOKUP(J1979,Jueces!$A$1:$B$11,2,FALSE),"")</f>
        <v>8</v>
      </c>
      <c r="L1979" s="512" t="s">
        <v>4777</v>
      </c>
      <c r="M1979" s="512" t="s">
        <v>725</v>
      </c>
      <c r="N1979" s="510"/>
      <c r="O1979" s="233" t="str">
        <f ca="1">IF(H1979&lt;&gt;"",IF(H1979&lt;=TODAY(),"SI","NO"),"LIMBO")</f>
        <v>NO</v>
      </c>
      <c r="P1979" s="233" t="str">
        <f>IF($P$1=H1979,"DIASOL", "DIANOSOL")</f>
        <v>DIANOSOL</v>
      </c>
      <c r="Q1979" s="512" t="s">
        <v>949</v>
      </c>
      <c r="R1979" s="512" t="str">
        <f>VLOOKUP($Q1979,Resultados!$A$1:$B$49,2,FALSE)</f>
        <v xml:space="preserve"> _</v>
      </c>
      <c r="S1979" s="512"/>
      <c r="T1979" s="508" t="str">
        <f>IF(G1979=$J$1,"SI","NO")</f>
        <v>NO</v>
      </c>
      <c r="U1979" s="508"/>
      <c r="V1979" s="63" t="str">
        <f ca="1">IF(color_Celda(E1979)=12106214,"ROSA",IF(color_Celda(E1979)=65535,"AMARILLO",IF(color_Celda(E1979)=5296274,"VERDE",IF(color_Celda(E1979)=16777215,"BLANCO","NO SE"))))</f>
        <v>BLANCO</v>
      </c>
      <c r="W1979" s="510"/>
      <c r="X1979" s="510"/>
      <c r="Y1979" s="510"/>
      <c r="Z1979" s="510"/>
      <c r="AA1979" s="510" t="s">
        <v>3378</v>
      </c>
      <c r="AB1979" s="510"/>
      <c r="AC1979" s="510"/>
    </row>
    <row r="1980" spans="1:29" ht="60" customHeight="1">
      <c r="A1980" s="510">
        <v>1992</v>
      </c>
      <c r="B1980" s="511">
        <v>45398</v>
      </c>
      <c r="C1980" s="606">
        <v>0.45763888888888887</v>
      </c>
      <c r="D1980" s="512" t="s">
        <v>7219</v>
      </c>
      <c r="E1980" s="513" t="s">
        <v>7220</v>
      </c>
      <c r="F1980" s="510">
        <v>8</v>
      </c>
      <c r="G1980" s="510" t="s">
        <v>2766</v>
      </c>
      <c r="H1980" s="511">
        <v>45411</v>
      </c>
      <c r="I1980" s="511" t="s">
        <v>76</v>
      </c>
      <c r="J1980" s="511" t="s">
        <v>35</v>
      </c>
      <c r="K1980" s="510">
        <f>IFERROR(VLOOKUP(J1980,Jueces!$A$1:$B$11,2,FALSE),"")</f>
        <v>3</v>
      </c>
      <c r="L1980" s="512" t="s">
        <v>789</v>
      </c>
      <c r="M1980" s="512" t="s">
        <v>767</v>
      </c>
      <c r="N1980" s="510"/>
      <c r="O1980" s="167" t="str">
        <f ca="1">IF(H1980&lt;&gt;"",IF(H1980&lt;=TODAY(),"SI","NO"),"LIMBO")</f>
        <v>NO</v>
      </c>
      <c r="P1980" s="167" t="str">
        <f>IF($P$1=H1980,"DIASOL", "DIANOSOL")</f>
        <v>DIANOSOL</v>
      </c>
      <c r="Q1980" s="512" t="s">
        <v>949</v>
      </c>
      <c r="R1980" s="512" t="str">
        <f>VLOOKUP($Q1980,Resultados!$A$1:$B$49,2,FALSE)</f>
        <v xml:space="preserve"> _</v>
      </c>
      <c r="S1980" s="512"/>
      <c r="T1980" s="414" t="str">
        <f>IF(G1980=$J$1,"SI","NO")</f>
        <v>NO</v>
      </c>
      <c r="U1980" s="414"/>
      <c r="V1980" s="326" t="str">
        <f ca="1">IF(color_Celda(E1980)=12106214,"ROSA",IF(color_Celda(E1980)=65535,"AMARILLO",IF(color_Celda(E1980)=5296274,"VERDE",IF(color_Celda(E1980)=16777215,"BLANCO","NO SE"))))</f>
        <v>BLANCO</v>
      </c>
      <c r="W1980" s="510"/>
      <c r="X1980" s="510"/>
      <c r="Y1980" s="510"/>
      <c r="Z1980" s="510"/>
      <c r="AA1980" s="512" t="s">
        <v>2869</v>
      </c>
      <c r="AB1980" s="510"/>
      <c r="AC1980" s="510"/>
    </row>
    <row r="1981" spans="1:29" ht="60" customHeight="1">
      <c r="A1981" s="510">
        <v>1991</v>
      </c>
      <c r="B1981" s="511">
        <v>45398</v>
      </c>
      <c r="C1981" s="606">
        <v>0.45694444444444443</v>
      </c>
      <c r="D1981" s="512" t="s">
        <v>7217</v>
      </c>
      <c r="E1981" s="513" t="s">
        <v>7218</v>
      </c>
      <c r="F1981" s="510">
        <v>8</v>
      </c>
      <c r="G1981" s="510" t="s">
        <v>283</v>
      </c>
      <c r="H1981" s="511">
        <v>45411</v>
      </c>
      <c r="I1981" s="514" t="s">
        <v>76</v>
      </c>
      <c r="J1981" s="511" t="s">
        <v>33</v>
      </c>
      <c r="K1981" s="512" t="s">
        <v>4118</v>
      </c>
      <c r="L1981" s="512" t="s">
        <v>806</v>
      </c>
      <c r="M1981" s="512" t="s">
        <v>723</v>
      </c>
      <c r="N1981" s="510"/>
      <c r="O1981" s="167" t="str">
        <f ca="1">IF(H1981&lt;&gt;"",IF(H1981&lt;=TODAY(),"SI","NO"),"LIMBO")</f>
        <v>NO</v>
      </c>
      <c r="P1981" s="167" t="str">
        <f>IF($P$1=H1981,"DIASOL", "DIANOSOL")</f>
        <v>DIANOSOL</v>
      </c>
      <c r="Q1981" s="512" t="s">
        <v>949</v>
      </c>
      <c r="R1981" s="512" t="str">
        <f>VLOOKUP($Q1981,Resultados!$A$1:$B$49,2,FALSE)</f>
        <v xml:space="preserve"> _</v>
      </c>
      <c r="S1981" s="512"/>
      <c r="T1981" s="414" t="str">
        <f>IF(G1981=$J$1,"SI","NO")</f>
        <v>NO</v>
      </c>
      <c r="U1981" s="414"/>
      <c r="V1981" s="326" t="str">
        <f ca="1">IF(color_Celda(E1981)=12106214,"ROSA",IF(color_Celda(E1981)=65535,"AMARILLO",IF(color_Celda(E1981)=5296274,"VERDE",IF(color_Celda(E1981)=16777215,"BLANCO","NO SE"))))</f>
        <v>BLANCO</v>
      </c>
      <c r="W1981" s="510"/>
      <c r="X1981" s="510"/>
      <c r="Y1981" s="510"/>
      <c r="Z1981" s="510"/>
      <c r="AA1981" s="512" t="s">
        <v>2828</v>
      </c>
      <c r="AB1981" s="510"/>
      <c r="AC1981" s="510"/>
    </row>
    <row r="1982" spans="1:29" ht="60" customHeight="1">
      <c r="A1982" s="75">
        <v>1993</v>
      </c>
      <c r="B1982" s="77">
        <v>45398</v>
      </c>
      <c r="C1982" s="696">
        <v>0.50347222222222221</v>
      </c>
      <c r="D1982" s="78" t="s">
        <v>7228</v>
      </c>
      <c r="E1982" s="347" t="s">
        <v>7229</v>
      </c>
      <c r="F1982" s="75">
        <v>8</v>
      </c>
      <c r="G1982" s="75" t="s">
        <v>3791</v>
      </c>
      <c r="H1982" s="77">
        <v>45411</v>
      </c>
      <c r="I1982" s="80" t="s">
        <v>75</v>
      </c>
      <c r="J1982" s="77" t="s">
        <v>1221</v>
      </c>
      <c r="K1982" s="78" t="s">
        <v>1916</v>
      </c>
      <c r="L1982" s="78" t="s">
        <v>4791</v>
      </c>
      <c r="M1982" s="693" t="s">
        <v>7230</v>
      </c>
      <c r="N1982" s="75"/>
      <c r="O1982" s="78" t="str">
        <f ca="1">IF(H1982&lt;&gt;"",IF(H1982&lt;=TODAY(),"SI","NO"),"LIMBO")</f>
        <v>NO</v>
      </c>
      <c r="P1982" s="78" t="str">
        <f>IF($P$1=H1982,"DIASOL", "DIANOSOL")</f>
        <v>DIANOSOL</v>
      </c>
      <c r="Q1982" s="78" t="s">
        <v>949</v>
      </c>
      <c r="R1982" s="78" t="str">
        <f>VLOOKUP($Q1982,Resultados!$A$1:$B$49,2,FALSE)</f>
        <v xml:space="preserve"> _</v>
      </c>
      <c r="S1982" s="78"/>
      <c r="T1982" s="81" t="str">
        <f>IF(G1982=$J$1,"SI","NO")</f>
        <v>NO</v>
      </c>
      <c r="U1982" s="81"/>
      <c r="V1982" s="75" t="str">
        <f ca="1">IF(color_Celda(E1982)=12106214,"ROSA",IF(color_Celda(E1982)=65535,"AMARILLO",IF(color_Celda(E1982)=5296274,"VERDE",IF(color_Celda(E1982)=16777215,"BLANCO","NO SE"))))</f>
        <v>BLANCO</v>
      </c>
      <c r="W1982" s="75"/>
      <c r="X1982" s="75"/>
      <c r="Y1982" s="75"/>
      <c r="Z1982" s="75"/>
      <c r="AA1982" s="78" t="s">
        <v>3378</v>
      </c>
      <c r="AB1982" s="75"/>
      <c r="AC1982" s="75"/>
    </row>
    <row r="1983" spans="1:29" ht="60" customHeight="1">
      <c r="A1983" s="75">
        <v>2004</v>
      </c>
      <c r="B1983" s="77">
        <v>45154</v>
      </c>
      <c r="C1983" s="696" t="s">
        <v>2327</v>
      </c>
      <c r="D1983" s="75" t="s">
        <v>2328</v>
      </c>
      <c r="E1983" s="347" t="s">
        <v>7274</v>
      </c>
      <c r="F1983" s="75">
        <v>5</v>
      </c>
      <c r="G1983" s="78" t="s">
        <v>29</v>
      </c>
      <c r="H1983" s="424">
        <v>45412</v>
      </c>
      <c r="I1983" s="80" t="s">
        <v>73</v>
      </c>
      <c r="J1983" s="80" t="s">
        <v>33</v>
      </c>
      <c r="K1983" s="75">
        <f>IFERROR(VLOOKUP(J1983,Jueces!$A$1:$B$11,2,FALSE),"")</f>
        <v>4</v>
      </c>
      <c r="L1983" s="78" t="s">
        <v>569</v>
      </c>
      <c r="M1983" s="78" t="s">
        <v>6483</v>
      </c>
      <c r="N1983" s="78" t="s">
        <v>7275</v>
      </c>
      <c r="O1983" s="78" t="str">
        <f ca="1">IF(H1983&lt;&gt;"",IF(H1983&lt;=TODAY(),"SI","NO"),"LIMBO")</f>
        <v>NO</v>
      </c>
      <c r="P1983" s="78" t="str">
        <f>IF($P$1=H1983,"DIASOL", "DIANOSOL")</f>
        <v>DIANOSOL</v>
      </c>
      <c r="Q1983" s="78" t="s">
        <v>949</v>
      </c>
      <c r="R1983" s="78" t="str">
        <f>VLOOKUP($Q1983,Resultados!$A$1:$B$49,2,FALSE)</f>
        <v xml:space="preserve"> _</v>
      </c>
      <c r="S1983" s="78"/>
      <c r="T1983" s="81" t="str">
        <f>IF(G1983=$J$1,"SI","NO")</f>
        <v>NO</v>
      </c>
      <c r="U1983" s="81"/>
      <c r="V1983" s="75" t="str">
        <f ca="1">IF(color_Celda(E1983)=12106214,"ROSA",IF(color_Celda(E1983)=65535,"AMARILLO",IF(color_Celda(E1983)=5296274,"VERDE",IF(color_Celda(E1983)=16777215,"BLANCO","NO SE"))))</f>
        <v>BLANCO</v>
      </c>
      <c r="W1983" s="75"/>
      <c r="X1983" s="75"/>
      <c r="Y1983" s="75"/>
      <c r="Z1983" s="75"/>
      <c r="AA1983" s="75"/>
      <c r="AB1983" s="75"/>
      <c r="AC1983" s="75"/>
    </row>
    <row r="1984" spans="1:29" ht="60" customHeight="1">
      <c r="A1984" s="510">
        <v>1976</v>
      </c>
      <c r="B1984" s="511">
        <v>45397</v>
      </c>
      <c r="C1984" s="606">
        <v>0.3840277777777778</v>
      </c>
      <c r="D1984" s="510" t="s">
        <v>7148</v>
      </c>
      <c r="E1984" s="520" t="s">
        <v>7149</v>
      </c>
      <c r="F1984" s="510">
        <v>8</v>
      </c>
      <c r="G1984" s="512" t="s">
        <v>1434</v>
      </c>
      <c r="H1984" s="511">
        <v>45412</v>
      </c>
      <c r="I1984" s="514" t="s">
        <v>73</v>
      </c>
      <c r="J1984" s="514" t="s">
        <v>31</v>
      </c>
      <c r="K1984" s="510">
        <f>IFERROR(VLOOKUP(J1984,Jueces!$A$1:$B$11,2,FALSE),"")</f>
        <v>2</v>
      </c>
      <c r="L1984" s="512" t="s">
        <v>4790</v>
      </c>
      <c r="M1984" s="512" t="s">
        <v>767</v>
      </c>
      <c r="N1984" s="510"/>
      <c r="O1984" s="167" t="str">
        <f ca="1">IF(H1984&lt;&gt;"",IF(H1984&lt;=TODAY(),"SI","NO"),"LIMBO")</f>
        <v>NO</v>
      </c>
      <c r="P1984" s="167" t="str">
        <f>IF($P$1=H1984,"DIASOL", "DIANOSOL")</f>
        <v>DIANOSOL</v>
      </c>
      <c r="Q1984" s="512" t="s">
        <v>949</v>
      </c>
      <c r="R1984" s="512" t="str">
        <f>VLOOKUP($Q1984,Resultados!$A$1:$B$49,2,FALSE)</f>
        <v xml:space="preserve"> _</v>
      </c>
      <c r="S1984" s="512"/>
      <c r="T1984" s="414" t="str">
        <f>IF(G1984=$J$1,"SI","NO")</f>
        <v>NO</v>
      </c>
      <c r="U1984" s="414"/>
      <c r="V1984" s="63" t="str">
        <f ca="1">IF(color_Celda(E1984)=12106214,"ROSA",IF(color_Celda(E1984)=65535,"AMARILLO",IF(color_Celda(E1984)=5296274,"VERDE",IF(color_Celda(E1984)=16777215,"BLANCO","NO SE"))))</f>
        <v>BLANCO</v>
      </c>
      <c r="W1984" s="510"/>
      <c r="X1984" s="510"/>
      <c r="Y1984" s="510"/>
      <c r="Z1984" s="510"/>
      <c r="AA1984" s="510" t="s">
        <v>1167</v>
      </c>
      <c r="AB1984" s="510"/>
      <c r="AC1984" s="510"/>
    </row>
    <row r="1985" spans="1:29" ht="60" customHeight="1">
      <c r="A1985" s="510">
        <v>1981</v>
      </c>
      <c r="B1985" s="511">
        <v>45397</v>
      </c>
      <c r="C1985" s="606">
        <v>0.47013888888888888</v>
      </c>
      <c r="D1985" s="512" t="s">
        <v>7166</v>
      </c>
      <c r="E1985" s="513" t="s">
        <v>7167</v>
      </c>
      <c r="F1985" s="510">
        <v>7</v>
      </c>
      <c r="G1985" s="512" t="s">
        <v>568</v>
      </c>
      <c r="H1985" s="511">
        <v>45412</v>
      </c>
      <c r="I1985" s="514" t="s">
        <v>73</v>
      </c>
      <c r="J1985" s="514" t="s">
        <v>1217</v>
      </c>
      <c r="K1985" s="510">
        <f>IFERROR(VLOOKUP(J1985,Jueces!$A$1:$B$11,2,FALSE),"")</f>
        <v>7</v>
      </c>
      <c r="L1985" s="512" t="s">
        <v>791</v>
      </c>
      <c r="M1985" s="512" t="s">
        <v>725</v>
      </c>
      <c r="N1985" s="510"/>
      <c r="O1985" s="167" t="str">
        <f ca="1">IF(H1985&lt;&gt;"",IF(H1985&lt;=TODAY(),"SI","NO"),"LIMBO")</f>
        <v>NO</v>
      </c>
      <c r="P1985" s="167" t="str">
        <f>IF($P$1=H1985,"DIASOL", "DIANOSOL")</f>
        <v>DIANOSOL</v>
      </c>
      <c r="Q1985" s="512" t="s">
        <v>949</v>
      </c>
      <c r="R1985" s="512" t="str">
        <f>VLOOKUP($Q1985,Resultados!$A$1:$B$49,2,FALSE)</f>
        <v xml:space="preserve"> _</v>
      </c>
      <c r="S1985" s="512"/>
      <c r="T1985" s="414" t="str">
        <f>IF(G1985=$J$1,"SI","NO")</f>
        <v>NO</v>
      </c>
      <c r="U1985" s="414"/>
      <c r="V1985" s="63" t="str">
        <f ca="1">IF(color_Celda(E1985)=12106214,"ROSA",IF(color_Celda(E1985)=65535,"AMARILLO",IF(color_Celda(E1985)=5296274,"VERDE",IF(color_Celda(E1985)=16777215,"BLANCO","NO SE"))))</f>
        <v>BLANCO</v>
      </c>
      <c r="W1985" s="510"/>
      <c r="X1985" s="510"/>
      <c r="Y1985" s="510"/>
      <c r="Z1985" s="510"/>
      <c r="AA1985" s="512" t="s">
        <v>3379</v>
      </c>
      <c r="AB1985" s="510"/>
      <c r="AC1985" s="510"/>
    </row>
    <row r="1986" spans="1:29" ht="60" customHeight="1">
      <c r="A1986" s="75">
        <v>1996</v>
      </c>
      <c r="B1986" s="77">
        <v>45399</v>
      </c>
      <c r="C1986" s="696">
        <v>0.33333333333333331</v>
      </c>
      <c r="D1986" s="78" t="s">
        <v>7247</v>
      </c>
      <c r="E1986" s="347" t="s">
        <v>7248</v>
      </c>
      <c r="F1986" s="75">
        <v>7</v>
      </c>
      <c r="G1986" s="75" t="s">
        <v>2752</v>
      </c>
      <c r="H1986" s="77">
        <v>45412</v>
      </c>
      <c r="I1986" s="80" t="s">
        <v>749</v>
      </c>
      <c r="J1986" s="77" t="s">
        <v>1221</v>
      </c>
      <c r="K1986" s="75">
        <v>6</v>
      </c>
      <c r="L1986" s="78" t="s">
        <v>4777</v>
      </c>
      <c r="M1986" s="78" t="s">
        <v>723</v>
      </c>
      <c r="N1986" s="75"/>
      <c r="O1986" s="78" t="str">
        <f ca="1">IF(H1986&lt;&gt;"",IF(H1986&lt;=TODAY(),"SI","NO"),"LIMBO")</f>
        <v>NO</v>
      </c>
      <c r="P1986" s="78" t="str">
        <f>IF($P$1=H1986,"DIASOL", "DIANOSOL")</f>
        <v>DIANOSOL</v>
      </c>
      <c r="Q1986" s="78" t="s">
        <v>949</v>
      </c>
      <c r="R1986" s="78" t="str">
        <f>VLOOKUP($Q1986,Resultados!$A$1:$B$49,2,FALSE)</f>
        <v xml:space="preserve"> _</v>
      </c>
      <c r="S1986" s="78"/>
      <c r="T1986" s="81" t="str">
        <f>IF(G1986=$J$1,"SI","NO")</f>
        <v>NO</v>
      </c>
      <c r="U1986" s="81"/>
      <c r="V1986" s="75" t="str">
        <f ca="1">IF(color_Celda(E1986)=12106214,"ROSA",IF(color_Celda(E1986)=65535,"AMARILLO",IF(color_Celda(E1986)=5296274,"VERDE",IF(color_Celda(E1986)=16777215,"BLANCO","NO SE"))))</f>
        <v>BLANCO</v>
      </c>
      <c r="W1986" s="75"/>
      <c r="X1986" s="75"/>
      <c r="Y1986" s="75"/>
      <c r="Z1986" s="75"/>
      <c r="AA1986" s="78" t="s">
        <v>2828</v>
      </c>
      <c r="AB1986" s="75"/>
      <c r="AC1986" s="75"/>
    </row>
    <row r="1987" spans="1:29" ht="60" customHeight="1">
      <c r="A1987" s="75">
        <v>2003</v>
      </c>
      <c r="B1987" s="77">
        <v>45390</v>
      </c>
      <c r="C1987" s="696">
        <v>0.35555555555555557</v>
      </c>
      <c r="D1987" s="75" t="s">
        <v>6982</v>
      </c>
      <c r="E1987" s="347" t="s">
        <v>6983</v>
      </c>
      <c r="F1987" s="75">
        <v>5</v>
      </c>
      <c r="G1987" s="75" t="s">
        <v>3324</v>
      </c>
      <c r="H1987" s="424">
        <v>45412</v>
      </c>
      <c r="I1987" s="80" t="s">
        <v>76</v>
      </c>
      <c r="J1987" s="77" t="s">
        <v>78</v>
      </c>
      <c r="K1987" s="75">
        <v>8</v>
      </c>
      <c r="L1987" s="78" t="s">
        <v>569</v>
      </c>
      <c r="M1987" s="78" t="s">
        <v>4832</v>
      </c>
      <c r="N1987" s="78" t="s">
        <v>7273</v>
      </c>
      <c r="O1987" s="78" t="str">
        <f ca="1">IF(H1987&lt;&gt;"",IF(H1987&lt;=TODAY(),"SI","NO"),"LIMBO")</f>
        <v>NO</v>
      </c>
      <c r="P1987" s="78" t="str">
        <f>IF($P$1=H1987,"DIASOL", "DIANOSOL")</f>
        <v>DIANOSOL</v>
      </c>
      <c r="Q1987" s="78" t="s">
        <v>949</v>
      </c>
      <c r="R1987" s="78" t="str">
        <f>VLOOKUP($Q1987,Resultados!$A$1:$B$49,2,FALSE)</f>
        <v xml:space="preserve"> _</v>
      </c>
      <c r="S1987" s="78"/>
      <c r="T1987" s="81" t="str">
        <f>IF(G1987=$J$1,"SI","NO")</f>
        <v>NO</v>
      </c>
      <c r="U1987" s="81"/>
      <c r="V1987" s="75" t="str">
        <f ca="1">IF(color_Celda(E1987)=12106214,"ROSA",IF(color_Celda(E1987)=65535,"AMARILLO",IF(color_Celda(E1987)=5296274,"VERDE",IF(color_Celda(E1987)=16777215,"BLANCO","NO SE"))))</f>
        <v>BLANCO</v>
      </c>
      <c r="W1987" s="75"/>
      <c r="X1987" s="75"/>
      <c r="Y1987" s="75"/>
      <c r="Z1987" s="75"/>
      <c r="AA1987" s="78"/>
      <c r="AB1987" s="75"/>
      <c r="AC1987" s="75"/>
    </row>
    <row r="1988" spans="1:29" ht="60" customHeight="1">
      <c r="A1988" s="75">
        <v>1941</v>
      </c>
      <c r="B1988" s="77">
        <v>45392</v>
      </c>
      <c r="C1988" s="696">
        <v>0.51666666666666672</v>
      </c>
      <c r="D1988" s="78" t="s">
        <v>7046</v>
      </c>
      <c r="E1988" s="79" t="s">
        <v>7047</v>
      </c>
      <c r="F1988" s="75">
        <v>7</v>
      </c>
      <c r="G1988" s="75" t="s">
        <v>2766</v>
      </c>
      <c r="H1988" s="77">
        <v>45412</v>
      </c>
      <c r="I1988" s="77" t="s">
        <v>76</v>
      </c>
      <c r="J1988" s="77" t="s">
        <v>1217</v>
      </c>
      <c r="K1988" s="75">
        <v>7</v>
      </c>
      <c r="L1988" s="78" t="s">
        <v>4767</v>
      </c>
      <c r="M1988" s="78" t="s">
        <v>694</v>
      </c>
      <c r="N1988" s="296" t="s">
        <v>7288</v>
      </c>
      <c r="O1988" s="78" t="str">
        <f ca="1">IF(H1988&lt;&gt;"",IF(H1988&lt;=TODAY(),"SI","NO"),"LIMBO")</f>
        <v>NO</v>
      </c>
      <c r="P1988" s="78" t="str">
        <f>IF($P$1=H1988,"DIASOL", "DIANOSOL")</f>
        <v>DIANOSOL</v>
      </c>
      <c r="Q1988" s="78" t="s">
        <v>949</v>
      </c>
      <c r="R1988" s="78" t="str">
        <f>VLOOKUP($Q1988,Resultados!$A$1:$B$49,2,FALSE)</f>
        <v xml:space="preserve"> _</v>
      </c>
      <c r="S1988" s="78"/>
      <c r="T1988" s="81" t="str">
        <f>IF(G1988=$J$1,"SI","NO")</f>
        <v>NO</v>
      </c>
      <c r="U1988" s="81"/>
      <c r="V1988" s="78" t="str">
        <f ca="1">IF(color_Celda(E1988)=12106214,"ROSA",IF(color_Celda(E1988)=65535,"AMARILLO",IF(color_Celda(E1988)=5296274,"VERDE",IF(color_Celda(E1988)=16777215,"BLANCO","NO SE"))))</f>
        <v>BLANCO</v>
      </c>
      <c r="W1988" s="75"/>
      <c r="X1988" s="75"/>
      <c r="Y1988" s="75"/>
      <c r="Z1988" s="75"/>
      <c r="AA1988" s="78" t="s">
        <v>2828</v>
      </c>
      <c r="AB1988" s="75"/>
      <c r="AC1988" s="75"/>
    </row>
    <row r="1989" spans="1:29" ht="60" customHeight="1">
      <c r="A1989" s="510">
        <v>1957</v>
      </c>
      <c r="B1989" s="511">
        <v>45393</v>
      </c>
      <c r="C1989" s="606">
        <v>0.4861111111111111</v>
      </c>
      <c r="D1989" s="512" t="s">
        <v>7084</v>
      </c>
      <c r="E1989" s="513" t="s">
        <v>7085</v>
      </c>
      <c r="F1989" s="510">
        <v>8</v>
      </c>
      <c r="G1989" s="510" t="s">
        <v>1435</v>
      </c>
      <c r="H1989" s="511">
        <v>45412</v>
      </c>
      <c r="I1989" s="511" t="s">
        <v>76</v>
      </c>
      <c r="J1989" s="511" t="s">
        <v>35</v>
      </c>
      <c r="K1989" s="510">
        <v>5</v>
      </c>
      <c r="L1989" s="512" t="s">
        <v>4790</v>
      </c>
      <c r="M1989" s="512" t="s">
        <v>723</v>
      </c>
      <c r="N1989" s="512" t="s">
        <v>7261</v>
      </c>
      <c r="O1989" s="206" t="str">
        <f ca="1">IF(H1989&lt;&gt;"",IF(H1989&lt;=TODAY(),"SI","NO"),"LIMBO")</f>
        <v>NO</v>
      </c>
      <c r="P1989" s="206" t="str">
        <f>IF($P$1=H1989,"DIASOL", "DIANOSOL")</f>
        <v>DIANOSOL</v>
      </c>
      <c r="Q1989" s="512" t="s">
        <v>949</v>
      </c>
      <c r="R1989" s="512" t="str">
        <f>VLOOKUP($Q1989,Resultados!$A$1:$B$49,2,FALSE)</f>
        <v xml:space="preserve"> _</v>
      </c>
      <c r="S1989" s="512"/>
      <c r="T1989" s="267" t="str">
        <f>IF(G1989=$J$1,"SI","NO")</f>
        <v>SI</v>
      </c>
      <c r="U1989" s="267"/>
      <c r="V1989" s="63" t="str">
        <f ca="1">IF(color_Celda(E1989)=12106214,"ROSA",IF(color_Celda(E1989)=65535,"AMARILLO",IF(color_Celda(E1989)=5296274,"VERDE",IF(color_Celda(E1989)=16777215,"BLANCO","NO SE"))))</f>
        <v>BLANCO</v>
      </c>
      <c r="W1989" s="510"/>
      <c r="X1989" s="510"/>
      <c r="Y1989" s="510"/>
      <c r="Z1989" s="510"/>
      <c r="AA1989" s="512" t="s">
        <v>3378</v>
      </c>
      <c r="AB1989" s="510"/>
      <c r="AC1989" s="510"/>
    </row>
    <row r="1990" spans="1:29" ht="60" customHeight="1">
      <c r="A1990" s="75">
        <v>1995</v>
      </c>
      <c r="B1990" s="77">
        <v>45399</v>
      </c>
      <c r="C1990" s="696">
        <v>0.33333333333333331</v>
      </c>
      <c r="D1990" s="78" t="s">
        <v>7245</v>
      </c>
      <c r="E1990" s="79" t="s">
        <v>7246</v>
      </c>
      <c r="F1990" s="75">
        <v>8</v>
      </c>
      <c r="G1990" s="75" t="s">
        <v>5710</v>
      </c>
      <c r="H1990" s="77">
        <v>45412</v>
      </c>
      <c r="I1990" s="77" t="s">
        <v>76</v>
      </c>
      <c r="J1990" s="77" t="s">
        <v>33</v>
      </c>
      <c r="K1990" s="78" t="s">
        <v>1321</v>
      </c>
      <c r="L1990" s="78" t="s">
        <v>789</v>
      </c>
      <c r="M1990" s="78" t="s">
        <v>767</v>
      </c>
      <c r="N1990" s="75"/>
      <c r="O1990" s="78" t="str">
        <f ca="1">IF(H1990&lt;&gt;"",IF(H1990&lt;=TODAY(),"SI","NO"),"LIMBO")</f>
        <v>NO</v>
      </c>
      <c r="P1990" s="78" t="str">
        <f>IF($P$1=H1990,"DIASOL", "DIANOSOL")</f>
        <v>DIANOSOL</v>
      </c>
      <c r="Q1990" s="78" t="s">
        <v>949</v>
      </c>
      <c r="R1990" s="78" t="str">
        <f>VLOOKUP($Q1990,Resultados!$A$1:$B$49,2,FALSE)</f>
        <v xml:space="preserve"> _</v>
      </c>
      <c r="S1990" s="78"/>
      <c r="T1990" s="81" t="str">
        <f>IF(G1990=$J$1,"SI","NO")</f>
        <v>NO</v>
      </c>
      <c r="U1990" s="81"/>
      <c r="V1990" s="75" t="str">
        <f ca="1">IF(color_Celda(E1990)=12106214,"ROSA",IF(color_Celda(E1990)=65535,"AMARILLO",IF(color_Celda(E1990)=5296274,"VERDE",IF(color_Celda(E1990)=16777215,"BLANCO","NO SE"))))</f>
        <v>BLANCO</v>
      </c>
      <c r="W1990" s="75"/>
      <c r="X1990" s="75"/>
      <c r="Y1990" s="75"/>
      <c r="Z1990" s="75"/>
      <c r="AA1990" s="78" t="s">
        <v>2869</v>
      </c>
      <c r="AB1990" s="75"/>
      <c r="AC1990" s="75"/>
    </row>
    <row r="1991" spans="1:29" ht="60" customHeight="1">
      <c r="A1991" s="75">
        <v>2002</v>
      </c>
      <c r="B1991" s="77">
        <v>45399</v>
      </c>
      <c r="C1991" s="696">
        <v>0.53472222222222221</v>
      </c>
      <c r="D1991" s="78" t="s">
        <v>7256</v>
      </c>
      <c r="E1991" s="79" t="s">
        <v>7349</v>
      </c>
      <c r="F1991" s="75">
        <v>8</v>
      </c>
      <c r="G1991" s="75" t="s">
        <v>3791</v>
      </c>
      <c r="H1991" s="77">
        <v>45412</v>
      </c>
      <c r="I1991" s="80" t="s">
        <v>76</v>
      </c>
      <c r="J1991" s="77" t="s">
        <v>31</v>
      </c>
      <c r="K1991" s="78" t="s">
        <v>1483</v>
      </c>
      <c r="L1991" s="78" t="s">
        <v>791</v>
      </c>
      <c r="M1991" s="78" t="s">
        <v>885</v>
      </c>
      <c r="N1991" s="75"/>
      <c r="O1991" s="78" t="str">
        <f ca="1">IF(H1991&lt;&gt;"",IF(H1991&lt;=TODAY(),"SI","NO"),"LIMBO")</f>
        <v>NO</v>
      </c>
      <c r="P1991" s="78" t="str">
        <f>IF($P$1=H1991,"DIASOL", "DIANOSOL")</f>
        <v>DIANOSOL</v>
      </c>
      <c r="Q1991" s="78" t="s">
        <v>949</v>
      </c>
      <c r="R1991" s="78" t="str">
        <f>VLOOKUP($Q1991,Resultados!$A$1:$B$49,2,FALSE)</f>
        <v xml:space="preserve"> _</v>
      </c>
      <c r="S1991" s="78"/>
      <c r="T1991" s="81" t="str">
        <f>IF(G1991=$J$1,"SI","NO")</f>
        <v>NO</v>
      </c>
      <c r="U1991" s="81"/>
      <c r="V1991" s="75" t="str">
        <f ca="1">IF(color_Celda(E1991)=12106214,"ROSA",IF(color_Celda(E1991)=65535,"AMARILLO",IF(color_Celda(E1991)=5296274,"VERDE",IF(color_Celda(E1991)=16777215,"BLANCO","NO SE"))))</f>
        <v>BLANCO</v>
      </c>
      <c r="W1991" s="75"/>
      <c r="X1991" s="75"/>
      <c r="Y1991" s="75"/>
      <c r="Z1991" s="75"/>
      <c r="AA1991" s="78" t="s">
        <v>3379</v>
      </c>
      <c r="AB1991" s="75"/>
      <c r="AC1991" s="75"/>
    </row>
    <row r="1992" spans="1:29" ht="60" customHeight="1">
      <c r="A1992" s="510">
        <v>1986</v>
      </c>
      <c r="B1992" s="511">
        <v>45398</v>
      </c>
      <c r="C1992" s="606">
        <v>0.42986111111111108</v>
      </c>
      <c r="D1992" s="512" t="s">
        <v>7209</v>
      </c>
      <c r="E1992" s="513" t="s">
        <v>7210</v>
      </c>
      <c r="F1992" s="510">
        <v>8</v>
      </c>
      <c r="G1992" s="510" t="s">
        <v>3323</v>
      </c>
      <c r="H1992" s="511">
        <v>45412</v>
      </c>
      <c r="I1992" s="514" t="s">
        <v>75</v>
      </c>
      <c r="J1992" s="514" t="s">
        <v>1221</v>
      </c>
      <c r="K1992" s="510">
        <f>IFERROR(VLOOKUP(J1992,Jueces!$A$1:$B$11,2,FALSE),"")</f>
        <v>6</v>
      </c>
      <c r="L1992" s="512" t="s">
        <v>4790</v>
      </c>
      <c r="M1992" s="512" t="s">
        <v>767</v>
      </c>
      <c r="N1992" s="512" t="s">
        <v>7284</v>
      </c>
      <c r="O1992" s="167" t="str">
        <f ca="1">IF(H1992&lt;&gt;"",IF(H1992&lt;=TODAY(),"SI","NO"),"LIMBO")</f>
        <v>NO</v>
      </c>
      <c r="P1992" s="167" t="str">
        <f>IF($P$1=H1992,"DIASOL", "DIANOSOL")</f>
        <v>DIANOSOL</v>
      </c>
      <c r="Q1992" s="512" t="s">
        <v>949</v>
      </c>
      <c r="R1992" s="512" t="str">
        <f>VLOOKUP($Q1992,Resultados!$A$1:$B$49,2,FALSE)</f>
        <v xml:space="preserve"> _</v>
      </c>
      <c r="S1992" s="512"/>
      <c r="T1992" s="414" t="str">
        <f>IF(G1992=$J$1,"SI","NO")</f>
        <v>NO</v>
      </c>
      <c r="U1992" s="414"/>
      <c r="V1992" s="326" t="str">
        <f ca="1">IF(color_Celda(E1992)=12106214,"ROSA",IF(color_Celda(E1992)=65535,"AMARILLO",IF(color_Celda(E1992)=5296274,"VERDE",IF(color_Celda(E1992)=16777215,"BLANCO","NO SE"))))</f>
        <v>BLANCO</v>
      </c>
      <c r="W1992" s="510"/>
      <c r="X1992" s="510"/>
      <c r="Y1992" s="510"/>
      <c r="Z1992" s="510"/>
      <c r="AA1992" s="512" t="s">
        <v>2869</v>
      </c>
      <c r="AB1992" s="510"/>
      <c r="AC1992" s="510"/>
    </row>
    <row r="1993" spans="1:29" ht="60" customHeight="1">
      <c r="A1993" s="75">
        <v>2001</v>
      </c>
      <c r="B1993" s="77">
        <v>45399</v>
      </c>
      <c r="C1993" s="696">
        <v>0.48194444444444445</v>
      </c>
      <c r="D1993" s="78" t="s">
        <v>7254</v>
      </c>
      <c r="E1993" s="79" t="s">
        <v>7255</v>
      </c>
      <c r="F1993" s="75">
        <v>8</v>
      </c>
      <c r="G1993" s="75" t="s">
        <v>1433</v>
      </c>
      <c r="H1993" s="77">
        <v>45412</v>
      </c>
      <c r="I1993" s="80" t="s">
        <v>75</v>
      </c>
      <c r="J1993" s="77" t="s">
        <v>78</v>
      </c>
      <c r="K1993" s="75">
        <v>8</v>
      </c>
      <c r="L1993" s="78" t="s">
        <v>791</v>
      </c>
      <c r="M1993" s="78" t="s">
        <v>723</v>
      </c>
      <c r="N1993" s="75"/>
      <c r="O1993" s="78" t="str">
        <f ca="1">IF(H1993&lt;&gt;"",IF(H1993&lt;=TODAY(),"SI","NO"),"LIMBO")</f>
        <v>NO</v>
      </c>
      <c r="P1993" s="78" t="str">
        <f>IF($P$1=H1993,"DIASOL", "DIANOSOL")</f>
        <v>DIANOSOL</v>
      </c>
      <c r="Q1993" s="78" t="s">
        <v>949</v>
      </c>
      <c r="R1993" s="78" t="str">
        <f>VLOOKUP($Q1993,Resultados!$A$1:$B$49,2,FALSE)</f>
        <v xml:space="preserve"> _</v>
      </c>
      <c r="S1993" s="78"/>
      <c r="T1993" s="81" t="str">
        <f>IF(G1993=$J$1,"SI","NO")</f>
        <v>NO</v>
      </c>
      <c r="U1993" s="81"/>
      <c r="V1993" s="75" t="str">
        <f ca="1">IF(color_Celda(E1993)=12106214,"ROSA",IF(color_Celda(E1993)=65535,"AMARILLO",IF(color_Celda(E1993)=5296274,"VERDE",IF(color_Celda(E1993)=16777215,"BLANCO","NO SE"))))</f>
        <v>BLANCO</v>
      </c>
      <c r="W1993" s="75"/>
      <c r="X1993" s="75"/>
      <c r="Y1993" s="75"/>
      <c r="Z1993" s="75"/>
      <c r="AA1993" s="78" t="s">
        <v>1167</v>
      </c>
      <c r="AB1993" s="75"/>
      <c r="AC1993" s="75"/>
    </row>
    <row r="1994" spans="1:29" ht="60" customHeight="1">
      <c r="A1994" s="510">
        <v>2006</v>
      </c>
      <c r="B1994" s="511">
        <v>45400</v>
      </c>
      <c r="C1994" s="606">
        <v>0.33333333333333331</v>
      </c>
      <c r="D1994" s="512" t="s">
        <v>7276</v>
      </c>
      <c r="E1994" s="520" t="s">
        <v>7277</v>
      </c>
      <c r="F1994" s="510">
        <v>8</v>
      </c>
      <c r="G1994" s="512" t="s">
        <v>283</v>
      </c>
      <c r="H1994" s="511">
        <v>45412</v>
      </c>
      <c r="I1994" s="514" t="s">
        <v>75</v>
      </c>
      <c r="J1994" s="514" t="s">
        <v>35</v>
      </c>
      <c r="K1994" s="512" t="s">
        <v>1916</v>
      </c>
      <c r="L1994" s="512" t="s">
        <v>2077</v>
      </c>
      <c r="M1994" s="623" t="s">
        <v>7063</v>
      </c>
      <c r="N1994" s="510"/>
      <c r="O1994" s="233" t="str">
        <f ca="1">IF(H1994&lt;&gt;"",IF(H1994&lt;=TODAY(),"SI","NO"),"LIMBO")</f>
        <v>NO</v>
      </c>
      <c r="P1994" s="233" t="str">
        <f>IF($P$1=H1994,"DIASOL", "DIANOSOL")</f>
        <v>DIANOSOL</v>
      </c>
      <c r="Q1994" s="512" t="s">
        <v>949</v>
      </c>
      <c r="R1994" s="512" t="str">
        <f>VLOOKUP($Q1994,Resultados!$A$1:$B$49,2,FALSE)</f>
        <v xml:space="preserve"> _</v>
      </c>
      <c r="S1994" s="512"/>
      <c r="T1994" s="508" t="str">
        <f>IF(G1994=$J$1,"SI","NO")</f>
        <v>NO</v>
      </c>
      <c r="U1994" s="508"/>
      <c r="V1994" s="426" t="str">
        <f ca="1">IF(color_Celda(E1994)=12106214,"ROSA",IF(color_Celda(E1994)=65535,"AMARILLO",IF(color_Celda(E1994)=5296274,"VERDE",IF(color_Celda(E1994)=16777215,"BLANCO","NO SE"))))</f>
        <v>BLANCO</v>
      </c>
      <c r="W1994" s="510"/>
      <c r="X1994" s="510"/>
      <c r="Y1994" s="510"/>
      <c r="Z1994" s="510"/>
      <c r="AA1994" s="512" t="s">
        <v>3378</v>
      </c>
      <c r="AB1994" s="510"/>
      <c r="AC1994" s="510"/>
    </row>
    <row r="1995" spans="1:29" ht="60" customHeight="1">
      <c r="A1995" s="510">
        <v>1979</v>
      </c>
      <c r="B1995" s="511">
        <v>45397</v>
      </c>
      <c r="C1995" s="606">
        <v>0.45</v>
      </c>
      <c r="D1995" s="510" t="s">
        <v>7153</v>
      </c>
      <c r="E1995" s="520" t="s">
        <v>7154</v>
      </c>
      <c r="F1995" s="510">
        <v>7</v>
      </c>
      <c r="G1995" s="512" t="s">
        <v>568</v>
      </c>
      <c r="H1995" s="511">
        <v>45414</v>
      </c>
      <c r="I1995" s="514" t="s">
        <v>73</v>
      </c>
      <c r="J1995" s="514" t="s">
        <v>1217</v>
      </c>
      <c r="K1995" s="512">
        <v>7</v>
      </c>
      <c r="L1995" s="512" t="s">
        <v>4789</v>
      </c>
      <c r="M1995" s="512" t="s">
        <v>725</v>
      </c>
      <c r="N1995" s="510"/>
      <c r="O1995" s="167" t="str">
        <f ca="1">IF(H1995&lt;&gt;"",IF(H1995&lt;=TODAY(),"SI","NO"),"LIMBO")</f>
        <v>NO</v>
      </c>
      <c r="P1995" s="167" t="str">
        <f>IF($P$1=H1995,"DIASOL", "DIANOSOL")</f>
        <v>DIANOSOL</v>
      </c>
      <c r="Q1995" s="512" t="s">
        <v>949</v>
      </c>
      <c r="R1995" s="512" t="str">
        <f>VLOOKUP($Q1995,Resultados!$A$1:$B$49,2,FALSE)</f>
        <v xml:space="preserve"> _</v>
      </c>
      <c r="S1995" s="512"/>
      <c r="T1995" s="414" t="str">
        <f>IF(G1995=$J$1,"SI","NO")</f>
        <v>NO</v>
      </c>
      <c r="U1995" s="414"/>
      <c r="V1995" s="63" t="str">
        <f ca="1">IF(color_Celda(E1995)=12106214,"ROSA",IF(color_Celda(E1995)=65535,"AMARILLO",IF(color_Celda(E1995)=5296274,"VERDE",IF(color_Celda(E1995)=16777215,"BLANCO","NO SE"))))</f>
        <v>BLANCO</v>
      </c>
      <c r="W1995" s="510"/>
      <c r="X1995" s="510"/>
      <c r="Y1995" s="510"/>
      <c r="Z1995" s="510"/>
      <c r="AA1995" s="510" t="s">
        <v>3379</v>
      </c>
      <c r="AB1995" s="510"/>
      <c r="AC1995" s="510"/>
    </row>
    <row r="1996" spans="1:29" ht="60" customHeight="1">
      <c r="A1996" s="75">
        <v>1985</v>
      </c>
      <c r="B1996" s="77">
        <v>45398</v>
      </c>
      <c r="C1996" s="696">
        <v>0.38958333333333334</v>
      </c>
      <c r="D1996" s="325" t="s">
        <v>7207</v>
      </c>
      <c r="E1996" s="79" t="s">
        <v>7208</v>
      </c>
      <c r="F1996" s="75">
        <v>7</v>
      </c>
      <c r="G1996" s="75" t="s">
        <v>5710</v>
      </c>
      <c r="H1996" s="77">
        <v>45414</v>
      </c>
      <c r="I1996" s="80" t="s">
        <v>73</v>
      </c>
      <c r="J1996" s="77" t="s">
        <v>78</v>
      </c>
      <c r="K1996" s="75">
        <f>IFERROR(VLOOKUP(J1996,Jueces!$A$1:$B$11,2,FALSE),"")</f>
        <v>8</v>
      </c>
      <c r="L1996" s="78" t="s">
        <v>802</v>
      </c>
      <c r="M1996" s="570" t="s">
        <v>2220</v>
      </c>
      <c r="N1996" s="75"/>
      <c r="O1996" s="78" t="str">
        <f ca="1">IF(H1996&lt;&gt;"",IF(H1996&lt;=TODAY(),"SI","NO"),"LIMBO")</f>
        <v>NO</v>
      </c>
      <c r="P1996" s="78" t="str">
        <f>IF($P$1=H1996,"DIASOL", "DIANOSOL")</f>
        <v>DIANOSOL</v>
      </c>
      <c r="Q1996" s="78" t="s">
        <v>949</v>
      </c>
      <c r="R1996" s="78" t="str">
        <f>VLOOKUP($Q1996,Resultados!$A$1:$B$49,2,FALSE)</f>
        <v xml:space="preserve"> _</v>
      </c>
      <c r="S1996" s="78"/>
      <c r="T1996" s="81" t="str">
        <f>IF(G1996=$J$1,"SI","NO")</f>
        <v>NO</v>
      </c>
      <c r="U1996" s="81"/>
      <c r="V1996" s="75" t="str">
        <f ca="1">IF(color_Celda(E1996)=12106214,"ROSA",IF(color_Celda(E1996)=65535,"AMARILLO",IF(color_Celda(E1996)=5296274,"VERDE",IF(color_Celda(E1996)=16777215,"BLANCO","NO SE"))))</f>
        <v>BLANCO</v>
      </c>
      <c r="W1996" s="75"/>
      <c r="X1996" s="75"/>
      <c r="Y1996" s="75"/>
      <c r="Z1996" s="75"/>
      <c r="AA1996" s="78" t="s">
        <v>3379</v>
      </c>
      <c r="AB1996" s="75"/>
      <c r="AC1996" s="75" t="s">
        <v>1792</v>
      </c>
    </row>
    <row r="1997" spans="1:29" ht="60" customHeight="1">
      <c r="A1997" s="75">
        <v>1994</v>
      </c>
      <c r="B1997" s="77">
        <v>45399</v>
      </c>
      <c r="C1997" s="696">
        <v>0.33333333333333331</v>
      </c>
      <c r="D1997" s="78" t="s">
        <v>7244</v>
      </c>
      <c r="E1997" s="79" t="s">
        <v>3975</v>
      </c>
      <c r="F1997" s="75">
        <v>4</v>
      </c>
      <c r="G1997" s="78" t="s">
        <v>283</v>
      </c>
      <c r="H1997" s="77">
        <v>45414</v>
      </c>
      <c r="I1997" s="80" t="s">
        <v>73</v>
      </c>
      <c r="J1997" s="80" t="s">
        <v>35</v>
      </c>
      <c r="K1997" s="75">
        <f>IFERROR(VLOOKUP(J1997,Jueces!$A$1:$B$11,2,FALSE),"")</f>
        <v>3</v>
      </c>
      <c r="L1997" s="78" t="s">
        <v>4778</v>
      </c>
      <c r="M1997" s="78" t="s">
        <v>1866</v>
      </c>
      <c r="N1997" s="75"/>
      <c r="O1997" s="78" t="str">
        <f ca="1">IF(H1997&lt;&gt;"",IF(H1997&lt;=TODAY(),"SI","NO"),"LIMBO")</f>
        <v>NO</v>
      </c>
      <c r="P1997" s="78" t="str">
        <f>IF($P$1=H1997,"DIASOL", "DIANOSOL")</f>
        <v>DIANOSOL</v>
      </c>
      <c r="Q1997" s="78" t="s">
        <v>949</v>
      </c>
      <c r="R1997" s="78" t="str">
        <f>VLOOKUP($Q1997,Resultados!$A$1:$B$49,2,FALSE)</f>
        <v xml:space="preserve"> _</v>
      </c>
      <c r="S1997" s="78"/>
      <c r="T1997" s="81" t="str">
        <f>IF(G1997=$J$1,"SI","NO")</f>
        <v>NO</v>
      </c>
      <c r="U1997" s="81"/>
      <c r="V1997" s="75" t="str">
        <f ca="1">IF(color_Celda(E1997)=12106214,"ROSA",IF(color_Celda(E1997)=65535,"AMARILLO",IF(color_Celda(E1997)=5296274,"VERDE",IF(color_Celda(E1997)=16777215,"BLANCO","NO SE"))))</f>
        <v>BLANCO</v>
      </c>
      <c r="W1997" s="75"/>
      <c r="X1997" s="75"/>
      <c r="Y1997" s="75"/>
      <c r="Z1997" s="75"/>
      <c r="AA1997" s="78" t="s">
        <v>2869</v>
      </c>
      <c r="AB1997" s="75"/>
      <c r="AC1997" s="75"/>
    </row>
    <row r="1998" spans="1:29" ht="60" customHeight="1">
      <c r="A1998" s="510">
        <v>2011</v>
      </c>
      <c r="B1998" s="511">
        <v>45400</v>
      </c>
      <c r="C1998" s="606">
        <v>0.5131944444444444</v>
      </c>
      <c r="D1998" s="512" t="s">
        <v>7301</v>
      </c>
      <c r="E1998" s="513" t="s">
        <v>7302</v>
      </c>
      <c r="F1998" s="510">
        <v>1</v>
      </c>
      <c r="G1998" s="512" t="s">
        <v>2752</v>
      </c>
      <c r="H1998" s="511">
        <v>45414</v>
      </c>
      <c r="I1998" s="514" t="s">
        <v>73</v>
      </c>
      <c r="J1998" s="514" t="s">
        <v>33</v>
      </c>
      <c r="K1998" s="510">
        <f>IFERROR(VLOOKUP(J1998,Jueces!$A$1:$B$11,2,FALSE),"")</f>
        <v>4</v>
      </c>
      <c r="L1998" s="512" t="s">
        <v>805</v>
      </c>
      <c r="M1998" s="512" t="s">
        <v>885</v>
      </c>
      <c r="N1998" s="510"/>
      <c r="O1998" s="167" t="str">
        <f ca="1">IF(H1998&lt;&gt;"",IF(H1998&lt;=TODAY(),"SI","NO"),"LIMBO")</f>
        <v>NO</v>
      </c>
      <c r="P1998" s="167" t="str">
        <f>IF($P$1=H1998,"DIASOL", "DIANOSOL")</f>
        <v>DIANOSOL</v>
      </c>
      <c r="Q1998" s="512" t="s">
        <v>949</v>
      </c>
      <c r="R1998" s="512" t="str">
        <f>VLOOKUP($Q1998,Resultados!$A$1:$B$49,2,FALSE)</f>
        <v xml:space="preserve"> _</v>
      </c>
      <c r="S1998" s="512"/>
      <c r="T1998" s="414" t="str">
        <f>IF(G1998=$J$1,"SI","NO")</f>
        <v>NO</v>
      </c>
      <c r="U1998" s="414"/>
      <c r="V1998" s="326" t="str">
        <f ca="1">IF(color_Celda(E1998)=12106214,"ROSA",IF(color_Celda(E1998)=65535,"AMARILLO",IF(color_Celda(E1998)=5296274,"VERDE",IF(color_Celda(E1998)=16777215,"BLANCO","NO SE"))))</f>
        <v>BLANCO</v>
      </c>
      <c r="W1998" s="510"/>
      <c r="X1998" s="510"/>
      <c r="Y1998" s="510"/>
      <c r="Z1998" s="510"/>
      <c r="AA1998" s="512" t="s">
        <v>2828</v>
      </c>
      <c r="AB1998" s="510"/>
      <c r="AC1998" s="510"/>
    </row>
    <row r="1999" spans="1:29" ht="60" customHeight="1">
      <c r="A1999" s="510">
        <v>1989</v>
      </c>
      <c r="B1999" s="511">
        <v>45398</v>
      </c>
      <c r="C1999" s="606">
        <v>0.44513888888888892</v>
      </c>
      <c r="D1999" s="512" t="s">
        <v>7213</v>
      </c>
      <c r="E1999" s="520" t="s">
        <v>7214</v>
      </c>
      <c r="F1999" s="510">
        <v>8</v>
      </c>
      <c r="G1999" s="512" t="s">
        <v>3791</v>
      </c>
      <c r="H1999" s="511">
        <v>45414</v>
      </c>
      <c r="I1999" s="514" t="s">
        <v>749</v>
      </c>
      <c r="J1999" s="514" t="s">
        <v>1221</v>
      </c>
      <c r="K1999" s="510">
        <f>IFERROR(VLOOKUP(J1999,Jueces!$A$1:$B$11,2,FALSE),"")</f>
        <v>6</v>
      </c>
      <c r="L1999" s="512" t="s">
        <v>2077</v>
      </c>
      <c r="M1999" s="512" t="s">
        <v>767</v>
      </c>
      <c r="N1999" s="512" t="s">
        <v>7552</v>
      </c>
      <c r="O1999" s="233" t="str">
        <f ca="1">IF(H1999&lt;&gt;"",IF(H1999&lt;=TODAY(),"SI","NO"),"LIMBO")</f>
        <v>NO</v>
      </c>
      <c r="P1999" s="233" t="str">
        <f>IF($P$1=H1999,"DIASOL", "DIANOSOL")</f>
        <v>DIANOSOL</v>
      </c>
      <c r="Q1999" s="512" t="s">
        <v>949</v>
      </c>
      <c r="R1999" s="512" t="str">
        <f>VLOOKUP($Q1999,Resultados!$A$1:$B$49,2,FALSE)</f>
        <v xml:space="preserve"> _</v>
      </c>
      <c r="S1999" s="512"/>
      <c r="T1999" s="508" t="str">
        <f>IF(G1999=$J$1,"SI","NO")</f>
        <v>NO</v>
      </c>
      <c r="U1999" s="508"/>
      <c r="V1999" s="426" t="str">
        <f ca="1">IF(color_Celda(E1999)=12106214,"ROSA",IF(color_Celda(E1999)=65535,"AMARILLO",IF(color_Celda(E1999)=5296274,"VERDE",IF(color_Celda(E1999)=16777215,"BLANCO","NO SE"))))</f>
        <v>BLANCO</v>
      </c>
      <c r="W1999" s="510"/>
      <c r="X1999" s="510"/>
      <c r="Y1999" s="510"/>
      <c r="Z1999" s="510"/>
      <c r="AA1999" s="512" t="s">
        <v>1167</v>
      </c>
      <c r="AB1999" s="510"/>
      <c r="AC1999" s="510"/>
    </row>
    <row r="2000" spans="1:29" ht="60" customHeight="1">
      <c r="A2000" s="75">
        <v>1998</v>
      </c>
      <c r="B2000" s="77">
        <v>45399</v>
      </c>
      <c r="C2000" s="696">
        <v>0.37916666666666665</v>
      </c>
      <c r="D2000" s="78" t="s">
        <v>7250</v>
      </c>
      <c r="E2000" s="79" t="s">
        <v>7286</v>
      </c>
      <c r="F2000" s="75">
        <v>8</v>
      </c>
      <c r="G2000" s="75" t="s">
        <v>29</v>
      </c>
      <c r="H2000" s="77">
        <v>45414</v>
      </c>
      <c r="I2000" s="80" t="s">
        <v>76</v>
      </c>
      <c r="J2000" s="77" t="s">
        <v>1216</v>
      </c>
      <c r="K2000" s="75">
        <f>IFERROR(VLOOKUP(J2000,Jueces!$A$1:$B$11,2,FALSE),"")</f>
        <v>1</v>
      </c>
      <c r="L2000" s="78" t="s">
        <v>4789</v>
      </c>
      <c r="M2000" s="78" t="s">
        <v>767</v>
      </c>
      <c r="N2000" s="75"/>
      <c r="O2000" s="78" t="str">
        <f ca="1">IF(H2000&lt;&gt;"",IF(H2000&lt;=TODAY(),"SI","NO"),"LIMBO")</f>
        <v>NO</v>
      </c>
      <c r="P2000" s="78" t="str">
        <f>IF($P$1=H2000,"DIASOL", "DIANOSOL")</f>
        <v>DIANOSOL</v>
      </c>
      <c r="Q2000" s="78" t="s">
        <v>949</v>
      </c>
      <c r="R2000" s="78" t="str">
        <f>VLOOKUP($Q2000,Resultados!$A$1:$B$49,2,FALSE)</f>
        <v xml:space="preserve"> _</v>
      </c>
      <c r="S2000" s="78"/>
      <c r="T2000" s="81" t="str">
        <f>IF(G2000=$J$1,"SI","NO")</f>
        <v>NO</v>
      </c>
      <c r="U2000" s="81"/>
      <c r="V2000" s="75" t="str">
        <f ca="1">IF(color_Celda(E2000)=12106214,"ROSA",IF(color_Celda(E2000)=65535,"AMARILLO",IF(color_Celda(E2000)=5296274,"VERDE",IF(color_Celda(E2000)=16777215,"BLANCO","NO SE"))))</f>
        <v>BLANCO</v>
      </c>
      <c r="W2000" s="75"/>
      <c r="X2000" s="75"/>
      <c r="Y2000" s="75"/>
      <c r="Z2000" s="75"/>
      <c r="AA2000" s="78" t="s">
        <v>2869</v>
      </c>
      <c r="AB2000" s="75"/>
      <c r="AC2000" s="75"/>
    </row>
    <row r="2001" spans="1:29" ht="60" customHeight="1">
      <c r="A2001" s="75">
        <v>2000</v>
      </c>
      <c r="B2001" s="77">
        <v>45399</v>
      </c>
      <c r="C2001" s="696">
        <v>0.3923611111111111</v>
      </c>
      <c r="D2001" s="78" t="s">
        <v>7287</v>
      </c>
      <c r="E2001" s="79" t="s">
        <v>7253</v>
      </c>
      <c r="F2001" s="75">
        <v>8</v>
      </c>
      <c r="G2001" s="75" t="s">
        <v>3323</v>
      </c>
      <c r="H2001" s="77">
        <v>45414</v>
      </c>
      <c r="I2001" s="77" t="s">
        <v>76</v>
      </c>
      <c r="J2001" s="77" t="s">
        <v>1217</v>
      </c>
      <c r="K2001" s="75" t="s">
        <v>1483</v>
      </c>
      <c r="L2001" s="78" t="s">
        <v>4790</v>
      </c>
      <c r="M2001" s="78" t="s">
        <v>723</v>
      </c>
      <c r="N2001" s="75"/>
      <c r="O2001" s="78" t="str">
        <f ca="1">IF(H2001&lt;&gt;"",IF(H2001&lt;=TODAY(),"SI","NO"),"LIMBO")</f>
        <v>NO</v>
      </c>
      <c r="P2001" s="78" t="str">
        <f>IF($P$1=H2001,"DIASOL", "DIANOSOL")</f>
        <v>DIANOSOL</v>
      </c>
      <c r="Q2001" s="78" t="s">
        <v>949</v>
      </c>
      <c r="R2001" s="78" t="str">
        <f>VLOOKUP($Q2001,Resultados!$A$1:$B$49,2,FALSE)</f>
        <v xml:space="preserve"> _</v>
      </c>
      <c r="S2001" s="78"/>
      <c r="T2001" s="81" t="str">
        <f>IF(G2001=$J$1,"SI","NO")</f>
        <v>NO</v>
      </c>
      <c r="U2001" s="81"/>
      <c r="V2001" s="75" t="str">
        <f ca="1">IF(color_Celda(E2001)=12106214,"ROSA",IF(color_Celda(E2001)=65535,"AMARILLO",IF(color_Celda(E2001)=5296274,"VERDE",IF(color_Celda(E2001)=16777215,"BLANCO","NO SE"))))</f>
        <v>BLANCO</v>
      </c>
      <c r="W2001" s="75"/>
      <c r="X2001" s="75"/>
      <c r="Y2001" s="75"/>
      <c r="Z2001" s="75"/>
      <c r="AA2001" s="78" t="s">
        <v>2828</v>
      </c>
      <c r="AB2001" s="75"/>
      <c r="AC2001" s="75"/>
    </row>
    <row r="2002" spans="1:29" ht="60" customHeight="1">
      <c r="A2002" s="75">
        <v>2007</v>
      </c>
      <c r="B2002" s="77">
        <v>45400</v>
      </c>
      <c r="C2002" s="696">
        <v>0.34375</v>
      </c>
      <c r="D2002" s="78" t="s">
        <v>7278</v>
      </c>
      <c r="E2002" s="79" t="s">
        <v>7279</v>
      </c>
      <c r="F2002" s="75">
        <v>8</v>
      </c>
      <c r="G2002" s="78" t="s">
        <v>1435</v>
      </c>
      <c r="H2002" s="77">
        <v>45414</v>
      </c>
      <c r="I2002" s="80" t="s">
        <v>75</v>
      </c>
      <c r="J2002" s="80" t="s">
        <v>1216</v>
      </c>
      <c r="K2002" s="78" t="s">
        <v>1916</v>
      </c>
      <c r="L2002" s="78" t="s">
        <v>806</v>
      </c>
      <c r="M2002" s="656" t="s">
        <v>7352</v>
      </c>
      <c r="N2002" s="75"/>
      <c r="O2002" s="78" t="str">
        <f ca="1">IF(H2002&lt;&gt;"",IF(H2002&lt;=TODAY(),"SI","NO"),"LIMBO")</f>
        <v>NO</v>
      </c>
      <c r="P2002" s="78" t="str">
        <f>IF($P$1=H2002,"DIASOL", "DIANOSOL")</f>
        <v>DIANOSOL</v>
      </c>
      <c r="Q2002" s="78" t="s">
        <v>949</v>
      </c>
      <c r="R2002" s="78" t="str">
        <f>VLOOKUP($Q2002,Resultados!$A$1:$B$49,2,FALSE)</f>
        <v xml:space="preserve"> _</v>
      </c>
      <c r="S2002" s="78"/>
      <c r="T2002" s="81" t="str">
        <f>IF(G2002=$J$1,"SI","NO")</f>
        <v>SI</v>
      </c>
      <c r="U2002" s="81"/>
      <c r="V2002" s="75" t="str">
        <f ca="1">IF(color_Celda(E2002)=12106214,"ROSA",IF(color_Celda(E2002)=65535,"AMARILLO",IF(color_Celda(E2002)=5296274,"VERDE",IF(color_Celda(E2002)=16777215,"BLANCO","NO SE"))))</f>
        <v>BLANCO</v>
      </c>
      <c r="W2002" s="75"/>
      <c r="X2002" s="75"/>
      <c r="Y2002" s="75"/>
      <c r="Z2002" s="75"/>
      <c r="AA2002" s="78" t="s">
        <v>1167</v>
      </c>
      <c r="AB2002" s="75"/>
      <c r="AC2002" s="75"/>
    </row>
    <row r="2003" spans="1:29" ht="60" customHeight="1">
      <c r="A2003" s="510">
        <v>2023</v>
      </c>
      <c r="B2003" s="511">
        <v>45401</v>
      </c>
      <c r="C2003" s="512" t="s">
        <v>3244</v>
      </c>
      <c r="D2003" s="512" t="s">
        <v>7318</v>
      </c>
      <c r="E2003" s="513" t="s">
        <v>7360</v>
      </c>
      <c r="F2003" s="510">
        <v>1</v>
      </c>
      <c r="G2003" s="512" t="s">
        <v>3324</v>
      </c>
      <c r="H2003" s="511">
        <v>45414</v>
      </c>
      <c r="I2003" s="514" t="s">
        <v>75</v>
      </c>
      <c r="J2003" s="514" t="s">
        <v>33</v>
      </c>
      <c r="K2003" s="510">
        <f>IFERROR(VLOOKUP(J2003,Jueces!$A$1:$B$11,2,FALSE),"")</f>
        <v>4</v>
      </c>
      <c r="L2003" s="512" t="s">
        <v>4790</v>
      </c>
      <c r="M2003" s="512" t="s">
        <v>885</v>
      </c>
      <c r="N2003" s="510"/>
      <c r="O2003" s="167" t="str">
        <f ca="1">IF(H2003&lt;&gt;"",IF(H2003&lt;=TODAY(),"SI","NO"),"LIMBO")</f>
        <v>NO</v>
      </c>
      <c r="P2003" s="167" t="str">
        <f>IF($P$1=H2003,"DIASOL", "DIANOSOL")</f>
        <v>DIANOSOL</v>
      </c>
      <c r="Q2003" s="512" t="s">
        <v>949</v>
      </c>
      <c r="R2003" s="512" t="str">
        <f>VLOOKUP($Q2003,Resultados!$A$1:$B$49,2,FALSE)</f>
        <v xml:space="preserve"> _</v>
      </c>
      <c r="S2003" s="512"/>
      <c r="T2003" s="414" t="str">
        <f>IF(G2003=$J$1,"SI","NO")</f>
        <v>NO</v>
      </c>
      <c r="U2003" s="414"/>
      <c r="V2003" s="326" t="str">
        <f ca="1">IF(color_Celda(E2003)=12106214,"ROSA",IF(color_Celda(E2003)=65535,"AMARILLO",IF(color_Celda(E2003)=5296274,"VERDE",IF(color_Celda(E2003)=16777215,"BLANCO","NO SE"))))</f>
        <v>BLANCO</v>
      </c>
      <c r="W2003" s="510"/>
      <c r="X2003" s="510"/>
      <c r="Y2003" s="510"/>
      <c r="Z2003" s="510"/>
      <c r="AA2003" s="512" t="s">
        <v>3379</v>
      </c>
      <c r="AB2003" s="510"/>
      <c r="AC2003" s="510"/>
    </row>
    <row r="2004" spans="1:29" ht="60" customHeight="1">
      <c r="A2004" s="510">
        <v>2040</v>
      </c>
      <c r="B2004" s="511">
        <v>45404</v>
      </c>
      <c r="C2004" s="606">
        <v>0.51041666666666663</v>
      </c>
      <c r="D2004" s="512" t="s">
        <v>7363</v>
      </c>
      <c r="E2004" s="513" t="s">
        <v>7364</v>
      </c>
      <c r="F2004" s="510">
        <v>8</v>
      </c>
      <c r="G2004" s="512" t="s">
        <v>2766</v>
      </c>
      <c r="H2004" s="511">
        <v>45414</v>
      </c>
      <c r="I2004" s="514" t="s">
        <v>75</v>
      </c>
      <c r="J2004" s="514" t="s">
        <v>78</v>
      </c>
      <c r="K2004" s="510">
        <f>IFERROR(VLOOKUP(J2004,Jueces!$A$1:$B$11,2,FALSE),"")</f>
        <v>8</v>
      </c>
      <c r="L2004" s="512" t="s">
        <v>4782</v>
      </c>
      <c r="M2004" s="623" t="s">
        <v>7370</v>
      </c>
      <c r="N2004" s="510"/>
      <c r="O2004" s="233" t="str">
        <f ca="1">IF(H2004&lt;&gt;"",IF(H2004&lt;=TODAY(),"SI","NO"),"LIMBO")</f>
        <v>NO</v>
      </c>
      <c r="P2004" s="233" t="str">
        <f>IF($P$1=H2004,"DIASOL", "DIANOSOL")</f>
        <v>DIANOSOL</v>
      </c>
      <c r="Q2004" s="512" t="s">
        <v>949</v>
      </c>
      <c r="R2004" s="512" t="str">
        <f>VLOOKUP($Q2004,Resultados!$A$1:$B$49,2,FALSE)</f>
        <v xml:space="preserve"> _</v>
      </c>
      <c r="S2004" s="512"/>
      <c r="T2004" s="508" t="str">
        <f>IF(G2004=$J$1,"SI","NO")</f>
        <v>NO</v>
      </c>
      <c r="U2004" s="508"/>
      <c r="V2004" s="426" t="str">
        <f ca="1">IF(color_Celda(E2004)=12106214,"ROSA",IF(color_Celda(E2004)=65535,"AMARILLO",IF(color_Celda(E2004)=5296274,"VERDE",IF(color_Celda(E2004)=16777215,"BLANCO","NO SE"))))</f>
        <v>BLANCO</v>
      </c>
      <c r="W2004" s="510"/>
      <c r="X2004" s="510"/>
      <c r="Y2004" s="510"/>
      <c r="Z2004" s="510"/>
      <c r="AA2004" s="512" t="s">
        <v>3379</v>
      </c>
      <c r="AB2004" s="510"/>
      <c r="AC2004" s="510"/>
    </row>
    <row r="2005" spans="1:29" ht="60" customHeight="1">
      <c r="A2005" s="75">
        <v>2022</v>
      </c>
      <c r="B2005" s="77">
        <v>45401</v>
      </c>
      <c r="C2005" s="78" t="s">
        <v>1248</v>
      </c>
      <c r="D2005" s="78" t="s">
        <v>7316</v>
      </c>
      <c r="E2005" s="79" t="s">
        <v>7317</v>
      </c>
      <c r="F2005" s="75">
        <v>1</v>
      </c>
      <c r="G2005" s="78" t="s">
        <v>1434</v>
      </c>
      <c r="H2005" s="77">
        <v>45414</v>
      </c>
      <c r="I2005" s="80" t="s">
        <v>77</v>
      </c>
      <c r="J2005" s="80" t="s">
        <v>35</v>
      </c>
      <c r="K2005" s="75">
        <f>IFERROR(VLOOKUP(J2005,Jueces!$A$1:$B$11,2,FALSE),"")</f>
        <v>3</v>
      </c>
      <c r="L2005" s="78" t="s">
        <v>789</v>
      </c>
      <c r="M2005" s="78" t="s">
        <v>885</v>
      </c>
      <c r="N2005" s="75"/>
      <c r="O2005" s="78" t="str">
        <f ca="1">IF(H2005&lt;&gt;"",IF(H2005&lt;=TODAY(),"SI","NO"),"LIMBO")</f>
        <v>NO</v>
      </c>
      <c r="P2005" s="78" t="str">
        <f>IF($P$1=H2005,"DIASOL", "DIANOSOL")</f>
        <v>DIANOSOL</v>
      </c>
      <c r="Q2005" s="78" t="s">
        <v>949</v>
      </c>
      <c r="R2005" s="78" t="str">
        <f>VLOOKUP($Q2005,Resultados!$A$1:$B$49,2,FALSE)</f>
        <v xml:space="preserve"> _</v>
      </c>
      <c r="S2005" s="78"/>
      <c r="T2005" s="81" t="str">
        <f>IF(G2005=$J$1,"SI","NO")</f>
        <v>NO</v>
      </c>
      <c r="U2005" s="81"/>
      <c r="V2005" s="75" t="str">
        <f ca="1">IF(color_Celda(E2005)=12106214,"ROSA",IF(color_Celda(E2005)=65535,"AMARILLO",IF(color_Celda(E2005)=5296274,"VERDE",IF(color_Celda(E2005)=16777215,"BLANCO","NO SE"))))</f>
        <v>BLANCO</v>
      </c>
      <c r="W2005" s="75"/>
      <c r="X2005" s="75"/>
      <c r="Y2005" s="75"/>
      <c r="Z2005" s="75"/>
      <c r="AA2005" s="78" t="s">
        <v>2869</v>
      </c>
      <c r="AB2005" s="75"/>
      <c r="AC2005" s="75"/>
    </row>
    <row r="2006" spans="1:29" ht="60" customHeight="1">
      <c r="A2006" s="75">
        <v>1984</v>
      </c>
      <c r="B2006" s="77">
        <v>45398</v>
      </c>
      <c r="C2006" s="696">
        <v>0.3888888888888889</v>
      </c>
      <c r="D2006" s="78" t="s">
        <v>7202</v>
      </c>
      <c r="E2006" s="79" t="s">
        <v>7203</v>
      </c>
      <c r="F2006" s="75">
        <v>8</v>
      </c>
      <c r="G2006" s="75" t="s">
        <v>29</v>
      </c>
      <c r="H2006" s="77">
        <v>45415</v>
      </c>
      <c r="I2006" s="77" t="s">
        <v>73</v>
      </c>
      <c r="J2006" s="77" t="s">
        <v>78</v>
      </c>
      <c r="K2006" s="75">
        <v>8</v>
      </c>
      <c r="L2006" s="78" t="s">
        <v>4791</v>
      </c>
      <c r="M2006" s="78" t="s">
        <v>767</v>
      </c>
      <c r="N2006" s="75"/>
      <c r="O2006" s="78" t="str">
        <f ca="1">IF(H2006&lt;&gt;"",IF(H2006&lt;=TODAY(),"SI","NO"),"LIMBO")</f>
        <v>NO</v>
      </c>
      <c r="P2006" s="78" t="str">
        <f>IF($P$1=H2006,"DIASOL", "DIANOSOL")</f>
        <v>DIANOSOL</v>
      </c>
      <c r="Q2006" s="78" t="s">
        <v>949</v>
      </c>
      <c r="R2006" s="78" t="str">
        <f>VLOOKUP($Q2006,Resultados!$A$1:$B$49,2,FALSE)</f>
        <v xml:space="preserve"> _</v>
      </c>
      <c r="S2006" s="78"/>
      <c r="T2006" s="81" t="str">
        <f>IF(G2006=$J$1,"SI","NO")</f>
        <v>NO</v>
      </c>
      <c r="U2006" s="81"/>
      <c r="V2006" s="75" t="str">
        <f ca="1">IF(color_Celda(E2006)=12106214,"ROSA",IF(color_Celda(E2006)=65535,"AMARILLO",IF(color_Celda(E2006)=5296274,"VERDE",IF(color_Celda(E2006)=16777215,"BLANCO","NO SE"))))</f>
        <v>BLANCO</v>
      </c>
      <c r="W2006" s="75"/>
      <c r="X2006" s="75"/>
      <c r="Y2006" s="75"/>
      <c r="Z2006" s="75"/>
      <c r="AA2006" s="78" t="s">
        <v>3379</v>
      </c>
      <c r="AB2006" s="75"/>
      <c r="AC2006" s="75"/>
    </row>
    <row r="2007" spans="1:29" ht="60" customHeight="1">
      <c r="A2007" s="510">
        <v>2028</v>
      </c>
      <c r="B2007" s="511">
        <v>45401</v>
      </c>
      <c r="C2007" s="622" t="s">
        <v>4252</v>
      </c>
      <c r="D2007" s="510" t="s">
        <v>4011</v>
      </c>
      <c r="E2007" s="520" t="s">
        <v>4012</v>
      </c>
      <c r="F2007" s="510">
        <v>3</v>
      </c>
      <c r="G2007" s="512" t="s">
        <v>1433</v>
      </c>
      <c r="H2007" s="535">
        <v>45415</v>
      </c>
      <c r="I2007" s="514" t="s">
        <v>73</v>
      </c>
      <c r="J2007" s="514" t="s">
        <v>35</v>
      </c>
      <c r="K2007" s="510">
        <f>IFERROR(VLOOKUP(J2007,Jueces!$A$1:$B$11,2,FALSE),"")</f>
        <v>3</v>
      </c>
      <c r="L2007" s="512" t="s">
        <v>569</v>
      </c>
      <c r="M2007" s="512" t="s">
        <v>695</v>
      </c>
      <c r="N2007" s="510"/>
      <c r="O2007" s="167" t="str">
        <f ca="1">IF(H2007&lt;&gt;"",IF(H2007&lt;=TODAY(),"SI","NO"),"LIMBO")</f>
        <v>NO</v>
      </c>
      <c r="P2007" s="167" t="str">
        <f>IF($P$1=H2007,"DIASOL", "DIANOSOL")</f>
        <v>DIANOSOL</v>
      </c>
      <c r="Q2007" s="512" t="s">
        <v>949</v>
      </c>
      <c r="R2007" s="512" t="str">
        <f>VLOOKUP($Q2007,Resultados!$A$1:$B$49,2,FALSE)</f>
        <v xml:space="preserve"> _</v>
      </c>
      <c r="S2007" s="512"/>
      <c r="T2007" s="414" t="str">
        <f>IF(G2007=$J$1,"SI","NO")</f>
        <v>NO</v>
      </c>
      <c r="U2007" s="414"/>
      <c r="V2007" s="326" t="str">
        <f ca="1">IF(color_Celda(E2007)=12106214,"ROSA",IF(color_Celda(E2007)=65535,"AMARILLO",IF(color_Celda(E2007)=5296274,"VERDE",IF(color_Celda(E2007)=16777215,"BLANCO","NO SE"))))</f>
        <v>BLANCO</v>
      </c>
      <c r="W2007" s="510"/>
      <c r="X2007" s="510"/>
      <c r="Y2007" s="510"/>
      <c r="Z2007" s="510"/>
      <c r="AA2007" s="512"/>
      <c r="AB2007" s="510"/>
      <c r="AC2007" s="510"/>
    </row>
    <row r="2008" spans="1:29" ht="60" customHeight="1">
      <c r="A2008" s="75">
        <v>2019</v>
      </c>
      <c r="B2008" s="77">
        <v>45401</v>
      </c>
      <c r="C2008" s="696">
        <v>0.39027777777777778</v>
      </c>
      <c r="D2008" s="78" t="s">
        <v>7312</v>
      </c>
      <c r="E2008" s="79" t="s">
        <v>7313</v>
      </c>
      <c r="F2008" s="75">
        <v>8</v>
      </c>
      <c r="G2008" s="78" t="s">
        <v>283</v>
      </c>
      <c r="H2008" s="77">
        <v>45415</v>
      </c>
      <c r="I2008" s="80" t="s">
        <v>73</v>
      </c>
      <c r="J2008" s="80" t="s">
        <v>1217</v>
      </c>
      <c r="K2008" s="75">
        <f>IFERROR(VLOOKUP(J2008,Jueces!$A$1:$B$11,2,FALSE),"")</f>
        <v>7</v>
      </c>
      <c r="L2008" s="78" t="s">
        <v>4788</v>
      </c>
      <c r="M2008" s="76" t="s">
        <v>723</v>
      </c>
      <c r="N2008" s="75"/>
      <c r="O2008" s="78" t="str">
        <f ca="1">IF(H2008&lt;&gt;"",IF(H2008&lt;=TODAY(),"SI","NO"),"LIMBO")</f>
        <v>NO</v>
      </c>
      <c r="P2008" s="78" t="str">
        <f>IF($P$1=H2008,"DIASOL", "DIANOSOL")</f>
        <v>DIANOSOL</v>
      </c>
      <c r="Q2008" s="78" t="s">
        <v>949</v>
      </c>
      <c r="R2008" s="78" t="str">
        <f>VLOOKUP($Q2008,Resultados!$A$1:$B$49,2,FALSE)</f>
        <v xml:space="preserve"> _</v>
      </c>
      <c r="S2008" s="78"/>
      <c r="T2008" s="81" t="str">
        <f>IF(G2008=$J$1,"SI","NO")</f>
        <v>NO</v>
      </c>
      <c r="U2008" s="81"/>
      <c r="V2008" s="75" t="str">
        <f ca="1">IF(color_Celda(E2008)=12106214,"ROSA",IF(color_Celda(E2008)=65535,"AMARILLO",IF(color_Celda(E2008)=5296274,"VERDE",IF(color_Celda(E2008)=16777215,"BLANCO","NO SE"))))</f>
        <v>BLANCO</v>
      </c>
      <c r="W2008" s="75"/>
      <c r="X2008" s="75"/>
      <c r="Y2008" s="75"/>
      <c r="Z2008" s="75"/>
      <c r="AA2008" s="78" t="s">
        <v>3379</v>
      </c>
      <c r="AB2008" s="75"/>
      <c r="AC2008" s="75"/>
    </row>
    <row r="2009" spans="1:29" ht="60" customHeight="1">
      <c r="A2009" s="510">
        <v>2021</v>
      </c>
      <c r="B2009" s="511">
        <v>45401</v>
      </c>
      <c r="C2009" s="512" t="s">
        <v>1206</v>
      </c>
      <c r="D2009" s="512" t="s">
        <v>7315</v>
      </c>
      <c r="E2009" s="513" t="s">
        <v>7361</v>
      </c>
      <c r="F2009" s="510">
        <v>1</v>
      </c>
      <c r="G2009" s="512" t="s">
        <v>1435</v>
      </c>
      <c r="H2009" s="511">
        <v>45415</v>
      </c>
      <c r="I2009" s="514" t="s">
        <v>749</v>
      </c>
      <c r="J2009" s="514" t="s">
        <v>1221</v>
      </c>
      <c r="K2009" s="510">
        <f>IFERROR(VLOOKUP(J2009,Jueces!$A$1:$B$11,2,FALSE),"")</f>
        <v>6</v>
      </c>
      <c r="L2009" s="512" t="s">
        <v>805</v>
      </c>
      <c r="M2009" s="82" t="s">
        <v>885</v>
      </c>
      <c r="N2009" s="510"/>
      <c r="O2009" s="167" t="str">
        <f ca="1">IF(H2009&lt;&gt;"",IF(H2009&lt;=TODAY(),"SI","NO"),"LIMBO")</f>
        <v>NO</v>
      </c>
      <c r="P2009" s="167" t="str">
        <f>IF($P$1=H2009,"DIASOL", "DIANOSOL")</f>
        <v>DIANOSOL</v>
      </c>
      <c r="Q2009" s="512" t="s">
        <v>949</v>
      </c>
      <c r="R2009" s="512" t="str">
        <f>VLOOKUP($Q2009,Resultados!$A$1:$B$49,2,FALSE)</f>
        <v xml:space="preserve"> _</v>
      </c>
      <c r="S2009" s="512"/>
      <c r="T2009" s="414" t="str">
        <f>IF(G2009=$J$1,"SI","NO")</f>
        <v>SI</v>
      </c>
      <c r="U2009" s="414"/>
      <c r="V2009" s="326" t="str">
        <f ca="1">IF(color_Celda(E2009)=12106214,"ROSA",IF(color_Celda(E2009)=65535,"AMARILLO",IF(color_Celda(E2009)=5296274,"VERDE",IF(color_Celda(E2009)=16777215,"BLANCO","NO SE"))))</f>
        <v>BLANCO</v>
      </c>
      <c r="W2009" s="510"/>
      <c r="X2009" s="510"/>
      <c r="Y2009" s="510"/>
      <c r="Z2009" s="510"/>
      <c r="AA2009" s="512" t="s">
        <v>2828</v>
      </c>
      <c r="AB2009" s="510"/>
      <c r="AC2009" s="510"/>
    </row>
    <row r="2010" spans="1:29" ht="60" customHeight="1">
      <c r="A2010" s="75">
        <v>1988</v>
      </c>
      <c r="B2010" s="77">
        <v>45398</v>
      </c>
      <c r="C2010" s="696">
        <v>0.44027777777777777</v>
      </c>
      <c r="D2010" s="78" t="s">
        <v>7211</v>
      </c>
      <c r="E2010" s="347" t="s">
        <v>7212</v>
      </c>
      <c r="F2010" s="75">
        <v>8</v>
      </c>
      <c r="G2010" s="75" t="s">
        <v>2766</v>
      </c>
      <c r="H2010" s="77">
        <v>45415</v>
      </c>
      <c r="I2010" s="77" t="s">
        <v>76</v>
      </c>
      <c r="J2010" s="77" t="s">
        <v>1216</v>
      </c>
      <c r="K2010" s="75" t="s">
        <v>1483</v>
      </c>
      <c r="L2010" s="78" t="s">
        <v>805</v>
      </c>
      <c r="M2010" s="76" t="s">
        <v>767</v>
      </c>
      <c r="N2010" s="75"/>
      <c r="O2010" s="78" t="str">
        <f ca="1">IF(H2010&lt;&gt;"",IF(H2010&lt;=TODAY(),"SI","NO"),"LIMBO")</f>
        <v>NO</v>
      </c>
      <c r="P2010" s="78" t="str">
        <f>IF($P$1=H2010,"DIASOL", "DIANOSOL")</f>
        <v>DIANOSOL</v>
      </c>
      <c r="Q2010" s="78" t="s">
        <v>949</v>
      </c>
      <c r="R2010" s="78" t="str">
        <f>VLOOKUP($Q2010,Resultados!$A$1:$B$49,2,FALSE)</f>
        <v xml:space="preserve"> _</v>
      </c>
      <c r="S2010" s="78"/>
      <c r="T2010" s="81" t="str">
        <f>IF(G2010=$J$1,"SI","NO")</f>
        <v>NO</v>
      </c>
      <c r="U2010" s="81"/>
      <c r="V2010" s="75" t="str">
        <f ca="1">IF(color_Celda(E2010)=12106214,"ROSA",IF(color_Celda(E2010)=65535,"AMARILLO",IF(color_Celda(E2010)=5296274,"VERDE",IF(color_Celda(E2010)=16777215,"BLANCO","NO SE"))))</f>
        <v>BLANCO</v>
      </c>
      <c r="W2010" s="75"/>
      <c r="X2010" s="75"/>
      <c r="Y2010" s="75"/>
      <c r="Z2010" s="75"/>
      <c r="AA2010" s="78" t="s">
        <v>2828</v>
      </c>
      <c r="AB2010" s="75"/>
      <c r="AC2010" s="75"/>
    </row>
    <row r="2011" spans="1:29" ht="60" customHeight="1">
      <c r="A2011" s="75">
        <v>2030</v>
      </c>
      <c r="B2011" s="77">
        <v>45401</v>
      </c>
      <c r="C2011" s="78" t="s">
        <v>2157</v>
      </c>
      <c r="D2011" s="78" t="s">
        <v>7336</v>
      </c>
      <c r="E2011" s="79" t="s">
        <v>7375</v>
      </c>
      <c r="F2011" s="75">
        <v>7</v>
      </c>
      <c r="G2011" s="78" t="s">
        <v>3791</v>
      </c>
      <c r="H2011" s="77">
        <v>45415</v>
      </c>
      <c r="I2011" s="80" t="s">
        <v>76</v>
      </c>
      <c r="J2011" s="80" t="s">
        <v>1217</v>
      </c>
      <c r="K2011" s="75">
        <v>8</v>
      </c>
      <c r="L2011" s="78" t="s">
        <v>791</v>
      </c>
      <c r="M2011" s="78" t="s">
        <v>725</v>
      </c>
      <c r="N2011" s="75"/>
      <c r="O2011" s="78" t="str">
        <f ca="1">IF(H2011&lt;&gt;"",IF(H2011&lt;=TODAY(),"SI","NO"),"LIMBO")</f>
        <v>NO</v>
      </c>
      <c r="P2011" s="78" t="str">
        <f>IF($P$1=H2011,"DIASOL", "DIANOSOL")</f>
        <v>DIANOSOL</v>
      </c>
      <c r="Q2011" s="78" t="s">
        <v>949</v>
      </c>
      <c r="R2011" s="78" t="str">
        <f>VLOOKUP($Q2011,Resultados!$A$1:$B$49,2,FALSE)</f>
        <v xml:space="preserve"> _</v>
      </c>
      <c r="S2011" s="78"/>
      <c r="T2011" s="81" t="str">
        <f>IF(G2011=$J$1,"SI","NO")</f>
        <v>NO</v>
      </c>
      <c r="U2011" s="81"/>
      <c r="V2011" s="75" t="str">
        <f ca="1">IF(color_Celda(E2011)=12106214,"ROSA",IF(color_Celda(E2011)=65535,"AMARILLO",IF(color_Celda(E2011)=5296274,"VERDE",IF(color_Celda(E2011)=16777215,"BLANCO","NO SE"))))</f>
        <v>BLANCO</v>
      </c>
      <c r="W2011" s="75"/>
      <c r="X2011" s="75"/>
      <c r="Y2011" s="75"/>
      <c r="Z2011" s="75"/>
      <c r="AA2011" s="78" t="s">
        <v>1167</v>
      </c>
      <c r="AB2011" s="75"/>
      <c r="AC2011" s="75"/>
    </row>
    <row r="2012" spans="1:29" ht="60" customHeight="1">
      <c r="A2012" s="75">
        <v>2039</v>
      </c>
      <c r="B2012" s="77">
        <v>45404</v>
      </c>
      <c r="C2012" s="696">
        <v>0.51041666666666663</v>
      </c>
      <c r="D2012" s="78" t="s">
        <v>7362</v>
      </c>
      <c r="E2012" s="79" t="s">
        <v>7376</v>
      </c>
      <c r="F2012" s="75">
        <v>8</v>
      </c>
      <c r="G2012" s="78" t="s">
        <v>2752</v>
      </c>
      <c r="H2012" s="77">
        <v>45415</v>
      </c>
      <c r="I2012" s="80" t="s">
        <v>76</v>
      </c>
      <c r="J2012" s="80" t="s">
        <v>35</v>
      </c>
      <c r="K2012" s="75">
        <f>IFERROR(VLOOKUP(J2012,Jueces!$A$1:$B$11,2,FALSE),"")</f>
        <v>3</v>
      </c>
      <c r="L2012" s="78" t="s">
        <v>4790</v>
      </c>
      <c r="M2012" s="76" t="s">
        <v>885</v>
      </c>
      <c r="N2012" s="75"/>
      <c r="O2012" s="78" t="str">
        <f ca="1">IF(H2012&lt;&gt;"",IF(H2012&lt;=TODAY(),"SI","NO"),"LIMBO")</f>
        <v>NO</v>
      </c>
      <c r="P2012" s="78" t="str">
        <f>IF($P$1=H2012,"DIASOL", "DIANOSOL")</f>
        <v>DIANOSOL</v>
      </c>
      <c r="Q2012" s="78" t="s">
        <v>949</v>
      </c>
      <c r="R2012" s="78" t="str">
        <f>VLOOKUP($Q2012,Resultados!$A$1:$B$49,2,FALSE)</f>
        <v xml:space="preserve"> _</v>
      </c>
      <c r="S2012" s="78"/>
      <c r="T2012" s="81" t="str">
        <f>IF(G2012=$J$1,"SI","NO")</f>
        <v>NO</v>
      </c>
      <c r="U2012" s="81"/>
      <c r="V2012" s="75" t="str">
        <f ca="1">IF(color_Celda(E2012)=12106214,"ROSA",IF(color_Celda(E2012)=65535,"AMARILLO",IF(color_Celda(E2012)=5296274,"VERDE",IF(color_Celda(E2012)=16777215,"BLANCO","NO SE"))))</f>
        <v>BLANCO</v>
      </c>
      <c r="W2012" s="75"/>
      <c r="X2012" s="75"/>
      <c r="Y2012" s="75"/>
      <c r="Z2012" s="75"/>
      <c r="AA2012" s="78" t="s">
        <v>2828</v>
      </c>
      <c r="AB2012" s="75"/>
      <c r="AC2012" s="75"/>
    </row>
    <row r="2013" spans="1:29" ht="60" customHeight="1">
      <c r="A2013" s="75">
        <v>1999</v>
      </c>
      <c r="B2013" s="77">
        <v>45399</v>
      </c>
      <c r="C2013" s="696">
        <v>0.39027777777777778</v>
      </c>
      <c r="D2013" s="78" t="s">
        <v>7251</v>
      </c>
      <c r="E2013" s="347" t="s">
        <v>7252</v>
      </c>
      <c r="F2013" s="75">
        <v>8</v>
      </c>
      <c r="G2013" s="75" t="s">
        <v>1434</v>
      </c>
      <c r="H2013" s="77">
        <v>45415</v>
      </c>
      <c r="I2013" s="77" t="s">
        <v>75</v>
      </c>
      <c r="J2013" s="80" t="s">
        <v>33</v>
      </c>
      <c r="K2013" s="75">
        <v>4</v>
      </c>
      <c r="L2013" s="78" t="s">
        <v>4781</v>
      </c>
      <c r="M2013" s="78" t="s">
        <v>767</v>
      </c>
      <c r="N2013" s="75"/>
      <c r="O2013" s="78" t="str">
        <f ca="1">IF(H2013&lt;&gt;"",IF(H2013&lt;=TODAY(),"SI","NO"),"LIMBO")</f>
        <v>NO</v>
      </c>
      <c r="P2013" s="78" t="str">
        <f>IF($P$1=H2013,"DIASOL", "DIANOSOL")</f>
        <v>DIANOSOL</v>
      </c>
      <c r="Q2013" s="78" t="s">
        <v>949</v>
      </c>
      <c r="R2013" s="78" t="str">
        <f>VLOOKUP($Q2013,Resultados!$A$1:$B$49,2,FALSE)</f>
        <v xml:space="preserve"> _</v>
      </c>
      <c r="S2013" s="78"/>
      <c r="T2013" s="81" t="str">
        <f>IF(G2013=$J$1,"SI","NO")</f>
        <v>NO</v>
      </c>
      <c r="U2013" s="81"/>
      <c r="V2013" s="75" t="str">
        <f ca="1">IF(color_Celda(E2013)=12106214,"ROSA",IF(color_Celda(E2013)=65535,"AMARILLO",IF(color_Celda(E2013)=5296274,"VERDE",IF(color_Celda(E2013)=16777215,"BLANCO","NO SE"))))</f>
        <v>BLANCO</v>
      </c>
      <c r="W2013" s="75"/>
      <c r="X2013" s="75"/>
      <c r="Y2013" s="75"/>
      <c r="Z2013" s="75"/>
      <c r="AA2013" s="78" t="s">
        <v>2869</v>
      </c>
      <c r="AB2013" s="75"/>
      <c r="AC2013" s="75"/>
    </row>
    <row r="2014" spans="1:29" ht="60" customHeight="1">
      <c r="A2014" s="510">
        <v>2012</v>
      </c>
      <c r="B2014" s="511">
        <v>45400</v>
      </c>
      <c r="C2014" s="510" t="s">
        <v>3111</v>
      </c>
      <c r="D2014" s="510" t="s">
        <v>7303</v>
      </c>
      <c r="E2014" s="520" t="s">
        <v>7355</v>
      </c>
      <c r="F2014" s="510">
        <v>8</v>
      </c>
      <c r="G2014" s="512" t="s">
        <v>3324</v>
      </c>
      <c r="H2014" s="511">
        <v>45415</v>
      </c>
      <c r="I2014" s="514" t="s">
        <v>75</v>
      </c>
      <c r="J2014" s="514" t="s">
        <v>78</v>
      </c>
      <c r="K2014" s="510">
        <f>IFERROR(VLOOKUP(J2014,Jueces!$A$1:$B$11,2,FALSE),"")</f>
        <v>8</v>
      </c>
      <c r="L2014" s="512" t="s">
        <v>4779</v>
      </c>
      <c r="M2014" s="512" t="s">
        <v>723</v>
      </c>
      <c r="N2014" s="510"/>
      <c r="O2014" s="233" t="str">
        <f ca="1">IF(H2014&lt;&gt;"",IF(H2014&lt;=TODAY(),"SI","NO"),"LIMBO")</f>
        <v>NO</v>
      </c>
      <c r="P2014" s="233" t="str">
        <f>IF($P$1=H2014,"DIASOL", "DIANOSOL")</f>
        <v>DIANOSOL</v>
      </c>
      <c r="Q2014" s="512" t="s">
        <v>949</v>
      </c>
      <c r="R2014" s="512" t="str">
        <f>VLOOKUP($Q2014,Resultados!$A$1:$B$49,2,FALSE)</f>
        <v xml:space="preserve"> _</v>
      </c>
      <c r="S2014" s="512"/>
      <c r="T2014" s="508" t="str">
        <f>IF(G2014=$J$1,"SI","NO")</f>
        <v>NO</v>
      </c>
      <c r="U2014" s="508"/>
      <c r="V2014" s="426" t="str">
        <f ca="1">IF(color_Celda(E2014)=12106214,"ROSA",IF(color_Celda(E2014)=65535,"AMARILLO",IF(color_Celda(E2014)=5296274,"VERDE",IF(color_Celda(E2014)=16777215,"BLANCO","NO SE"))))</f>
        <v>BLANCO</v>
      </c>
      <c r="W2014" s="510"/>
      <c r="X2014" s="510"/>
      <c r="Y2014" s="510"/>
      <c r="Z2014" s="510"/>
      <c r="AA2014" s="512" t="s">
        <v>2869</v>
      </c>
      <c r="AB2014" s="510"/>
      <c r="AC2014" s="510"/>
    </row>
    <row r="2015" spans="1:29" ht="60" customHeight="1">
      <c r="A2015" s="510">
        <v>2025</v>
      </c>
      <c r="B2015" s="511">
        <v>45401</v>
      </c>
      <c r="C2015" s="512" t="s">
        <v>1528</v>
      </c>
      <c r="D2015" s="512" t="s">
        <v>7321</v>
      </c>
      <c r="E2015" s="513" t="s">
        <v>7359</v>
      </c>
      <c r="F2015" s="510">
        <v>1</v>
      </c>
      <c r="G2015" s="512" t="s">
        <v>5710</v>
      </c>
      <c r="H2015" s="511">
        <v>45415</v>
      </c>
      <c r="I2015" s="514" t="s">
        <v>3171</v>
      </c>
      <c r="J2015" s="514" t="s">
        <v>1221</v>
      </c>
      <c r="K2015" s="512" t="s">
        <v>1483</v>
      </c>
      <c r="L2015" s="512" t="s">
        <v>4790</v>
      </c>
      <c r="M2015" s="512" t="s">
        <v>885</v>
      </c>
      <c r="N2015" s="510"/>
      <c r="O2015" s="167" t="str">
        <f ca="1">IF(H2015&lt;&gt;"",IF(H2015&lt;=TODAY(),"SI","NO"),"LIMBO")</f>
        <v>NO</v>
      </c>
      <c r="P2015" s="167" t="str">
        <f>IF($P$1=H2015,"DIASOL", "DIANOSOL")</f>
        <v>DIANOSOL</v>
      </c>
      <c r="Q2015" s="512" t="s">
        <v>949</v>
      </c>
      <c r="R2015" s="512" t="str">
        <f>VLOOKUP($Q2015,Resultados!$A$1:$B$49,2,FALSE)</f>
        <v xml:space="preserve"> _</v>
      </c>
      <c r="S2015" s="512"/>
      <c r="T2015" s="414" t="str">
        <f>IF(G2015=$J$1,"SI","NO")</f>
        <v>NO</v>
      </c>
      <c r="U2015" s="414"/>
      <c r="V2015" s="326" t="str">
        <f ca="1">IF(color_Celda(E2015)=12106214,"ROSA",IF(color_Celda(E2015)=65535,"AMARILLO",IF(color_Celda(E2015)=5296274,"VERDE",IF(color_Celda(E2015)=16777215,"BLANCO","NO SE"))))</f>
        <v>BLANCO</v>
      </c>
      <c r="W2015" s="510"/>
      <c r="X2015" s="510"/>
      <c r="Y2015" s="510"/>
      <c r="Z2015" s="510"/>
      <c r="AA2015" s="512" t="s">
        <v>1167</v>
      </c>
      <c r="AB2015" s="510"/>
      <c r="AC2015" s="510"/>
    </row>
    <row r="2016" spans="1:29" ht="60" customHeight="1">
      <c r="A2016" s="75">
        <v>2006</v>
      </c>
      <c r="B2016" s="77">
        <v>45399</v>
      </c>
      <c r="C2016" s="696">
        <v>0.54166666666666663</v>
      </c>
      <c r="D2016" s="375" t="s">
        <v>2093</v>
      </c>
      <c r="E2016" s="347" t="s">
        <v>7528</v>
      </c>
      <c r="F2016" s="75">
        <v>1</v>
      </c>
      <c r="G2016" s="75" t="s">
        <v>5709</v>
      </c>
      <c r="H2016" s="424">
        <v>45415</v>
      </c>
      <c r="I2016" s="80" t="s">
        <v>77</v>
      </c>
      <c r="J2016" s="80" t="s">
        <v>1216</v>
      </c>
      <c r="K2016" s="78" t="s">
        <v>1483</v>
      </c>
      <c r="L2016" s="78" t="s">
        <v>192</v>
      </c>
      <c r="M2016" s="78" t="s">
        <v>3394</v>
      </c>
      <c r="N2016" s="75" t="s">
        <v>7260</v>
      </c>
      <c r="O2016" s="78" t="str">
        <f ca="1">IF(H2016&lt;&gt;"",IF(H2016&lt;=TODAY(),"SI","NO"),"LIMBO")</f>
        <v>NO</v>
      </c>
      <c r="P2016" s="78" t="str">
        <f>IF($P$1=H2016,"DIASOL", "DIANOSOL")</f>
        <v>DIANOSOL</v>
      </c>
      <c r="Q2016" s="78" t="s">
        <v>949</v>
      </c>
      <c r="R2016" s="78" t="str">
        <f>VLOOKUP($Q2016,Resultados!$A$1:$B$49,2,FALSE)</f>
        <v xml:space="preserve"> _</v>
      </c>
      <c r="S2016" s="78"/>
      <c r="T2016" s="81" t="str">
        <f>IF(G2016=$J$1,"SI","NO")</f>
        <v>NO</v>
      </c>
      <c r="U2016" s="81"/>
      <c r="V2016" s="75" t="str">
        <f ca="1">IF(color_Celda(E2016)=12106214,"ROSA",IF(color_Celda(E2016)=65535,"AMARILLO",IF(color_Celda(E2016)=5296274,"VERDE",IF(color_Celda(E2016)=16777215,"BLANCO","NO SE"))))</f>
        <v>BLANCO</v>
      </c>
      <c r="W2016" s="75"/>
      <c r="X2016" s="75"/>
      <c r="Y2016" s="75"/>
      <c r="Z2016" s="75"/>
      <c r="AA2016" s="78" t="s">
        <v>2828</v>
      </c>
      <c r="AB2016" s="75"/>
      <c r="AC2016" s="75" t="s">
        <v>1792</v>
      </c>
    </row>
    <row r="2017" spans="1:29" ht="60" customHeight="1">
      <c r="A2017" s="510">
        <v>2008</v>
      </c>
      <c r="B2017" s="511">
        <v>45400</v>
      </c>
      <c r="C2017" s="606">
        <v>0.35625000000000001</v>
      </c>
      <c r="D2017" s="512" t="s">
        <v>7280</v>
      </c>
      <c r="E2017" s="513" t="s">
        <v>7281</v>
      </c>
      <c r="F2017" s="510">
        <v>8</v>
      </c>
      <c r="G2017" s="512" t="s">
        <v>568</v>
      </c>
      <c r="H2017" s="511">
        <v>45415</v>
      </c>
      <c r="I2017" s="514" t="s">
        <v>77</v>
      </c>
      <c r="J2017" s="514" t="s">
        <v>33</v>
      </c>
      <c r="K2017" s="510">
        <f>IFERROR(VLOOKUP(J2017,Jueces!$A$1:$B$11,2,FALSE),"")</f>
        <v>4</v>
      </c>
      <c r="L2017" s="512" t="s">
        <v>4788</v>
      </c>
      <c r="M2017" s="512" t="s">
        <v>767</v>
      </c>
      <c r="N2017" s="510"/>
      <c r="O2017" s="167" t="str">
        <f ca="1">IF(H2017&lt;&gt;"",IF(H2017&lt;=TODAY(),"SI","NO"),"LIMBO")</f>
        <v>NO</v>
      </c>
      <c r="P2017" s="167" t="str">
        <f>IF($P$1=H2017,"DIASOL", "DIANOSOL")</f>
        <v>DIANOSOL</v>
      </c>
      <c r="Q2017" s="512" t="s">
        <v>949</v>
      </c>
      <c r="R2017" s="512" t="str">
        <f>VLOOKUP($Q2017,Resultados!$A$1:$B$49,2,FALSE)</f>
        <v xml:space="preserve"> _</v>
      </c>
      <c r="S2017" s="512"/>
      <c r="T2017" s="414" t="str">
        <f>IF(G2017=$J$1,"SI","NO")</f>
        <v>NO</v>
      </c>
      <c r="U2017" s="414"/>
      <c r="V2017" s="326" t="str">
        <f ca="1">IF(color_Celda(E2017)=12106214,"ROSA",IF(color_Celda(E2017)=65535,"AMARILLO",IF(color_Celda(E2017)=5296274,"VERDE",IF(color_Celda(E2017)=16777215,"BLANCO","NO SE"))))</f>
        <v>BLANCO</v>
      </c>
      <c r="W2017" s="510"/>
      <c r="X2017" s="510"/>
      <c r="Y2017" s="510"/>
      <c r="Z2017" s="510"/>
      <c r="AA2017" s="512" t="s">
        <v>3379</v>
      </c>
      <c r="AB2017" s="510"/>
      <c r="AC2017" s="510"/>
    </row>
    <row r="2018" spans="1:29" ht="60" customHeight="1">
      <c r="A2018" s="329">
        <v>2003</v>
      </c>
      <c r="B2018" s="351">
        <v>45399</v>
      </c>
      <c r="C2018" s="609">
        <v>0.45694444444444443</v>
      </c>
      <c r="D2018" s="206" t="s">
        <v>7257</v>
      </c>
      <c r="E2018" s="207" t="s">
        <v>7258</v>
      </c>
      <c r="F2018" s="329">
        <v>8</v>
      </c>
      <c r="G2018" s="329" t="s">
        <v>1435</v>
      </c>
      <c r="H2018" s="351">
        <v>45418</v>
      </c>
      <c r="I2018" s="351" t="s">
        <v>73</v>
      </c>
      <c r="J2018" s="351" t="s">
        <v>35</v>
      </c>
      <c r="K2018" s="329">
        <f>IFERROR(VLOOKUP(J2018,Jueces!$A$1:$B$11,2,FALSE),"")</f>
        <v>3</v>
      </c>
      <c r="L2018" s="206" t="s">
        <v>4781</v>
      </c>
      <c r="M2018" s="206" t="s">
        <v>7307</v>
      </c>
      <c r="N2018" s="329" t="s">
        <v>7308</v>
      </c>
      <c r="O2018" s="206" t="str">
        <f ca="1">IF(H2018&lt;&gt;"",IF(H2018&lt;=TODAY(),"SI","NO"),"LIMBO")</f>
        <v>NO</v>
      </c>
      <c r="P2018" s="206" t="str">
        <f>IF($P$1=H2018,"DIASOL", "DIANOSOL")</f>
        <v>DIANOSOL</v>
      </c>
      <c r="Q2018" s="206" t="s">
        <v>949</v>
      </c>
      <c r="R2018" s="206" t="str">
        <f>VLOOKUP($Q2018,Resultados!$A$1:$B$49,2,FALSE)</f>
        <v xml:space="preserve"> _</v>
      </c>
      <c r="S2018" s="206"/>
      <c r="T2018" s="267" t="str">
        <f>IF(G2018=$J$1,"SI","NO")</f>
        <v>SI</v>
      </c>
      <c r="U2018" s="267"/>
      <c r="V2018" s="329" t="str">
        <f ca="1">IF(color_Celda(E2018)=12106214,"ROSA",IF(color_Celda(E2018)=65535,"AMARILLO",IF(color_Celda(E2018)=5296274,"VERDE",IF(color_Celda(E2018)=16777215,"BLANCO","NO SE"))))</f>
        <v>NO SE</v>
      </c>
      <c r="W2018" s="329"/>
      <c r="X2018" s="329"/>
      <c r="Y2018" s="329"/>
      <c r="Z2018" s="329"/>
      <c r="AA2018" s="206" t="s">
        <v>3379</v>
      </c>
      <c r="AB2018" s="329"/>
      <c r="AC2018" s="329"/>
    </row>
    <row r="2019" spans="1:29" ht="60" customHeight="1">
      <c r="A2019" s="510">
        <v>2026</v>
      </c>
      <c r="B2019" s="511">
        <v>45401</v>
      </c>
      <c r="C2019" s="512" t="s">
        <v>1706</v>
      </c>
      <c r="D2019" s="512" t="s">
        <v>7322</v>
      </c>
      <c r="E2019" s="513" t="s">
        <v>7520</v>
      </c>
      <c r="F2019" s="510">
        <v>7</v>
      </c>
      <c r="G2019" s="512" t="s">
        <v>283</v>
      </c>
      <c r="H2019" s="514">
        <v>45418</v>
      </c>
      <c r="I2019" s="514" t="s">
        <v>73</v>
      </c>
      <c r="J2019" s="514" t="s">
        <v>1217</v>
      </c>
      <c r="K2019" s="510">
        <f>IFERROR(VLOOKUP(J2019,Jueces!$A$1:$B$11,2,FALSE),"")</f>
        <v>7</v>
      </c>
      <c r="L2019" s="512" t="s">
        <v>7324</v>
      </c>
      <c r="M2019" s="512" t="s">
        <v>885</v>
      </c>
      <c r="N2019" s="510"/>
      <c r="O2019" s="233" t="str">
        <f ca="1">IF(H2019&lt;&gt;"",IF(H2019&lt;=TODAY(),"SI","NO"),"LIMBO")</f>
        <v>NO</v>
      </c>
      <c r="P2019" s="233" t="str">
        <f>IF($P$1=H2019,"DIASOL", "DIANOSOL")</f>
        <v>DIANOSOL</v>
      </c>
      <c r="Q2019" s="512" t="s">
        <v>949</v>
      </c>
      <c r="R2019" s="512" t="str">
        <f>VLOOKUP($Q2019,Resultados!$A$1:$B$49,2,FALSE)</f>
        <v xml:space="preserve"> _</v>
      </c>
      <c r="S2019" s="512"/>
      <c r="T2019" s="508" t="str">
        <f>IF(G2019=$J$1,"SI","NO")</f>
        <v>NO</v>
      </c>
      <c r="U2019" s="508"/>
      <c r="V2019" s="426" t="str">
        <f ca="1">IF(color_Celda(E2019)=12106214,"ROSA",IF(color_Celda(E2019)=65535,"AMARILLO",IF(color_Celda(E2019)=5296274,"VERDE",IF(color_Celda(E2019)=16777215,"BLANCO","NO SE"))))</f>
        <v>BLANCO</v>
      </c>
      <c r="W2019" s="510"/>
      <c r="X2019" s="510"/>
      <c r="Y2019" s="510"/>
      <c r="Z2019" s="510"/>
      <c r="AA2019" s="512" t="s">
        <v>1167</v>
      </c>
      <c r="AB2019" s="510"/>
      <c r="AC2019" s="510"/>
    </row>
    <row r="2020" spans="1:29" ht="60" customHeight="1">
      <c r="A2020" s="329">
        <v>2024</v>
      </c>
      <c r="B2020" s="351">
        <v>45401</v>
      </c>
      <c r="C2020" s="206" t="s">
        <v>1528</v>
      </c>
      <c r="D2020" s="206" t="s">
        <v>7319</v>
      </c>
      <c r="E2020" s="207" t="s">
        <v>7320</v>
      </c>
      <c r="F2020" s="329">
        <v>8</v>
      </c>
      <c r="G2020" s="206" t="s">
        <v>3323</v>
      </c>
      <c r="H2020" s="351">
        <v>45418</v>
      </c>
      <c r="I2020" s="294" t="s">
        <v>73</v>
      </c>
      <c r="J2020" s="294" t="s">
        <v>78</v>
      </c>
      <c r="K2020" s="329">
        <f>IFERROR(VLOOKUP(J2020,Jueces!$A$1:$B$11,2,FALSE),"")</f>
        <v>8</v>
      </c>
      <c r="L2020" s="206" t="s">
        <v>1693</v>
      </c>
      <c r="M2020" s="673" t="s">
        <v>7346</v>
      </c>
      <c r="N2020" s="206" t="s">
        <v>7507</v>
      </c>
      <c r="O2020" s="206" t="str">
        <f ca="1">IF(H2020&lt;&gt;"",IF(H2020&lt;=TODAY(),"SI","NO"),"LIMBO")</f>
        <v>NO</v>
      </c>
      <c r="P2020" s="206" t="str">
        <f>IF($P$1=H2020,"DIASOL", "DIANOSOL")</f>
        <v>DIANOSOL</v>
      </c>
      <c r="Q2020" s="206" t="s">
        <v>949</v>
      </c>
      <c r="R2020" s="206" t="str">
        <f>VLOOKUP($Q2020,Resultados!$A$1:$B$49,2,FALSE)</f>
        <v xml:space="preserve"> _</v>
      </c>
      <c r="S2020" s="206"/>
      <c r="T2020" s="267" t="str">
        <f>IF(G2020=$J$1,"SI","NO")</f>
        <v>NO</v>
      </c>
      <c r="U2020" s="267"/>
      <c r="V2020" s="329" t="str">
        <f ca="1">IF(color_Celda(E2020)=12106214,"ROSA",IF(color_Celda(E2020)=65535,"AMARILLO",IF(color_Celda(E2020)=5296274,"VERDE",IF(color_Celda(E2020)=16777215,"BLANCO","NO SE"))))</f>
        <v>NO SE</v>
      </c>
      <c r="W2020" s="329"/>
      <c r="X2020" s="329"/>
      <c r="Y2020" s="329"/>
      <c r="Z2020" s="329"/>
      <c r="AA2020" s="206" t="s">
        <v>2828</v>
      </c>
      <c r="AB2020" s="329"/>
      <c r="AC2020" s="329"/>
    </row>
    <row r="2021" spans="1:29" ht="60" customHeight="1">
      <c r="A2021" s="75">
        <v>2031</v>
      </c>
      <c r="B2021" s="77">
        <v>45401</v>
      </c>
      <c r="C2021" s="78" t="s">
        <v>5564</v>
      </c>
      <c r="D2021" s="78" t="s">
        <v>7337</v>
      </c>
      <c r="E2021" s="79" t="s">
        <v>7537</v>
      </c>
      <c r="F2021" s="75">
        <v>8</v>
      </c>
      <c r="G2021" s="75" t="s">
        <v>568</v>
      </c>
      <c r="H2021" s="77">
        <v>45418</v>
      </c>
      <c r="I2021" s="80" t="s">
        <v>73</v>
      </c>
      <c r="J2021" s="77" t="s">
        <v>33</v>
      </c>
      <c r="K2021" s="75">
        <f>IFERROR(VLOOKUP(J2021,Jueces!$A$1:$B$11,2,FALSE),"")</f>
        <v>4</v>
      </c>
      <c r="L2021" s="78" t="s">
        <v>4784</v>
      </c>
      <c r="M2021" s="570" t="s">
        <v>7371</v>
      </c>
      <c r="N2021" s="75"/>
      <c r="O2021" s="78" t="str">
        <f ca="1">IF(H2021&lt;&gt;"",IF(H2021&lt;=TODAY(),"SI","NO"),"LIMBO")</f>
        <v>NO</v>
      </c>
      <c r="P2021" s="78" t="str">
        <f>IF($P$1=H2021,"DIASOL", "DIANOSOL")</f>
        <v>DIANOSOL</v>
      </c>
      <c r="Q2021" s="78" t="s">
        <v>949</v>
      </c>
      <c r="R2021" s="78" t="str">
        <f>VLOOKUP($Q2021,Resultados!$A$1:$B$49,2,FALSE)</f>
        <v xml:space="preserve"> _</v>
      </c>
      <c r="S2021" s="78"/>
      <c r="T2021" s="81" t="str">
        <f>IF(G2021=$J$1,"SI","NO")</f>
        <v>NO</v>
      </c>
      <c r="U2021" s="81"/>
      <c r="V2021" s="75" t="str">
        <f ca="1">IF(color_Celda(E2021)=12106214,"ROSA",IF(color_Celda(E2021)=65535,"AMARILLO",IF(color_Celda(E2021)=5296274,"VERDE",IF(color_Celda(E2021)=16777215,"BLANCO","NO SE"))))</f>
        <v>BLANCO</v>
      </c>
      <c r="W2021" s="75"/>
      <c r="X2021" s="75"/>
      <c r="Y2021" s="75"/>
      <c r="Z2021" s="75"/>
      <c r="AA2021" s="78" t="s">
        <v>1165</v>
      </c>
      <c r="AB2021" s="75"/>
      <c r="AC2021" s="75"/>
    </row>
    <row r="2022" spans="1:29" ht="60" customHeight="1">
      <c r="A2022" s="75">
        <v>2009</v>
      </c>
      <c r="B2022" s="77">
        <v>45400</v>
      </c>
      <c r="C2022" s="696">
        <v>0.43402777777777773</v>
      </c>
      <c r="D2022" s="78" t="s">
        <v>7282</v>
      </c>
      <c r="E2022" s="79" t="s">
        <v>7283</v>
      </c>
      <c r="F2022" s="75">
        <v>4</v>
      </c>
      <c r="G2022" s="78" t="s">
        <v>1434</v>
      </c>
      <c r="H2022" s="77">
        <v>45418</v>
      </c>
      <c r="I2022" s="80" t="s">
        <v>76</v>
      </c>
      <c r="J2022" s="80" t="s">
        <v>1217</v>
      </c>
      <c r="K2022" s="75">
        <v>7</v>
      </c>
      <c r="L2022" s="78" t="s">
        <v>4766</v>
      </c>
      <c r="M2022" s="370" t="s">
        <v>4182</v>
      </c>
      <c r="N2022" s="78" t="s">
        <v>7438</v>
      </c>
      <c r="O2022" s="78" t="str">
        <f ca="1">IF(H2022&lt;&gt;"",IF(H2022&lt;=TODAY(),"SI","NO"),"LIMBO")</f>
        <v>NO</v>
      </c>
      <c r="P2022" s="78" t="str">
        <f>IF($P$1=H2022,"DIASOL", "DIANOSOL")</f>
        <v>DIANOSOL</v>
      </c>
      <c r="Q2022" s="78" t="s">
        <v>949</v>
      </c>
      <c r="R2022" s="78" t="str">
        <f>VLOOKUP($Q2022,Resultados!$A$1:$B$49,2,FALSE)</f>
        <v xml:space="preserve"> _</v>
      </c>
      <c r="S2022" s="78"/>
      <c r="T2022" s="81" t="str">
        <f>IF(G2022=$J$1,"SI","NO")</f>
        <v>NO</v>
      </c>
      <c r="U2022" s="81"/>
      <c r="V2022" s="75" t="str">
        <f ca="1">IF(color_Celda(E2022)=12106214,"ROSA",IF(color_Celda(E2022)=65535,"AMARILLO",IF(color_Celda(E2022)=5296274,"VERDE",IF(color_Celda(E2022)=16777215,"BLANCO","NO SE"))))</f>
        <v>BLANCO</v>
      </c>
      <c r="W2022" s="75"/>
      <c r="X2022" s="75"/>
      <c r="Y2022" s="75"/>
      <c r="Z2022" s="75"/>
      <c r="AA2022" s="78" t="s">
        <v>1167</v>
      </c>
      <c r="AB2022" s="75"/>
      <c r="AC2022" s="75"/>
    </row>
    <row r="2023" spans="1:29" ht="78.75" customHeight="1">
      <c r="A2023" s="510">
        <v>2018</v>
      </c>
      <c r="B2023" s="511">
        <v>45401</v>
      </c>
      <c r="C2023" s="606">
        <v>0.33333333333333331</v>
      </c>
      <c r="D2023" s="510" t="s">
        <v>6007</v>
      </c>
      <c r="E2023" s="520" t="s">
        <v>6130</v>
      </c>
      <c r="F2023" s="510">
        <v>4</v>
      </c>
      <c r="G2023" s="512" t="s">
        <v>3324</v>
      </c>
      <c r="H2023" s="535">
        <v>45418</v>
      </c>
      <c r="I2023" s="514" t="s">
        <v>76</v>
      </c>
      <c r="J2023" s="514" t="s">
        <v>35</v>
      </c>
      <c r="K2023" s="510">
        <f>IFERROR(VLOOKUP(J2023,Jueces!$A$1:$B$11,2,FALSE),"")</f>
        <v>3</v>
      </c>
      <c r="L2023" s="512" t="s">
        <v>805</v>
      </c>
      <c r="M2023" s="512" t="s">
        <v>695</v>
      </c>
      <c r="N2023" s="512" t="s">
        <v>7311</v>
      </c>
      <c r="O2023" s="233" t="str">
        <f ca="1">IF(H2023&lt;&gt;"",IF(H2023&lt;=TODAY(),"SI","NO"),"LIMBO")</f>
        <v>NO</v>
      </c>
      <c r="P2023" s="233" t="str">
        <f>IF($P$1=H2023,"DIASOL", "DIANOSOL")</f>
        <v>DIANOSOL</v>
      </c>
      <c r="Q2023" s="512" t="s">
        <v>949</v>
      </c>
      <c r="R2023" s="512" t="str">
        <f>VLOOKUP($Q2023,Resultados!$A$1:$B$49,2,FALSE)</f>
        <v xml:space="preserve"> _</v>
      </c>
      <c r="S2023" s="512"/>
      <c r="T2023" s="508" t="str">
        <f>IF(G2023=$J$1,"SI","NO")</f>
        <v>NO</v>
      </c>
      <c r="U2023" s="508"/>
      <c r="V2023" s="426" t="str">
        <f ca="1">IF(color_Celda(E2023)=12106214,"ROSA",IF(color_Celda(E2023)=65535,"AMARILLO",IF(color_Celda(E2023)=5296274,"VERDE",IF(color_Celda(E2023)=16777215,"BLANCO","NO SE"))))</f>
        <v>BLANCO</v>
      </c>
      <c r="W2023" s="510"/>
      <c r="X2023" s="510"/>
      <c r="Y2023" s="510"/>
      <c r="Z2023" s="510"/>
      <c r="AA2023" s="512" t="s">
        <v>2869</v>
      </c>
      <c r="AB2023" s="510"/>
      <c r="AC2023" s="510"/>
    </row>
    <row r="2024" spans="1:29" ht="60" customHeight="1">
      <c r="A2024" s="510">
        <v>2033</v>
      </c>
      <c r="B2024" s="511">
        <v>45401</v>
      </c>
      <c r="C2024" s="512" t="s">
        <v>1206</v>
      </c>
      <c r="D2024" s="512" t="s">
        <v>7347</v>
      </c>
      <c r="E2024" s="513" t="s">
        <v>7348</v>
      </c>
      <c r="F2024" s="510">
        <v>7</v>
      </c>
      <c r="G2024" s="512" t="s">
        <v>2766</v>
      </c>
      <c r="H2024" s="511">
        <v>45418</v>
      </c>
      <c r="I2024" s="514" t="s">
        <v>76</v>
      </c>
      <c r="J2024" s="514" t="s">
        <v>1216</v>
      </c>
      <c r="K2024" s="510">
        <v>5</v>
      </c>
      <c r="L2024" s="512" t="s">
        <v>4790</v>
      </c>
      <c r="M2024" s="512" t="s">
        <v>767</v>
      </c>
      <c r="N2024" s="510"/>
      <c r="O2024" s="233" t="str">
        <f ca="1">IF(H2024&lt;&gt;"",IF(H2024&lt;=TODAY(),"SI","NO"),"LIMBO")</f>
        <v>NO</v>
      </c>
      <c r="P2024" s="233" t="str">
        <f>IF($P$1=H2024,"DIASOL", "DIANOSOL")</f>
        <v>DIANOSOL</v>
      </c>
      <c r="Q2024" s="512" t="s">
        <v>949</v>
      </c>
      <c r="R2024" s="512" t="str">
        <f>VLOOKUP($Q2024,Resultados!$A$1:$B$49,2,FALSE)</f>
        <v xml:space="preserve"> _</v>
      </c>
      <c r="S2024" s="512"/>
      <c r="T2024" s="508" t="str">
        <f>IF(G2024=$J$1,"SI","NO")</f>
        <v>NO</v>
      </c>
      <c r="U2024" s="508"/>
      <c r="V2024" s="426" t="str">
        <f ca="1">IF(color_Celda(E2024)=12106214,"ROSA",IF(color_Celda(E2024)=65535,"AMARILLO",IF(color_Celda(E2024)=5296274,"VERDE",IF(color_Celda(E2024)=16777215,"BLANCO","NO SE"))))</f>
        <v>BLANCO</v>
      </c>
      <c r="W2024" s="510"/>
      <c r="X2024" s="510"/>
      <c r="Y2024" s="510"/>
      <c r="Z2024" s="510"/>
      <c r="AA2024" s="512" t="s">
        <v>1167</v>
      </c>
      <c r="AB2024" s="510"/>
      <c r="AC2024" s="510"/>
    </row>
    <row r="2025" spans="1:29" ht="60" customHeight="1">
      <c r="A2025" s="75">
        <v>2027</v>
      </c>
      <c r="B2025" s="80">
        <v>45401</v>
      </c>
      <c r="C2025" s="78" t="s">
        <v>1755</v>
      </c>
      <c r="D2025" s="78" t="s">
        <v>7325</v>
      </c>
      <c r="E2025" s="79" t="s">
        <v>7372</v>
      </c>
      <c r="F2025" s="75">
        <v>8</v>
      </c>
      <c r="G2025" s="78" t="s">
        <v>2752</v>
      </c>
      <c r="H2025" s="77">
        <v>45418</v>
      </c>
      <c r="I2025" s="80" t="s">
        <v>1601</v>
      </c>
      <c r="J2025" s="80" t="s">
        <v>1221</v>
      </c>
      <c r="K2025" s="75">
        <f>IFERROR(VLOOKUP(J2025,Jueces!$A$1:$B$11,2,FALSE),"")</f>
        <v>6</v>
      </c>
      <c r="L2025" s="78" t="s">
        <v>4767</v>
      </c>
      <c r="M2025" s="331" t="s">
        <v>7373</v>
      </c>
      <c r="N2025" s="78" t="s">
        <v>7551</v>
      </c>
      <c r="O2025" s="78" t="str">
        <f ca="1">IF(H2025&lt;&gt;"",IF(H2025&lt;=TODAY(),"SI","NO"),"LIMBO")</f>
        <v>NO</v>
      </c>
      <c r="P2025" s="78" t="str">
        <f>IF($P$1=H2025,"DIASOL", "DIANOSOL")</f>
        <v>DIANOSOL</v>
      </c>
      <c r="Q2025" s="78" t="s">
        <v>949</v>
      </c>
      <c r="R2025" s="78" t="str">
        <f>VLOOKUP($Q2025,Resultados!$A$1:$B$49,2,FALSE)</f>
        <v xml:space="preserve"> _</v>
      </c>
      <c r="S2025" s="78"/>
      <c r="T2025" s="81" t="str">
        <f>IF(G2025=$J$1,"SI","NO")</f>
        <v>NO</v>
      </c>
      <c r="U2025" s="81"/>
      <c r="V2025" s="75" t="str">
        <f ca="1">IF(color_Celda(E2025)=12106214,"ROSA",IF(color_Celda(E2025)=65535,"AMARILLO",IF(color_Celda(E2025)=5296274,"VERDE",IF(color_Celda(E2025)=16777215,"BLANCO","NO SE"))))</f>
        <v>BLANCO</v>
      </c>
      <c r="W2025" s="75"/>
      <c r="X2025" s="75"/>
      <c r="Y2025" s="75"/>
      <c r="Z2025" s="75"/>
      <c r="AA2025" s="78" t="s">
        <v>3378</v>
      </c>
      <c r="AB2025" s="75"/>
      <c r="AC2025" s="75"/>
    </row>
    <row r="2026" spans="1:29" ht="60" customHeight="1">
      <c r="A2026" s="510">
        <v>2017</v>
      </c>
      <c r="B2026" s="514">
        <v>45401</v>
      </c>
      <c r="C2026" s="622" t="s">
        <v>73</v>
      </c>
      <c r="D2026" s="375" t="s">
        <v>4922</v>
      </c>
      <c r="E2026" s="520" t="s">
        <v>4923</v>
      </c>
      <c r="F2026" s="510">
        <v>7</v>
      </c>
      <c r="G2026" s="512" t="s">
        <v>5710</v>
      </c>
      <c r="H2026" s="535">
        <v>45418</v>
      </c>
      <c r="I2026" s="514" t="s">
        <v>75</v>
      </c>
      <c r="J2026" s="514" t="s">
        <v>1216</v>
      </c>
      <c r="K2026" s="512" t="s">
        <v>7439</v>
      </c>
      <c r="L2026" s="512" t="s">
        <v>802</v>
      </c>
      <c r="M2026" s="806" t="s">
        <v>2860</v>
      </c>
      <c r="N2026" s="512" t="s">
        <v>7310</v>
      </c>
      <c r="O2026" s="233" t="str">
        <f ca="1">IF(H2026&lt;&gt;"",IF(H2026&lt;=TODAY(),"SI","NO"),"LIMBO")</f>
        <v>NO</v>
      </c>
      <c r="P2026" s="233" t="str">
        <f>IF($P$1=H2026,"DIASOL", "DIANOSOL")</f>
        <v>DIANOSOL</v>
      </c>
      <c r="Q2026" s="512" t="s">
        <v>949</v>
      </c>
      <c r="R2026" s="512" t="str">
        <f>VLOOKUP($Q2026,Resultados!$A$1:$B$49,2,FALSE)</f>
        <v xml:space="preserve"> _</v>
      </c>
      <c r="S2026" s="512"/>
      <c r="T2026" s="508" t="str">
        <f>IF(G2026=$J$1,"SI","NO")</f>
        <v>NO</v>
      </c>
      <c r="U2026" s="508"/>
      <c r="V2026" s="426" t="str">
        <f ca="1">IF(color_Celda(E2026)=12106214,"ROSA",IF(color_Celda(E2026)=65535,"AMARILLO",IF(color_Celda(E2026)=5296274,"VERDE",IF(color_Celda(E2026)=16777215,"BLANCO","NO SE"))))</f>
        <v>BLANCO</v>
      </c>
      <c r="W2026" s="510"/>
      <c r="X2026" s="510"/>
      <c r="Y2026" s="510"/>
      <c r="Z2026" s="510"/>
      <c r="AA2026" s="512" t="s">
        <v>3378</v>
      </c>
      <c r="AB2026" s="510"/>
      <c r="AC2026" s="510" t="s">
        <v>1792</v>
      </c>
    </row>
    <row r="2027" spans="1:29" ht="69.900000000000006" customHeight="1">
      <c r="A2027" s="75">
        <v>2032</v>
      </c>
      <c r="B2027" s="77">
        <v>45404</v>
      </c>
      <c r="C2027" s="696">
        <v>0.3347222222222222</v>
      </c>
      <c r="D2027" s="78" t="s">
        <v>7343</v>
      </c>
      <c r="E2027" s="79" t="s">
        <v>7344</v>
      </c>
      <c r="F2027" s="75">
        <v>4</v>
      </c>
      <c r="G2027" s="78" t="s">
        <v>29</v>
      </c>
      <c r="H2027" s="77">
        <v>45418</v>
      </c>
      <c r="I2027" s="80" t="s">
        <v>77</v>
      </c>
      <c r="J2027" s="80" t="s">
        <v>33</v>
      </c>
      <c r="K2027" s="75">
        <f>IFERROR(VLOOKUP(J2027,Jueces!$A$1:$B$11,2,FALSE),"")</f>
        <v>4</v>
      </c>
      <c r="L2027" s="78" t="s">
        <v>4790</v>
      </c>
      <c r="M2027" s="570" t="s">
        <v>7392</v>
      </c>
      <c r="N2027" s="78" t="s">
        <v>7393</v>
      </c>
      <c r="O2027" s="78" t="str">
        <f ca="1">IF(H2027&lt;&gt;"",IF(H2027&lt;=TODAY(),"SI","NO"),"LIMBO")</f>
        <v>NO</v>
      </c>
      <c r="P2027" s="78" t="str">
        <f>IF($P$1=H2027,"DIASOL", "DIANOSOL")</f>
        <v>DIANOSOL</v>
      </c>
      <c r="Q2027" s="78" t="s">
        <v>949</v>
      </c>
      <c r="R2027" s="78" t="str">
        <f>VLOOKUP($Q2027,Resultados!$A$1:$B$49,2,FALSE)</f>
        <v xml:space="preserve"> _</v>
      </c>
      <c r="S2027" s="78"/>
      <c r="T2027" s="81" t="str">
        <f>IF(G2027=$J$1,"SI","NO")</f>
        <v>NO</v>
      </c>
      <c r="U2027" s="81"/>
      <c r="V2027" s="75" t="str">
        <f ca="1">IF(color_Celda(E2027)=12106214,"ROSA",IF(color_Celda(E2027)=65535,"AMARILLO",IF(color_Celda(E2027)=5296274,"VERDE",IF(color_Celda(E2027)=16777215,"BLANCO","NO SE"))))</f>
        <v>BLANCO</v>
      </c>
      <c r="W2027" s="75"/>
      <c r="X2027" s="75"/>
      <c r="Y2027" s="75"/>
      <c r="Z2027" s="75"/>
      <c r="AA2027" s="78" t="s">
        <v>2869</v>
      </c>
      <c r="AB2027" s="75"/>
      <c r="AC2027" s="75"/>
    </row>
    <row r="2028" spans="1:29" ht="60" customHeight="1">
      <c r="A2028" s="75">
        <v>2033</v>
      </c>
      <c r="B2028" s="77">
        <v>45376</v>
      </c>
      <c r="C2028" s="696" t="s">
        <v>3465</v>
      </c>
      <c r="D2028" s="75" t="s">
        <v>6831</v>
      </c>
      <c r="E2028" s="347" t="s">
        <v>6977</v>
      </c>
      <c r="F2028" s="75">
        <v>3</v>
      </c>
      <c r="G2028" s="78" t="s">
        <v>29</v>
      </c>
      <c r="H2028" s="424">
        <v>45419</v>
      </c>
      <c r="I2028" s="80" t="s">
        <v>73</v>
      </c>
      <c r="J2028" s="80" t="s">
        <v>35</v>
      </c>
      <c r="K2028" s="75">
        <f>IFERROR(VLOOKUP(J2028,Jueces!$A$1:$B$11,2,FALSE),"")</f>
        <v>3</v>
      </c>
      <c r="L2028" s="78" t="s">
        <v>4766</v>
      </c>
      <c r="M2028" s="331" t="s">
        <v>7350</v>
      </c>
      <c r="N2028" s="75"/>
      <c r="O2028" s="78" t="str">
        <f ca="1">IF(H2028&lt;&gt;"",IF(H2028&lt;=TODAY(),"SI","NO"),"LIMBO")</f>
        <v>NO</v>
      </c>
      <c r="P2028" s="78" t="str">
        <f>IF($P$1=H2028,"DIASOL", "DIANOSOL")</f>
        <v>DIANOSOL</v>
      </c>
      <c r="Q2028" s="78" t="s">
        <v>949</v>
      </c>
      <c r="R2028" s="78" t="str">
        <f>VLOOKUP($Q2028,Resultados!$A$1:$B$49,2,FALSE)</f>
        <v xml:space="preserve"> _</v>
      </c>
      <c r="S2028" s="78"/>
      <c r="T2028" s="81" t="str">
        <f>IF(G2028=$J$1,"SI","NO")</f>
        <v>NO</v>
      </c>
      <c r="U2028" s="81"/>
      <c r="V2028" s="75" t="str">
        <f ca="1">IF(color_Celda(E2028)=12106214,"ROSA",IF(color_Celda(E2028)=65535,"AMARILLO",IF(color_Celda(E2028)=5296274,"VERDE",IF(color_Celda(E2028)=16777215,"BLANCO","NO SE"))))</f>
        <v>BLANCO</v>
      </c>
      <c r="W2028" s="75"/>
      <c r="X2028" s="75"/>
      <c r="Y2028" s="75"/>
      <c r="Z2028" s="75"/>
      <c r="AA2028" s="78" t="s">
        <v>1167</v>
      </c>
      <c r="AB2028" s="75"/>
      <c r="AC2028" s="75"/>
    </row>
    <row r="2029" spans="1:29" ht="75" customHeight="1">
      <c r="A2029" s="510">
        <v>2042</v>
      </c>
      <c r="B2029" s="511">
        <v>45405</v>
      </c>
      <c r="C2029" s="606">
        <v>0.40486111111111112</v>
      </c>
      <c r="D2029" s="82" t="s">
        <v>7381</v>
      </c>
      <c r="E2029" s="702" t="s">
        <v>7382</v>
      </c>
      <c r="F2029" s="700">
        <v>1</v>
      </c>
      <c r="G2029" s="82" t="s">
        <v>1435</v>
      </c>
      <c r="H2029" s="701">
        <v>45419</v>
      </c>
      <c r="I2029" s="83" t="s">
        <v>73</v>
      </c>
      <c r="J2029" s="83" t="s">
        <v>33</v>
      </c>
      <c r="K2029" s="700">
        <f>IFERROR(VLOOKUP(J2029,Jueces!$A$1:$B$11,2,FALSE),"")</f>
        <v>4</v>
      </c>
      <c r="L2029" s="82" t="s">
        <v>4790</v>
      </c>
      <c r="M2029" s="82" t="s">
        <v>1084</v>
      </c>
      <c r="N2029" s="82" t="s">
        <v>7404</v>
      </c>
      <c r="O2029" s="233" t="str">
        <f ca="1">IF(H2029&lt;&gt;"",IF(H2029&lt;=TODAY(),"SI","NO"),"LIMBO")</f>
        <v>NO</v>
      </c>
      <c r="P2029" s="233" t="str">
        <f>IF($P$1=H2029,"DIASOL", "DIANOSOL")</f>
        <v>DIANOSOL</v>
      </c>
      <c r="Q2029" s="512" t="s">
        <v>949</v>
      </c>
      <c r="R2029" s="512" t="str">
        <f>VLOOKUP($Q2029,Resultados!$A$1:$B$49,2,FALSE)</f>
        <v xml:space="preserve"> _</v>
      </c>
      <c r="S2029" s="512"/>
      <c r="T2029" s="508" t="str">
        <f>IF(G2029=$J$1,"SI","NO")</f>
        <v>SI</v>
      </c>
      <c r="U2029" s="508"/>
      <c r="V2029" s="426" t="str">
        <f ca="1">IF(color_Celda(E2029)=12106214,"ROSA",IF(color_Celda(E2029)=65535,"AMARILLO",IF(color_Celda(E2029)=5296274,"VERDE",IF(color_Celda(E2029)=16777215,"BLANCO","NO SE"))))</f>
        <v>BLANCO</v>
      </c>
      <c r="W2029" s="510"/>
      <c r="X2029" s="510"/>
      <c r="Y2029" s="510"/>
      <c r="Z2029" s="510"/>
      <c r="AA2029" s="82" t="s">
        <v>1165</v>
      </c>
      <c r="AB2029" s="510"/>
      <c r="AC2029" s="510"/>
    </row>
    <row r="2030" spans="1:29" ht="75" customHeight="1">
      <c r="A2030" s="75">
        <v>2065</v>
      </c>
      <c r="B2030" s="77">
        <v>45407</v>
      </c>
      <c r="C2030" s="696">
        <v>0.45833333333333331</v>
      </c>
      <c r="D2030" s="85" t="s">
        <v>5428</v>
      </c>
      <c r="E2030" s="699" t="s">
        <v>6906</v>
      </c>
      <c r="F2030" s="85">
        <v>7</v>
      </c>
      <c r="G2030" s="76" t="s">
        <v>3324</v>
      </c>
      <c r="H2030" s="708">
        <v>45419</v>
      </c>
      <c r="I2030" s="234" t="s">
        <v>73</v>
      </c>
      <c r="J2030" s="234" t="s">
        <v>1217</v>
      </c>
      <c r="K2030" s="85">
        <f>IFERROR(VLOOKUP(J2030,Jueces!$A$1:$B$11,2,FALSE),"")</f>
        <v>7</v>
      </c>
      <c r="L2030" s="76" t="s">
        <v>805</v>
      </c>
      <c r="M2030" s="76" t="s">
        <v>7506</v>
      </c>
      <c r="N2030" s="85" t="s">
        <v>7249</v>
      </c>
      <c r="O2030" s="78" t="str">
        <f ca="1">IF(H2030&lt;&gt;"",IF(H2030&lt;=TODAY(),"SI","NO"),"LIMBO")</f>
        <v>NO</v>
      </c>
      <c r="P2030" s="78" t="str">
        <f>IF($P$1=H2030,"DIASOL", "DIANOSOL")</f>
        <v>DIANOSOL</v>
      </c>
      <c r="Q2030" s="78" t="s">
        <v>949</v>
      </c>
      <c r="R2030" s="78" t="str">
        <f>VLOOKUP($Q2030,Resultados!$A$1:$B$49,2,FALSE)</f>
        <v xml:space="preserve"> _</v>
      </c>
      <c r="S2030" s="78"/>
      <c r="T2030" s="81" t="str">
        <f>IF(G2030=$J$1,"SI","NO")</f>
        <v>NO</v>
      </c>
      <c r="U2030" s="81"/>
      <c r="V2030" s="75" t="str">
        <f ca="1">IF(color_Celda(E2030)=12106214,"ROSA",IF(color_Celda(E2030)=65535,"AMARILLO",IF(color_Celda(E2030)=5296274,"VERDE",IF(color_Celda(E2030)=16777215,"BLANCO","NO SE"))))</f>
        <v>BLANCO</v>
      </c>
      <c r="W2030" s="75"/>
      <c r="X2030" s="75"/>
      <c r="Y2030" s="75"/>
      <c r="Z2030" s="75"/>
      <c r="AA2030" s="76" t="s">
        <v>1167</v>
      </c>
      <c r="AB2030" s="75"/>
      <c r="AC2030" s="75"/>
    </row>
    <row r="2031" spans="1:29" ht="75" customHeight="1">
      <c r="A2031" s="510">
        <v>2035</v>
      </c>
      <c r="B2031" s="511">
        <v>45404</v>
      </c>
      <c r="C2031" s="606">
        <v>0.49583333333333335</v>
      </c>
      <c r="D2031" s="82" t="s">
        <v>7353</v>
      </c>
      <c r="E2031" s="702" t="s">
        <v>7440</v>
      </c>
      <c r="F2031" s="700">
        <v>1</v>
      </c>
      <c r="G2031" s="82" t="s">
        <v>3323</v>
      </c>
      <c r="H2031" s="701">
        <v>45419</v>
      </c>
      <c r="I2031" s="83" t="s">
        <v>749</v>
      </c>
      <c r="J2031" s="83" t="s">
        <v>1221</v>
      </c>
      <c r="K2031" s="700">
        <f>IFERROR(VLOOKUP(J2031,Jueces!$A$1:$B$11,2,FALSE),"")</f>
        <v>6</v>
      </c>
      <c r="L2031" s="82" t="s">
        <v>4789</v>
      </c>
      <c r="M2031" s="82" t="s">
        <v>885</v>
      </c>
      <c r="N2031" s="700"/>
      <c r="O2031" s="167" t="str">
        <f ca="1">IF(H2031&lt;&gt;"",IF(H2031&lt;=TODAY(),"SI","NO"),"LIMBO")</f>
        <v>NO</v>
      </c>
      <c r="P2031" s="167" t="str">
        <f>IF($P$1=H2031,"DIASOL", "DIANOSOL")</f>
        <v>DIANOSOL</v>
      </c>
      <c r="Q2031" s="512" t="s">
        <v>949</v>
      </c>
      <c r="R2031" s="512" t="str">
        <f>VLOOKUP($Q2031,Resultados!$A$1:$B$49,2,FALSE)</f>
        <v xml:space="preserve"> _</v>
      </c>
      <c r="S2031" s="512"/>
      <c r="T2031" s="414" t="str">
        <f>IF(G2031=$J$1,"SI","NO")</f>
        <v>NO</v>
      </c>
      <c r="U2031" s="414"/>
      <c r="V2031" s="326" t="str">
        <f ca="1">IF(color_Celda(E2031)=12106214,"ROSA",IF(color_Celda(E2031)=65535,"AMARILLO",IF(color_Celda(E2031)=5296274,"VERDE",IF(color_Celda(E2031)=16777215,"BLANCO","NO SE"))))</f>
        <v>BLANCO</v>
      </c>
      <c r="W2031" s="510"/>
      <c r="X2031" s="510"/>
      <c r="Y2031" s="510"/>
      <c r="Z2031" s="510"/>
      <c r="AA2031" s="82" t="s">
        <v>3378</v>
      </c>
      <c r="AB2031" s="510"/>
      <c r="AC2031" s="510"/>
    </row>
    <row r="2032" spans="1:29" ht="75" customHeight="1">
      <c r="A2032" s="75">
        <v>2037</v>
      </c>
      <c r="B2032" s="77">
        <v>45404</v>
      </c>
      <c r="C2032" s="696">
        <v>0.52569444444444446</v>
      </c>
      <c r="D2032" s="76" t="s">
        <v>7356</v>
      </c>
      <c r="E2032" s="203" t="s">
        <v>7521</v>
      </c>
      <c r="F2032" s="85">
        <v>8</v>
      </c>
      <c r="G2032" s="76" t="s">
        <v>283</v>
      </c>
      <c r="H2032" s="204">
        <v>45419</v>
      </c>
      <c r="I2032" s="234" t="s">
        <v>76</v>
      </c>
      <c r="J2032" s="234" t="s">
        <v>78</v>
      </c>
      <c r="K2032" s="85">
        <f>IFERROR(VLOOKUP(J2032,Jueces!$A$1:$B$11,2,FALSE),"")</f>
        <v>8</v>
      </c>
      <c r="L2032" s="76" t="s">
        <v>791</v>
      </c>
      <c r="M2032" s="76" t="s">
        <v>885</v>
      </c>
      <c r="N2032" s="85"/>
      <c r="O2032" s="78" t="str">
        <f ca="1">IF(H2032&lt;&gt;"",IF(H2032&lt;=TODAY(),"SI","NO"),"LIMBO")</f>
        <v>NO</v>
      </c>
      <c r="P2032" s="78" t="str">
        <f>IF($P$1=H2032,"DIASOL", "DIANOSOL")</f>
        <v>DIANOSOL</v>
      </c>
      <c r="Q2032" s="78" t="s">
        <v>949</v>
      </c>
      <c r="R2032" s="78" t="str">
        <f>VLOOKUP($Q2032,Resultados!$A$1:$B$49,2,FALSE)</f>
        <v xml:space="preserve"> _</v>
      </c>
      <c r="S2032" s="78"/>
      <c r="T2032" s="81" t="str">
        <f>IF(G2032=$J$1,"SI","NO")</f>
        <v>NO</v>
      </c>
      <c r="U2032" s="81"/>
      <c r="V2032" s="75" t="str">
        <f ca="1">IF(color_Celda(E2032)=12106214,"ROSA",IF(color_Celda(E2032)=65535,"AMARILLO",IF(color_Celda(E2032)=5296274,"VERDE",IF(color_Celda(E2032)=16777215,"BLANCO","NO SE"))))</f>
        <v>BLANCO</v>
      </c>
      <c r="W2032" s="75"/>
      <c r="X2032" s="75"/>
      <c r="Y2032" s="75"/>
      <c r="Z2032" s="75"/>
      <c r="AA2032" s="76" t="s">
        <v>2869</v>
      </c>
      <c r="AB2032" s="75"/>
      <c r="AC2032" s="75"/>
    </row>
    <row r="2033" spans="1:29" ht="75" customHeight="1">
      <c r="A2033" s="510">
        <v>2041</v>
      </c>
      <c r="B2033" s="511">
        <v>45405</v>
      </c>
      <c r="C2033" s="606">
        <v>0.38125000000000003</v>
      </c>
      <c r="D2033" s="82" t="s">
        <v>7377</v>
      </c>
      <c r="E2033" s="702" t="s">
        <v>7378</v>
      </c>
      <c r="F2033" s="700">
        <v>7</v>
      </c>
      <c r="G2033" s="82" t="s">
        <v>1433</v>
      </c>
      <c r="H2033" s="701">
        <v>45419</v>
      </c>
      <c r="I2033" s="83" t="s">
        <v>76</v>
      </c>
      <c r="J2033" s="83" t="s">
        <v>35</v>
      </c>
      <c r="K2033" s="82" t="s">
        <v>1982</v>
      </c>
      <c r="L2033" s="82" t="s">
        <v>582</v>
      </c>
      <c r="M2033" s="82" t="s">
        <v>725</v>
      </c>
      <c r="N2033" s="700"/>
      <c r="O2033" s="167" t="str">
        <f ca="1">IF(H2033&lt;&gt;"",IF(H2033&lt;=TODAY(),"SI","NO"),"LIMBO")</f>
        <v>NO</v>
      </c>
      <c r="P2033" s="167" t="str">
        <f>IF($P$1=H2033,"DIASOL", "DIANOSOL")</f>
        <v>DIANOSOL</v>
      </c>
      <c r="Q2033" s="512" t="s">
        <v>949</v>
      </c>
      <c r="R2033" s="512" t="str">
        <f>VLOOKUP($Q2033,Resultados!$A$1:$B$49,2,FALSE)</f>
        <v xml:space="preserve"> _</v>
      </c>
      <c r="S2033" s="512"/>
      <c r="T2033" s="414" t="str">
        <f>IF(G2033=$J$1,"SI","NO")</f>
        <v>NO</v>
      </c>
      <c r="U2033" s="414"/>
      <c r="V2033" s="326" t="str">
        <f ca="1">IF(color_Celda(E2033)=12106214,"ROSA",IF(color_Celda(E2033)=65535,"AMARILLO",IF(color_Celda(E2033)=5296274,"VERDE",IF(color_Celda(E2033)=16777215,"BLANCO","NO SE"))))</f>
        <v>BLANCO</v>
      </c>
      <c r="W2033" s="510"/>
      <c r="X2033" s="510"/>
      <c r="Y2033" s="510"/>
      <c r="Z2033" s="510"/>
      <c r="AA2033" s="700"/>
      <c r="AB2033" s="510"/>
      <c r="AC2033" s="510"/>
    </row>
    <row r="2034" spans="1:29" ht="75" customHeight="1">
      <c r="A2034" s="510">
        <v>2029</v>
      </c>
      <c r="B2034" s="511">
        <v>45401</v>
      </c>
      <c r="C2034" s="512" t="s">
        <v>5668</v>
      </c>
      <c r="D2034" s="82" t="s">
        <v>7335</v>
      </c>
      <c r="E2034" s="702" t="s">
        <v>7385</v>
      </c>
      <c r="F2034" s="700">
        <v>1</v>
      </c>
      <c r="G2034" s="82" t="s">
        <v>5710</v>
      </c>
      <c r="H2034" s="701">
        <v>45419</v>
      </c>
      <c r="I2034" s="83" t="s">
        <v>75</v>
      </c>
      <c r="J2034" s="83" t="s">
        <v>78</v>
      </c>
      <c r="K2034" s="700">
        <f>IFERROR(VLOOKUP(J2034,Jueces!$A$1:$B$11,2,FALSE),"")</f>
        <v>8</v>
      </c>
      <c r="L2034" s="82" t="s">
        <v>791</v>
      </c>
      <c r="M2034" s="82" t="s">
        <v>885</v>
      </c>
      <c r="N2034" s="700"/>
      <c r="O2034" s="167" t="str">
        <f ca="1">IF(H2034&lt;&gt;"",IF(H2034&lt;=TODAY(),"SI","NO"),"LIMBO")</f>
        <v>NO</v>
      </c>
      <c r="P2034" s="167" t="str">
        <f>IF($P$1=H2034,"DIASOL", "DIANOSOL")</f>
        <v>DIANOSOL</v>
      </c>
      <c r="Q2034" s="512" t="s">
        <v>949</v>
      </c>
      <c r="R2034" s="512" t="str">
        <f>VLOOKUP($Q2034,Resultados!$A$1:$B$49,2,FALSE)</f>
        <v xml:space="preserve"> _</v>
      </c>
      <c r="S2034" s="512"/>
      <c r="T2034" s="414" t="str">
        <f>IF(G2034=$J$1,"SI","NO")</f>
        <v>NO</v>
      </c>
      <c r="U2034" s="414"/>
      <c r="V2034" s="326" t="str">
        <f ca="1">IF(color_Celda(E2034)=12106214,"ROSA",IF(color_Celda(E2034)=65535,"AMARILLO",IF(color_Celda(E2034)=5296274,"VERDE",IF(color_Celda(E2034)=16777215,"BLANCO","NO SE"))))</f>
        <v>BLANCO</v>
      </c>
      <c r="W2034" s="510"/>
      <c r="X2034" s="510"/>
      <c r="Y2034" s="510"/>
      <c r="Z2034" s="510"/>
      <c r="AA2034" s="82" t="s">
        <v>2828</v>
      </c>
      <c r="AB2034" s="510"/>
      <c r="AC2034" s="510"/>
    </row>
    <row r="2035" spans="1:29" ht="75" customHeight="1">
      <c r="A2035" s="510">
        <v>2036</v>
      </c>
      <c r="B2035" s="511">
        <v>45404</v>
      </c>
      <c r="C2035" s="606">
        <v>0.4993055555555555</v>
      </c>
      <c r="D2035" s="82" t="s">
        <v>7354</v>
      </c>
      <c r="E2035" s="702" t="s">
        <v>7441</v>
      </c>
      <c r="F2035" s="700">
        <v>1</v>
      </c>
      <c r="G2035" s="82" t="s">
        <v>568</v>
      </c>
      <c r="H2035" s="701">
        <v>45419</v>
      </c>
      <c r="I2035" s="83" t="s">
        <v>3171</v>
      </c>
      <c r="J2035" s="83" t="s">
        <v>1221</v>
      </c>
      <c r="K2035" s="82" t="s">
        <v>1982</v>
      </c>
      <c r="L2035" s="82" t="s">
        <v>4791</v>
      </c>
      <c r="M2035" s="82" t="s">
        <v>7374</v>
      </c>
      <c r="N2035" s="700"/>
      <c r="O2035" s="167" t="str">
        <f ca="1">IF(H2035&lt;&gt;"",IF(H2035&lt;=TODAY(),"SI","NO"),"LIMBO")</f>
        <v>NO</v>
      </c>
      <c r="P2035" s="167" t="str">
        <f>IF($P$1=H2035,"DIASOL", "DIANOSOL")</f>
        <v>DIANOSOL</v>
      </c>
      <c r="Q2035" s="512" t="s">
        <v>949</v>
      </c>
      <c r="R2035" s="512" t="str">
        <f>VLOOKUP($Q2035,Resultados!$A$1:$B$49,2,FALSE)</f>
        <v xml:space="preserve"> _</v>
      </c>
      <c r="S2035" s="512"/>
      <c r="T2035" s="414" t="str">
        <f>IF(G2035=$J$1,"SI","NO")</f>
        <v>NO</v>
      </c>
      <c r="U2035" s="414"/>
      <c r="V2035" s="326" t="str">
        <f ca="1">IF(color_Celda(E2035)=12106214,"ROSA",IF(color_Celda(E2035)=65535,"AMARILLO",IF(color_Celda(E2035)=5296274,"VERDE",IF(color_Celda(E2035)=16777215,"BLANCO","NO SE"))))</f>
        <v>BLANCO</v>
      </c>
      <c r="W2035" s="510"/>
      <c r="X2035" s="510"/>
      <c r="Y2035" s="510"/>
      <c r="Z2035" s="510"/>
      <c r="AA2035" s="82" t="s">
        <v>1165</v>
      </c>
      <c r="AB2035" s="510"/>
      <c r="AC2035" s="510"/>
    </row>
    <row r="2036" spans="1:29" ht="75" customHeight="1">
      <c r="A2036" s="75">
        <v>2038</v>
      </c>
      <c r="B2036" s="77">
        <v>45404</v>
      </c>
      <c r="C2036" s="696">
        <v>0.53472222222222221</v>
      </c>
      <c r="D2036" s="76" t="s">
        <v>7357</v>
      </c>
      <c r="E2036" s="203" t="s">
        <v>7358</v>
      </c>
      <c r="F2036" s="85">
        <v>1</v>
      </c>
      <c r="G2036" s="76" t="s">
        <v>2752</v>
      </c>
      <c r="H2036" s="204">
        <v>45419</v>
      </c>
      <c r="I2036" s="234" t="s">
        <v>77</v>
      </c>
      <c r="J2036" s="234" t="s">
        <v>1216</v>
      </c>
      <c r="K2036" s="76" t="s">
        <v>1982</v>
      </c>
      <c r="L2036" s="76" t="s">
        <v>4788</v>
      </c>
      <c r="M2036" s="76" t="s">
        <v>885</v>
      </c>
      <c r="N2036" s="85"/>
      <c r="O2036" s="78" t="str">
        <f ca="1">IF(H2036&lt;&gt;"",IF(H2036&lt;=TODAY(),"SI","NO"),"LIMBO")</f>
        <v>NO</v>
      </c>
      <c r="P2036" s="78" t="str">
        <f>IF($P$1=H2036,"DIASOL", "DIANOSOL")</f>
        <v>DIANOSOL</v>
      </c>
      <c r="Q2036" s="78" t="s">
        <v>949</v>
      </c>
      <c r="R2036" s="78" t="str">
        <f>VLOOKUP($Q2036,Resultados!$A$1:$B$49,2,FALSE)</f>
        <v xml:space="preserve"> _</v>
      </c>
      <c r="S2036" s="78"/>
      <c r="T2036" s="81" t="str">
        <f>IF(G2036=$J$1,"SI","NO")</f>
        <v>NO</v>
      </c>
      <c r="U2036" s="81"/>
      <c r="V2036" s="75" t="str">
        <f ca="1">IF(color_Celda(E2036)=12106214,"ROSA",IF(color_Celda(E2036)=65535,"AMARILLO",IF(color_Celda(E2036)=5296274,"VERDE",IF(color_Celda(E2036)=16777215,"BLANCO","NO SE"))))</f>
        <v>BLANCO</v>
      </c>
      <c r="W2036" s="75"/>
      <c r="X2036" s="75"/>
      <c r="Y2036" s="75"/>
      <c r="Z2036" s="75"/>
      <c r="AA2036" s="76" t="s">
        <v>2828</v>
      </c>
      <c r="AB2036" s="75"/>
      <c r="AC2036" s="75"/>
    </row>
    <row r="2037" spans="1:29" ht="75" customHeight="1">
      <c r="A2037" s="75">
        <v>2020</v>
      </c>
      <c r="B2037" s="77">
        <v>45401</v>
      </c>
      <c r="C2037" s="78" t="s">
        <v>2935</v>
      </c>
      <c r="D2037" s="76" t="s">
        <v>7314</v>
      </c>
      <c r="E2037" s="203" t="s">
        <v>7345</v>
      </c>
      <c r="F2037" s="85">
        <v>1</v>
      </c>
      <c r="G2037" s="76" t="s">
        <v>3791</v>
      </c>
      <c r="H2037" s="204">
        <v>45419</v>
      </c>
      <c r="I2037" s="234" t="s">
        <v>228</v>
      </c>
      <c r="J2037" s="234" t="s">
        <v>1217</v>
      </c>
      <c r="K2037" s="76" t="s">
        <v>3922</v>
      </c>
      <c r="L2037" s="76" t="s">
        <v>4790</v>
      </c>
      <c r="M2037" s="76" t="s">
        <v>885</v>
      </c>
      <c r="N2037" s="76" t="s">
        <v>7511</v>
      </c>
      <c r="O2037" s="78" t="str">
        <f ca="1">IF(H2037&lt;&gt;"",IF(H2037&lt;=TODAY(),"SI","NO"),"LIMBO")</f>
        <v>NO</v>
      </c>
      <c r="P2037" s="78" t="str">
        <f>IF($P$1=H2037,"DIASOL", "DIANOSOL")</f>
        <v>DIANOSOL</v>
      </c>
      <c r="Q2037" s="78" t="s">
        <v>949</v>
      </c>
      <c r="R2037" s="78" t="str">
        <f>VLOOKUP($Q2037,Resultados!$A$1:$B$49,2,FALSE)</f>
        <v xml:space="preserve"> _</v>
      </c>
      <c r="S2037" s="78"/>
      <c r="T2037" s="81" t="str">
        <f>IF(G2037=$J$1,"SI","NO")</f>
        <v>NO</v>
      </c>
      <c r="U2037" s="81"/>
      <c r="V2037" s="75" t="str">
        <f ca="1">IF(color_Celda(E2037)=12106214,"ROSA",IF(color_Celda(E2037)=65535,"AMARILLO",IF(color_Celda(E2037)=5296274,"VERDE",IF(color_Celda(E2037)=16777215,"BLANCO","NO SE"))))</f>
        <v>BLANCO</v>
      </c>
      <c r="W2037" s="75"/>
      <c r="X2037" s="75"/>
      <c r="Y2037" s="75"/>
      <c r="Z2037" s="75"/>
      <c r="AA2037" s="76" t="s">
        <v>2828</v>
      </c>
      <c r="AB2037" s="75"/>
      <c r="AC2037" s="75"/>
    </row>
    <row r="2038" spans="1:29" ht="60" customHeight="1">
      <c r="A2038" s="510">
        <v>2043</v>
      </c>
      <c r="B2038" s="511">
        <v>45405</v>
      </c>
      <c r="C2038" s="606">
        <v>0.40625</v>
      </c>
      <c r="D2038" s="512" t="s">
        <v>7383</v>
      </c>
      <c r="E2038" s="513" t="s">
        <v>7384</v>
      </c>
      <c r="F2038" s="510">
        <v>1</v>
      </c>
      <c r="G2038" s="512" t="s">
        <v>568</v>
      </c>
      <c r="H2038" s="511">
        <v>45420</v>
      </c>
      <c r="I2038" s="514" t="s">
        <v>73</v>
      </c>
      <c r="J2038" s="514" t="s">
        <v>78</v>
      </c>
      <c r="K2038" s="510">
        <f>IFERROR(VLOOKUP(J2038,Jueces!$A$1:$B$11,2,FALSE),"")</f>
        <v>8</v>
      </c>
      <c r="L2038" s="512" t="s">
        <v>805</v>
      </c>
      <c r="M2038" s="82" t="s">
        <v>1084</v>
      </c>
      <c r="N2038" s="510"/>
      <c r="O2038" s="233" t="str">
        <f ca="1">IF(H2038&lt;&gt;"",IF(H2038&lt;=TODAY(),"SI","NO"),"LIMBO")</f>
        <v>NO</v>
      </c>
      <c r="P2038" s="233" t="str">
        <f>IF($P$1=H2038,"DIASOL", "DIANOSOL")</f>
        <v>DIANOSOL</v>
      </c>
      <c r="Q2038" s="512" t="s">
        <v>949</v>
      </c>
      <c r="R2038" s="512" t="str">
        <f>VLOOKUP($Q2038,Resultados!$A$1:$B$49,2,FALSE)</f>
        <v xml:space="preserve"> _</v>
      </c>
      <c r="S2038" s="512"/>
      <c r="T2038" s="508" t="str">
        <f>IF(G2038=$J$1,"SI","NO")</f>
        <v>NO</v>
      </c>
      <c r="U2038" s="508"/>
      <c r="V2038" s="426" t="str">
        <f ca="1">IF(color_Celda(E2038)=12106214,"ROSA",IF(color_Celda(E2038)=65535,"AMARILLO",IF(color_Celda(E2038)=5296274,"VERDE",IF(color_Celda(E2038)=16777215,"BLANCO","NO SE"))))</f>
        <v>BLANCO</v>
      </c>
      <c r="W2038" s="510"/>
      <c r="X2038" s="510"/>
      <c r="Y2038" s="510"/>
      <c r="Z2038" s="510"/>
      <c r="AA2038" s="510"/>
      <c r="AB2038" s="510"/>
      <c r="AC2038" s="510"/>
    </row>
    <row r="2039" spans="1:29" ht="60" customHeight="1">
      <c r="A2039" s="510">
        <v>2048</v>
      </c>
      <c r="B2039" s="511">
        <v>45406</v>
      </c>
      <c r="C2039" s="606">
        <v>0.33333333333333331</v>
      </c>
      <c r="D2039" s="512" t="s">
        <v>7416</v>
      </c>
      <c r="E2039" s="520" t="s">
        <v>7417</v>
      </c>
      <c r="F2039" s="510">
        <v>8</v>
      </c>
      <c r="G2039" s="512" t="s">
        <v>3323</v>
      </c>
      <c r="H2039" s="511">
        <v>45420</v>
      </c>
      <c r="I2039" s="514" t="s">
        <v>73</v>
      </c>
      <c r="J2039" s="514" t="s">
        <v>35</v>
      </c>
      <c r="K2039" s="510">
        <f>IFERROR(VLOOKUP(J2039,Jueces!$A$1:$B$11,2,FALSE),"")</f>
        <v>3</v>
      </c>
      <c r="L2039" s="512" t="s">
        <v>4791</v>
      </c>
      <c r="M2039" s="512" t="s">
        <v>767</v>
      </c>
      <c r="N2039" s="510"/>
      <c r="O2039" s="167" t="str">
        <f ca="1">IF(H2039&lt;&gt;"",IF(H2039&lt;=TODAY(),"SI","NO"),"LIMBO")</f>
        <v>NO</v>
      </c>
      <c r="P2039" s="167" t="str">
        <f>IF($P$1=H2039,"DIASOL", "DIANOSOL")</f>
        <v>DIANOSOL</v>
      </c>
      <c r="Q2039" s="512" t="s">
        <v>949</v>
      </c>
      <c r="R2039" s="512" t="str">
        <f>VLOOKUP($Q2039,Resultados!$A$1:$B$49,2,FALSE)</f>
        <v xml:space="preserve"> _</v>
      </c>
      <c r="S2039" s="512"/>
      <c r="T2039" s="414" t="str">
        <f>IF(G2039=$J$1,"SI","NO")</f>
        <v>NO</v>
      </c>
      <c r="U2039" s="414"/>
      <c r="V2039" s="326" t="str">
        <f ca="1">IF(color_Celda(E2039)=12106214,"ROSA",IF(color_Celda(E2039)=65535,"AMARILLO",IF(color_Celda(E2039)=5296274,"VERDE",IF(color_Celda(E2039)=16777215,"BLANCO","NO SE"))))</f>
        <v>BLANCO</v>
      </c>
      <c r="W2039" s="510"/>
      <c r="X2039" s="510"/>
      <c r="Y2039" s="510"/>
      <c r="Z2039" s="510"/>
      <c r="AA2039" s="510"/>
      <c r="AB2039" s="510"/>
      <c r="AC2039" s="510"/>
    </row>
    <row r="2040" spans="1:29" ht="69.900000000000006" customHeight="1">
      <c r="A2040" s="75">
        <v>2072</v>
      </c>
      <c r="B2040" s="77">
        <v>45394</v>
      </c>
      <c r="C2040" s="709">
        <v>0.48958333333333331</v>
      </c>
      <c r="D2040" s="75" t="s">
        <v>7106</v>
      </c>
      <c r="E2040" s="347" t="s">
        <v>7155</v>
      </c>
      <c r="F2040" s="75">
        <v>7</v>
      </c>
      <c r="G2040" s="78" t="s">
        <v>2766</v>
      </c>
      <c r="H2040" s="424">
        <v>45420</v>
      </c>
      <c r="I2040" s="80" t="s">
        <v>73</v>
      </c>
      <c r="J2040" s="80" t="s">
        <v>1217</v>
      </c>
      <c r="K2040" s="75">
        <f>IFERROR(VLOOKUP(J2040,Jueces!$A$1:$B$11,2,FALSE),"")</f>
        <v>7</v>
      </c>
      <c r="L2040" s="78" t="s">
        <v>806</v>
      </c>
      <c r="M2040" s="78" t="s">
        <v>725</v>
      </c>
      <c r="N2040" s="75" t="s">
        <v>7531</v>
      </c>
      <c r="O2040" s="78" t="str">
        <f ca="1">IF(H2040&lt;&gt;"",IF(H2040&lt;=TODAY(),"SI","NO"),"LIMBO")</f>
        <v>NO</v>
      </c>
      <c r="P2040" s="78" t="str">
        <f>IF($P$1=H2040,"DIASOL", "DIANOSOL")</f>
        <v>DIANOSOL</v>
      </c>
      <c r="Q2040" s="78" t="s">
        <v>949</v>
      </c>
      <c r="R2040" s="78" t="str">
        <f>VLOOKUP($Q2040,Resultados!$A$1:$B$49,2,FALSE)</f>
        <v xml:space="preserve"> _</v>
      </c>
      <c r="S2040" s="78"/>
      <c r="T2040" s="81" t="str">
        <f>IF(G2040=$J$1,"SI","NO")</f>
        <v>NO</v>
      </c>
      <c r="U2040" s="81"/>
      <c r="V2040" s="75" t="str">
        <f ca="1">IF(color_Celda(E2040)=12106214,"ROSA",IF(color_Celda(E2040)=65535,"AMARILLO",IF(color_Celda(E2040)=5296274,"VERDE",IF(color_Celda(E2040)=16777215,"BLANCO","NO SE"))))</f>
        <v>BLANCO</v>
      </c>
      <c r="W2040" s="75"/>
      <c r="X2040" s="75"/>
      <c r="Y2040" s="75"/>
      <c r="Z2040" s="75"/>
      <c r="AA2040" s="75"/>
      <c r="AB2040" s="75"/>
      <c r="AC2040" s="75"/>
    </row>
    <row r="2041" spans="1:29" ht="60" customHeight="1">
      <c r="A2041" s="510">
        <v>2050</v>
      </c>
      <c r="B2041" s="511">
        <v>45406</v>
      </c>
      <c r="C2041" s="606">
        <v>0.33333333333333331</v>
      </c>
      <c r="D2041" s="512" t="s">
        <v>7420</v>
      </c>
      <c r="E2041" s="513" t="s">
        <v>7421</v>
      </c>
      <c r="F2041" s="510">
        <v>1</v>
      </c>
      <c r="G2041" s="512" t="s">
        <v>1435</v>
      </c>
      <c r="H2041" s="511">
        <v>45420</v>
      </c>
      <c r="I2041" s="514" t="s">
        <v>749</v>
      </c>
      <c r="J2041" s="514" t="s">
        <v>1221</v>
      </c>
      <c r="K2041" s="510">
        <f>IFERROR(VLOOKUP(J2041,Jueces!$A$1:$B$11,2,FALSE),"")</f>
        <v>6</v>
      </c>
      <c r="L2041" s="512" t="s">
        <v>4790</v>
      </c>
      <c r="M2041" s="512" t="s">
        <v>885</v>
      </c>
      <c r="N2041" s="510"/>
      <c r="O2041" s="167" t="str">
        <f ca="1">IF(H2041&lt;&gt;"",IF(H2041&lt;=TODAY(),"SI","NO"),"LIMBO")</f>
        <v>NO</v>
      </c>
      <c r="P2041" s="167" t="str">
        <f>IF($P$1=H2041,"DIASOL", "DIANOSOL")</f>
        <v>DIANOSOL</v>
      </c>
      <c r="Q2041" s="512" t="s">
        <v>949</v>
      </c>
      <c r="R2041" s="512" t="str">
        <f>VLOOKUP($Q2041,Resultados!$A$1:$B$49,2,FALSE)</f>
        <v xml:space="preserve"> _</v>
      </c>
      <c r="S2041" s="512"/>
      <c r="T2041" s="414" t="str">
        <f>IF(G2041=$J$1,"SI","NO")</f>
        <v>SI</v>
      </c>
      <c r="U2041" s="414"/>
      <c r="V2041" s="326" t="str">
        <f ca="1">IF(color_Celda(E2041)=12106214,"ROSA",IF(color_Celda(E2041)=65535,"AMARILLO",IF(color_Celda(E2041)=5296274,"VERDE",IF(color_Celda(E2041)=16777215,"BLANCO","NO SE"))))</f>
        <v>BLANCO</v>
      </c>
      <c r="W2041" s="510"/>
      <c r="X2041" s="510"/>
      <c r="Y2041" s="510"/>
      <c r="Z2041" s="510"/>
      <c r="AA2041" s="510"/>
      <c r="AB2041" s="510"/>
      <c r="AC2041" s="510"/>
    </row>
    <row r="2042" spans="1:29" ht="69.900000000000006" customHeight="1">
      <c r="A2042" s="510">
        <v>2042</v>
      </c>
      <c r="B2042" s="511">
        <v>45405</v>
      </c>
      <c r="C2042" s="606">
        <v>0.40069444444444446</v>
      </c>
      <c r="D2042" s="512" t="s">
        <v>7379</v>
      </c>
      <c r="E2042" s="520" t="s">
        <v>7380</v>
      </c>
      <c r="F2042" s="510">
        <v>1</v>
      </c>
      <c r="G2042" s="512" t="s">
        <v>29</v>
      </c>
      <c r="H2042" s="511">
        <v>45420</v>
      </c>
      <c r="I2042" s="514" t="s">
        <v>76</v>
      </c>
      <c r="J2042" s="511" t="s">
        <v>78</v>
      </c>
      <c r="K2042" s="510">
        <f>IFERROR(VLOOKUP(J2042,Jueces!$A$1:$B$11,2,FALSE),"")</f>
        <v>8</v>
      </c>
      <c r="L2042" s="512" t="s">
        <v>4791</v>
      </c>
      <c r="M2042" s="512" t="s">
        <v>885</v>
      </c>
      <c r="N2042" s="510"/>
      <c r="O2042" s="167" t="str">
        <f ca="1">IF(H2042&lt;&gt;"",IF(H2042&lt;=TODAY(),"SI","NO"),"LIMBO")</f>
        <v>NO</v>
      </c>
      <c r="P2042" s="167" t="str">
        <f>IF($P$1=H2042,"DIASOL", "DIANOSOL")</f>
        <v>DIANOSOL</v>
      </c>
      <c r="Q2042" s="512" t="s">
        <v>949</v>
      </c>
      <c r="R2042" s="512" t="str">
        <f>VLOOKUP($Q2042,Resultados!$A$1:$B$49,2,FALSE)</f>
        <v xml:space="preserve"> _</v>
      </c>
      <c r="S2042" s="512"/>
      <c r="T2042" s="414" t="str">
        <f>IF(G2042=$J$1,"SI","NO")</f>
        <v>NO</v>
      </c>
      <c r="U2042" s="414"/>
      <c r="V2042" s="326" t="str">
        <f ca="1">IF(color_Celda(E2042)=12106214,"ROSA",IF(color_Celda(E2042)=65535,"AMARILLO",IF(color_Celda(E2042)=5296274,"VERDE",IF(color_Celda(E2042)=16777215,"BLANCO","NO SE"))))</f>
        <v>BLANCO</v>
      </c>
      <c r="W2042" s="510"/>
      <c r="X2042" s="510"/>
      <c r="Y2042" s="510"/>
      <c r="Z2042" s="510"/>
      <c r="AA2042" s="510"/>
      <c r="AB2042" s="510"/>
      <c r="AC2042" s="510"/>
    </row>
    <row r="2043" spans="1:29" ht="69.900000000000006" customHeight="1">
      <c r="A2043" s="510">
        <v>2049</v>
      </c>
      <c r="B2043" s="511">
        <v>45406</v>
      </c>
      <c r="C2043" s="606">
        <v>0.33333333333333331</v>
      </c>
      <c r="D2043" s="512" t="s">
        <v>7418</v>
      </c>
      <c r="E2043" s="520" t="s">
        <v>7419</v>
      </c>
      <c r="F2043" s="510">
        <v>1</v>
      </c>
      <c r="G2043" s="510" t="s">
        <v>3324</v>
      </c>
      <c r="H2043" s="511">
        <v>45420</v>
      </c>
      <c r="I2043" s="514" t="s">
        <v>76</v>
      </c>
      <c r="J2043" s="514" t="s">
        <v>33</v>
      </c>
      <c r="K2043" s="510">
        <f>IFERROR(VLOOKUP(J2043,Jueces!$A$1:$B$11,2,FALSE),"")</f>
        <v>4</v>
      </c>
      <c r="L2043" s="512" t="s">
        <v>4781</v>
      </c>
      <c r="M2043" s="512" t="s">
        <v>1084</v>
      </c>
      <c r="N2043" s="510"/>
      <c r="O2043" s="167" t="str">
        <f ca="1">IF(H2043&lt;&gt;"",IF(H2043&lt;=TODAY(),"SI","NO"),"LIMBO")</f>
        <v>NO</v>
      </c>
      <c r="P2043" s="167" t="str">
        <f>IF($P$1=H2043,"DIASOL", "DIANOSOL")</f>
        <v>DIANOSOL</v>
      </c>
      <c r="Q2043" s="512" t="s">
        <v>949</v>
      </c>
      <c r="R2043" s="512" t="str">
        <f>VLOOKUP($Q2043,Resultados!$A$1:$B$49,2,FALSE)</f>
        <v xml:space="preserve"> _</v>
      </c>
      <c r="S2043" s="512"/>
      <c r="T2043" s="414" t="str">
        <f>IF(G2043=$J$1,"SI","NO")</f>
        <v>NO</v>
      </c>
      <c r="U2043" s="414"/>
      <c r="V2043" s="326" t="str">
        <f ca="1">IF(color_Celda(E2043)=12106214,"ROSA",IF(color_Celda(E2043)=65535,"AMARILLO",IF(color_Celda(E2043)=5296274,"VERDE",IF(color_Celda(E2043)=16777215,"BLANCO","NO SE"))))</f>
        <v>BLANCO</v>
      </c>
      <c r="W2043" s="510"/>
      <c r="X2043" s="510"/>
      <c r="Y2043" s="510"/>
      <c r="Z2043" s="510"/>
      <c r="AA2043" s="510"/>
      <c r="AB2043" s="510"/>
      <c r="AC2043" s="510"/>
    </row>
    <row r="2044" spans="1:29" ht="69.900000000000006" customHeight="1">
      <c r="A2044" s="510">
        <v>2052</v>
      </c>
      <c r="B2044" s="511">
        <v>45406</v>
      </c>
      <c r="C2044" s="606">
        <v>0.39583333333333331</v>
      </c>
      <c r="D2044" s="512" t="s">
        <v>7464</v>
      </c>
      <c r="E2044" s="513" t="s">
        <v>7465</v>
      </c>
      <c r="F2044" s="510">
        <v>8</v>
      </c>
      <c r="G2044" s="512" t="s">
        <v>1433</v>
      </c>
      <c r="H2044" s="511">
        <v>45420</v>
      </c>
      <c r="I2044" s="514" t="s">
        <v>76</v>
      </c>
      <c r="J2044" s="514" t="s">
        <v>1216</v>
      </c>
      <c r="K2044" s="512" t="s">
        <v>1982</v>
      </c>
      <c r="L2044" s="512" t="s">
        <v>806</v>
      </c>
      <c r="M2044" s="512" t="s">
        <v>723</v>
      </c>
      <c r="N2044" s="510"/>
      <c r="O2044" s="167" t="str">
        <f ca="1">IF(H2044&lt;&gt;"",IF(H2044&lt;=TODAY(),"SI","NO"),"LIMBO")</f>
        <v>NO</v>
      </c>
      <c r="P2044" s="167" t="str">
        <f>IF($P$1=H2044,"DIASOL", "DIANOSOL")</f>
        <v>DIANOSOL</v>
      </c>
      <c r="Q2044" s="512" t="s">
        <v>949</v>
      </c>
      <c r="R2044" s="512" t="str">
        <f>VLOOKUP($Q2044,Resultados!$A$1:$B$49,2,FALSE)</f>
        <v xml:space="preserve"> _</v>
      </c>
      <c r="S2044" s="512"/>
      <c r="T2044" s="414" t="str">
        <f>IF(G2044=$J$1,"SI","NO")</f>
        <v>NO</v>
      </c>
      <c r="U2044" s="414"/>
      <c r="V2044" s="326" t="str">
        <f ca="1">IF(color_Celda(E2044)=12106214,"ROSA",IF(color_Celda(E2044)=65535,"AMARILLO",IF(color_Celda(E2044)=5296274,"VERDE",IF(color_Celda(E2044)=16777215,"BLANCO","NO SE"))))</f>
        <v>BLANCO</v>
      </c>
      <c r="W2044" s="510"/>
      <c r="X2044" s="510"/>
      <c r="Y2044" s="510"/>
      <c r="Z2044" s="510"/>
      <c r="AA2044" s="510"/>
      <c r="AB2044" s="510"/>
      <c r="AC2044" s="510"/>
    </row>
    <row r="2045" spans="1:29" ht="60" customHeight="1">
      <c r="A2045" s="510">
        <v>2062</v>
      </c>
      <c r="B2045" s="511">
        <v>45407</v>
      </c>
      <c r="C2045" s="606">
        <v>0.33333333333333331</v>
      </c>
      <c r="D2045" s="512" t="s">
        <v>7504</v>
      </c>
      <c r="E2045" s="520" t="s">
        <v>7503</v>
      </c>
      <c r="F2045" s="510">
        <v>5</v>
      </c>
      <c r="G2045" s="512" t="s">
        <v>1435</v>
      </c>
      <c r="H2045" s="511">
        <v>45420</v>
      </c>
      <c r="I2045" s="514" t="s">
        <v>3171</v>
      </c>
      <c r="J2045" s="514" t="s">
        <v>1221</v>
      </c>
      <c r="K2045" s="512" t="s">
        <v>1982</v>
      </c>
      <c r="L2045" s="512" t="s">
        <v>569</v>
      </c>
      <c r="M2045" s="512" t="s">
        <v>723</v>
      </c>
      <c r="N2045" s="510"/>
      <c r="O2045" s="233" t="str">
        <f ca="1">IF(H2045&lt;&gt;"",IF(H2045&lt;=TODAY(),"SI","NO"),"LIMBO")</f>
        <v>NO</v>
      </c>
      <c r="P2045" s="233" t="str">
        <f>IF($P$1=H2045,"DIASOL", "DIANOSOL")</f>
        <v>DIANOSOL</v>
      </c>
      <c r="Q2045" s="512" t="s">
        <v>949</v>
      </c>
      <c r="R2045" s="512" t="str">
        <f>VLOOKUP($Q2045,Resultados!$A$1:$B$49,2,FALSE)</f>
        <v xml:space="preserve"> _</v>
      </c>
      <c r="S2045" s="512"/>
      <c r="T2045" s="508" t="str">
        <f>IF(G2045=$J$1,"SI","NO")</f>
        <v>SI</v>
      </c>
      <c r="U2045" s="508"/>
      <c r="V2045" s="426" t="str">
        <f ca="1">IF(color_Celda(E2045)=12106214,"ROSA",IF(color_Celda(E2045)=65535,"AMARILLO",IF(color_Celda(E2045)=5296274,"VERDE",IF(color_Celda(E2045)=16777215,"BLANCO","NO SE"))))</f>
        <v>BLANCO</v>
      </c>
      <c r="W2045" s="510"/>
      <c r="X2045" s="510"/>
      <c r="Y2045" s="510"/>
      <c r="Z2045" s="510"/>
      <c r="AA2045" s="510"/>
      <c r="AB2045" s="510"/>
      <c r="AC2045" s="510"/>
    </row>
    <row r="2046" spans="1:29" ht="60" customHeight="1">
      <c r="A2046" s="510">
        <v>2054</v>
      </c>
      <c r="B2046" s="511">
        <v>45406</v>
      </c>
      <c r="C2046" s="606">
        <v>0.5083333333333333</v>
      </c>
      <c r="D2046" s="512" t="s">
        <v>7469</v>
      </c>
      <c r="E2046" s="513" t="s">
        <v>7470</v>
      </c>
      <c r="F2046" s="510">
        <v>8</v>
      </c>
      <c r="G2046" s="512" t="s">
        <v>3791</v>
      </c>
      <c r="H2046" s="511">
        <v>45420</v>
      </c>
      <c r="I2046" s="514" t="s">
        <v>77</v>
      </c>
      <c r="J2046" s="514" t="s">
        <v>1216</v>
      </c>
      <c r="K2046" s="512" t="s">
        <v>1916</v>
      </c>
      <c r="L2046" s="807" t="s">
        <v>582</v>
      </c>
      <c r="M2046" s="512" t="s">
        <v>767</v>
      </c>
      <c r="N2046" s="809" t="s">
        <v>7510</v>
      </c>
      <c r="O2046" s="167" t="str">
        <f ca="1">IF(H2046&lt;&gt;"",IF(H2046&lt;=TODAY(),"SI","NO"),"LIMBO")</f>
        <v>NO</v>
      </c>
      <c r="P2046" s="167" t="str">
        <f>IF($P$1=H2046,"DIASOL", "DIANOSOL")</f>
        <v>DIANOSOL</v>
      </c>
      <c r="Q2046" s="512" t="s">
        <v>949</v>
      </c>
      <c r="R2046" s="512" t="str">
        <f>VLOOKUP($Q2046,Resultados!$A$1:$B$49,2,FALSE)</f>
        <v xml:space="preserve"> _</v>
      </c>
      <c r="S2046" s="512"/>
      <c r="T2046" s="414" t="str">
        <f>IF(G2046=$J$1,"SI","NO")</f>
        <v>NO</v>
      </c>
      <c r="U2046" s="414"/>
      <c r="V2046" s="326" t="str">
        <f ca="1">IF(color_Celda(E2046)=12106214,"ROSA",IF(color_Celda(E2046)=65535,"AMARILLO",IF(color_Celda(E2046)=5296274,"VERDE",IF(color_Celda(E2046)=16777215,"BLANCO","NO SE"))))</f>
        <v>BLANCO</v>
      </c>
      <c r="W2046" s="510"/>
      <c r="X2046" s="510"/>
      <c r="Y2046" s="510"/>
      <c r="Z2046" s="510"/>
      <c r="AA2046" s="510"/>
      <c r="AB2046" s="510"/>
      <c r="AC2046" s="510"/>
    </row>
    <row r="2047" spans="1:29" ht="60" customHeight="1">
      <c r="A2047" s="329">
        <v>1977</v>
      </c>
      <c r="B2047" s="351">
        <v>45397</v>
      </c>
      <c r="C2047" s="609">
        <v>0.39583333333333331</v>
      </c>
      <c r="D2047" s="206" t="s">
        <v>6877</v>
      </c>
      <c r="E2047" s="402" t="s">
        <v>7152</v>
      </c>
      <c r="F2047" s="329">
        <v>6</v>
      </c>
      <c r="G2047" s="206" t="s">
        <v>1435</v>
      </c>
      <c r="H2047" s="399">
        <v>45421</v>
      </c>
      <c r="I2047" s="294" t="s">
        <v>73</v>
      </c>
      <c r="J2047" s="294" t="s">
        <v>31</v>
      </c>
      <c r="K2047" s="329">
        <f>IFERROR(VLOOKUP(J2047,Jueces!$A$1:$B$11,2,FALSE),"")</f>
        <v>2</v>
      </c>
      <c r="L2047" s="206" t="s">
        <v>1693</v>
      </c>
      <c r="M2047" s="206" t="s">
        <v>2107</v>
      </c>
      <c r="N2047" s="206" t="s">
        <v>7334</v>
      </c>
      <c r="O2047" s="78" t="str">
        <f ca="1">IF(H2047&lt;&gt;"",IF(H2047&lt;=TODAY(),"SI","NO"),"LIMBO")</f>
        <v>NO</v>
      </c>
      <c r="P2047" s="78" t="str">
        <f>IF($P$1=H2047,"DIASOL", "DIANOSOL")</f>
        <v>DIANOSOL</v>
      </c>
      <c r="Q2047" s="206" t="s">
        <v>949</v>
      </c>
      <c r="R2047" s="206" t="str">
        <f>VLOOKUP($Q2047,Resultados!$A$1:$B$49,2,FALSE)</f>
        <v xml:space="preserve"> _</v>
      </c>
      <c r="S2047" s="206"/>
      <c r="T2047" s="81" t="str">
        <f>IF(G2047=$J$1,"SI","NO")</f>
        <v>SI</v>
      </c>
      <c r="U2047" s="81"/>
      <c r="V2047" s="63" t="str">
        <f ca="1">IF(color_Celda(E2047)=12106214,"ROSA",IF(color_Celda(E2047)=65535,"AMARILLO",IF(color_Celda(E2047)=5296274,"VERDE",IF(color_Celda(E2047)=16777215,"BLANCO","NO SE"))))</f>
        <v>NO SE</v>
      </c>
      <c r="W2047" s="329"/>
      <c r="X2047" s="329"/>
      <c r="Y2047" s="329"/>
      <c r="Z2047" s="329"/>
      <c r="AA2047" s="206" t="s">
        <v>2828</v>
      </c>
      <c r="AB2047" s="329"/>
      <c r="AC2047" s="329"/>
    </row>
    <row r="2048" spans="1:29" ht="60" customHeight="1">
      <c r="A2048" s="510">
        <v>2046</v>
      </c>
      <c r="B2048" s="511">
        <v>45405</v>
      </c>
      <c r="C2048" s="606">
        <v>0.4375</v>
      </c>
      <c r="D2048" s="512" t="s">
        <v>7388</v>
      </c>
      <c r="E2048" s="513" t="s">
        <v>7389</v>
      </c>
      <c r="F2048" s="510">
        <v>7</v>
      </c>
      <c r="G2048" s="512" t="s">
        <v>1434</v>
      </c>
      <c r="H2048" s="511">
        <v>45421</v>
      </c>
      <c r="I2048" s="514" t="s">
        <v>73</v>
      </c>
      <c r="J2048" s="514" t="s">
        <v>1217</v>
      </c>
      <c r="K2048" s="512" t="s">
        <v>4502</v>
      </c>
      <c r="L2048" s="512" t="s">
        <v>4783</v>
      </c>
      <c r="M2048" s="571" t="s">
        <v>2079</v>
      </c>
      <c r="N2048" s="512" t="s">
        <v>7390</v>
      </c>
      <c r="O2048" s="233" t="str">
        <f ca="1">IF(H2048&lt;&gt;"",IF(H2048&lt;=TODAY(),"SI","NO"),"LIMBO")</f>
        <v>NO</v>
      </c>
      <c r="P2048" s="233" t="str">
        <f>IF($P$1=H2048,"DIASOL", "DIANOSOL")</f>
        <v>DIANOSOL</v>
      </c>
      <c r="Q2048" s="512" t="s">
        <v>949</v>
      </c>
      <c r="R2048" s="512" t="str">
        <f>VLOOKUP($Q2048,Resultados!$A$1:$B$49,2,FALSE)</f>
        <v xml:space="preserve"> _</v>
      </c>
      <c r="S2048" s="512"/>
      <c r="T2048" s="508" t="str">
        <f>IF(G2048=$J$1,"SI","NO")</f>
        <v>NO</v>
      </c>
      <c r="U2048" s="508"/>
      <c r="V2048" s="426" t="str">
        <f ca="1">IF(color_Celda(E2048)=12106214,"ROSA",IF(color_Celda(E2048)=65535,"AMARILLO",IF(color_Celda(E2048)=5296274,"VERDE",IF(color_Celda(E2048)=16777215,"BLANCO","NO SE"))))</f>
        <v>BLANCO</v>
      </c>
      <c r="W2048" s="510"/>
      <c r="X2048" s="510"/>
      <c r="Y2048" s="510"/>
      <c r="Z2048" s="510"/>
      <c r="AA2048" s="512" t="s">
        <v>2869</v>
      </c>
      <c r="AB2048" s="510"/>
      <c r="AC2048" s="510"/>
    </row>
    <row r="2049" spans="1:29" ht="60" customHeight="1">
      <c r="A2049" s="510">
        <v>2044</v>
      </c>
      <c r="B2049" s="511">
        <v>45405</v>
      </c>
      <c r="C2049" s="606">
        <v>0.46527777777777773</v>
      </c>
      <c r="D2049" s="512" t="s">
        <v>7386</v>
      </c>
      <c r="E2049" s="520" t="s">
        <v>7387</v>
      </c>
      <c r="F2049" s="510">
        <v>1</v>
      </c>
      <c r="G2049" s="512" t="s">
        <v>5710</v>
      </c>
      <c r="H2049" s="511">
        <v>45421</v>
      </c>
      <c r="I2049" s="514" t="s">
        <v>73</v>
      </c>
      <c r="J2049" s="514" t="s">
        <v>35</v>
      </c>
      <c r="K2049" s="510">
        <f>IFERROR(VLOOKUP(J2049,Jueces!$A$1:$B$11,2,FALSE),"")</f>
        <v>3</v>
      </c>
      <c r="L2049" s="512" t="s">
        <v>4790</v>
      </c>
      <c r="M2049" s="512" t="s">
        <v>1084</v>
      </c>
      <c r="N2049" s="510"/>
      <c r="O2049" s="167" t="str">
        <f ca="1">IF(H2049&lt;&gt;"",IF(H2049&lt;=TODAY(),"SI","NO"),"LIMBO")</f>
        <v>NO</v>
      </c>
      <c r="P2049" s="167" t="str">
        <f>IF($P$1=H2049,"DIASOL", "DIANOSOL")</f>
        <v>DIANOSOL</v>
      </c>
      <c r="Q2049" s="512" t="s">
        <v>949</v>
      </c>
      <c r="R2049" s="512" t="str">
        <f>VLOOKUP($Q2049,Resultados!$A$1:$B$49,2,FALSE)</f>
        <v xml:space="preserve"> _</v>
      </c>
      <c r="S2049" s="512"/>
      <c r="T2049" s="414" t="str">
        <f>IF(G2049=$J$1,"SI","NO")</f>
        <v>NO</v>
      </c>
      <c r="U2049" s="414"/>
      <c r="V2049" s="326" t="str">
        <f ca="1">IF(color_Celda(E2049)=12106214,"ROSA",IF(color_Celda(E2049)=65535,"AMARILLO",IF(color_Celda(E2049)=5296274,"VERDE",IF(color_Celda(E2049)=16777215,"BLANCO","NO SE"))))</f>
        <v>BLANCO</v>
      </c>
      <c r="W2049" s="510"/>
      <c r="X2049" s="510"/>
      <c r="Y2049" s="510"/>
      <c r="Z2049" s="510"/>
      <c r="AA2049" s="510"/>
      <c r="AB2049" s="510"/>
      <c r="AC2049" s="510"/>
    </row>
    <row r="2050" spans="1:29" ht="60" customHeight="1">
      <c r="A2050" s="510">
        <v>2055</v>
      </c>
      <c r="B2050" s="511">
        <v>45406</v>
      </c>
      <c r="C2050" s="606">
        <v>0.49027777777777781</v>
      </c>
      <c r="D2050" s="510" t="s">
        <v>6067</v>
      </c>
      <c r="E2050" s="520" t="s">
        <v>6068</v>
      </c>
      <c r="F2050" s="510">
        <v>3</v>
      </c>
      <c r="G2050" s="512" t="s">
        <v>29</v>
      </c>
      <c r="H2050" s="710">
        <v>45421</v>
      </c>
      <c r="I2050" s="514" t="s">
        <v>76</v>
      </c>
      <c r="J2050" s="514" t="s">
        <v>1216</v>
      </c>
      <c r="K2050" s="512" t="s">
        <v>1982</v>
      </c>
      <c r="L2050" s="512" t="s">
        <v>4791</v>
      </c>
      <c r="M2050" s="512" t="s">
        <v>693</v>
      </c>
      <c r="N2050" s="510" t="s">
        <v>7468</v>
      </c>
      <c r="O2050" s="233" t="str">
        <f ca="1">IF(H2050&lt;&gt;"",IF(H2050&lt;=TODAY(),"SI","NO"),"LIMBO")</f>
        <v>NO</v>
      </c>
      <c r="P2050" s="233" t="str">
        <f>IF($P$1=H2050,"DIASOL", "DIANOSOL")</f>
        <v>DIANOSOL</v>
      </c>
      <c r="Q2050" s="512" t="s">
        <v>949</v>
      </c>
      <c r="R2050" s="512" t="str">
        <f>VLOOKUP($Q2050,Resultados!$A$1:$B$49,2,FALSE)</f>
        <v xml:space="preserve"> _</v>
      </c>
      <c r="S2050" s="512"/>
      <c r="T2050" s="508" t="str">
        <f>IF(G2050=$J$1,"SI","NO")</f>
        <v>NO</v>
      </c>
      <c r="U2050" s="508"/>
      <c r="V2050" s="426" t="str">
        <f ca="1">IF(color_Celda(E2050)=12106214,"ROSA",IF(color_Celda(E2050)=65535,"AMARILLO",IF(color_Celda(E2050)=5296274,"VERDE",IF(color_Celda(E2050)=16777215,"BLANCO","NO SE"))))</f>
        <v>BLANCO</v>
      </c>
      <c r="W2050" s="510"/>
      <c r="X2050" s="510"/>
      <c r="Y2050" s="510"/>
      <c r="Z2050" s="510"/>
      <c r="AA2050" s="510"/>
      <c r="AB2050" s="510"/>
      <c r="AC2050" s="510"/>
    </row>
    <row r="2051" spans="1:29" ht="60" customHeight="1">
      <c r="A2051" s="510">
        <v>2063</v>
      </c>
      <c r="B2051" s="511">
        <v>45407</v>
      </c>
      <c r="C2051" s="606">
        <v>0.33333333333333331</v>
      </c>
      <c r="D2051" s="510" t="s">
        <v>5912</v>
      </c>
      <c r="E2051" s="520" t="s">
        <v>5911</v>
      </c>
      <c r="F2051" s="510">
        <v>3</v>
      </c>
      <c r="G2051" s="512" t="s">
        <v>3324</v>
      </c>
      <c r="H2051" s="710">
        <v>45422</v>
      </c>
      <c r="I2051" s="514" t="s">
        <v>73</v>
      </c>
      <c r="J2051" s="514" t="s">
        <v>1217</v>
      </c>
      <c r="K2051" s="510">
        <f>IFERROR(VLOOKUP(J2051,Jueces!$A$1:$B$11,2,FALSE),"")</f>
        <v>7</v>
      </c>
      <c r="L2051" s="512" t="s">
        <v>4767</v>
      </c>
      <c r="M2051" s="512" t="s">
        <v>1025</v>
      </c>
      <c r="N2051" s="510" t="s">
        <v>7136</v>
      </c>
      <c r="O2051" s="233" t="str">
        <f ca="1">IF(H2051&lt;&gt;"",IF(H2051&lt;=TODAY(),"SI","NO"),"LIMBO")</f>
        <v>NO</v>
      </c>
      <c r="P2051" s="233" t="str">
        <f>IF($P$1=H2051,"DIASOL", "DIANOSOL")</f>
        <v>DIANOSOL</v>
      </c>
      <c r="Q2051" s="512" t="s">
        <v>949</v>
      </c>
      <c r="R2051" s="512" t="str">
        <f>VLOOKUP($Q2051,Resultados!$A$1:$B$49,2,FALSE)</f>
        <v xml:space="preserve"> _</v>
      </c>
      <c r="S2051" s="512"/>
      <c r="T2051" s="508" t="str">
        <f>IF(G2051=$J$1,"SI","NO")</f>
        <v>NO</v>
      </c>
      <c r="U2051" s="508"/>
      <c r="V2051" s="426" t="str">
        <f ca="1">IF(color_Celda(E2051)=12106214,"ROSA",IF(color_Celda(E2051)=65535,"AMARILLO",IF(color_Celda(E2051)=5296274,"VERDE",IF(color_Celda(E2051)=16777215,"BLANCO","NO SE"))))</f>
        <v>BLANCO</v>
      </c>
      <c r="W2051" s="510"/>
      <c r="X2051" s="510"/>
      <c r="Y2051" s="510"/>
      <c r="Z2051" s="510"/>
      <c r="AA2051" s="510"/>
      <c r="AB2051" s="510"/>
      <c r="AC2051" s="510"/>
    </row>
    <row r="2052" spans="1:29" ht="60" customHeight="1">
      <c r="A2052" s="329">
        <v>1982</v>
      </c>
      <c r="B2052" s="351">
        <v>45337</v>
      </c>
      <c r="C2052" s="609">
        <v>0.375</v>
      </c>
      <c r="D2052" s="329" t="s">
        <v>5986</v>
      </c>
      <c r="E2052" s="402" t="s">
        <v>5987</v>
      </c>
      <c r="F2052" s="329">
        <v>3</v>
      </c>
      <c r="G2052" s="206" t="s">
        <v>29</v>
      </c>
      <c r="H2052" s="399">
        <v>45422</v>
      </c>
      <c r="I2052" s="294" t="s">
        <v>76</v>
      </c>
      <c r="J2052" s="294" t="s">
        <v>1216</v>
      </c>
      <c r="K2052" s="329">
        <f>IFERROR(VLOOKUP(J2052,Jueces!$A$1:$B$11,2,FALSE),"")</f>
        <v>1</v>
      </c>
      <c r="L2052" s="206" t="s">
        <v>1693</v>
      </c>
      <c r="M2052" s="206" t="s">
        <v>693</v>
      </c>
      <c r="N2052" s="206" t="s">
        <v>7185</v>
      </c>
      <c r="O2052" s="206" t="str">
        <f ca="1">IF(H2052&lt;&gt;"",IF(H2052&lt;=TODAY(),"SI","NO"),"LIMBO")</f>
        <v>NO</v>
      </c>
      <c r="P2052" s="206" t="str">
        <f>IF($P$1=H2052,"DIASOL", "DIANOSOL")</f>
        <v>DIANOSOL</v>
      </c>
      <c r="Q2052" s="206" t="s">
        <v>949</v>
      </c>
      <c r="R2052" s="206" t="s">
        <v>949</v>
      </c>
      <c r="S2052" s="206"/>
      <c r="T2052" s="267"/>
      <c r="U2052" s="267"/>
      <c r="V2052" s="329"/>
      <c r="W2052" s="329"/>
      <c r="X2052" s="329"/>
      <c r="Y2052" s="329"/>
      <c r="Z2052" s="329"/>
      <c r="AA2052" s="206" t="s">
        <v>2869</v>
      </c>
      <c r="AB2052" s="329"/>
      <c r="AC2052" s="329"/>
    </row>
    <row r="2053" spans="1:29" ht="60" customHeight="1">
      <c r="A2053" s="329">
        <v>2007</v>
      </c>
      <c r="B2053" s="351">
        <v>45399</v>
      </c>
      <c r="C2053" s="609">
        <v>0.48888888888888887</v>
      </c>
      <c r="D2053" s="329" t="s">
        <v>6916</v>
      </c>
      <c r="E2053" s="402" t="s">
        <v>6917</v>
      </c>
      <c r="F2053" s="329">
        <v>7</v>
      </c>
      <c r="G2053" s="206" t="s">
        <v>3323</v>
      </c>
      <c r="H2053" s="399">
        <v>45441</v>
      </c>
      <c r="I2053" s="294" t="s">
        <v>76</v>
      </c>
      <c r="J2053" s="294" t="s">
        <v>1216</v>
      </c>
      <c r="K2053" s="206" t="s">
        <v>1916</v>
      </c>
      <c r="L2053" s="206" t="s">
        <v>4788</v>
      </c>
      <c r="M2053" s="206" t="s">
        <v>725</v>
      </c>
      <c r="N2053" s="206" t="s">
        <v>7289</v>
      </c>
      <c r="O2053" s="206" t="str">
        <f ca="1">IF(H2053&lt;&gt;"",IF(H2053&lt;=TODAY(),"SI","NO"),"LIMBO")</f>
        <v>NO</v>
      </c>
      <c r="P2053" s="206" t="str">
        <f>IF($P$1=H2053,"DIASOL", "DIANOSOL")</f>
        <v>DIANOSOL</v>
      </c>
      <c r="Q2053" s="206" t="s">
        <v>949</v>
      </c>
      <c r="R2053" s="206" t="str">
        <f>VLOOKUP($Q2053,Resultados!$A$1:$B$49,2,FALSE)</f>
        <v xml:space="preserve"> _</v>
      </c>
      <c r="S2053" s="206"/>
      <c r="T2053" s="267" t="str">
        <f>IF(G2053=$J$1,"SI","NO")</f>
        <v>NO</v>
      </c>
      <c r="U2053" s="267"/>
      <c r="V2053" s="329" t="str">
        <f ca="1">IF(color_Celda(E2053)=12106214,"ROSA",IF(color_Celda(E2053)=65535,"AMARILLO",IF(color_Celda(E2053)=5296274,"VERDE",IF(color_Celda(E2053)=16777215,"BLANCO","NO SE"))))</f>
        <v>NO SE</v>
      </c>
      <c r="W2053" s="329"/>
      <c r="X2053" s="329"/>
      <c r="Y2053" s="329"/>
      <c r="Z2053" s="329"/>
      <c r="AA2053" s="206" t="s">
        <v>1165</v>
      </c>
      <c r="AB2053" s="329"/>
      <c r="AC2053" s="329"/>
    </row>
    <row r="2054" spans="1:29" ht="60" customHeight="1">
      <c r="A2054" s="329">
        <v>2016</v>
      </c>
      <c r="B2054" s="351">
        <v>45391</v>
      </c>
      <c r="C2054" s="609">
        <v>0.33333333333333331</v>
      </c>
      <c r="D2054" s="329" t="s">
        <v>7004</v>
      </c>
      <c r="E2054" s="402" t="s">
        <v>7005</v>
      </c>
      <c r="F2054" s="329">
        <v>7</v>
      </c>
      <c r="G2054" s="329" t="s">
        <v>2766</v>
      </c>
      <c r="H2054" s="399">
        <v>45443</v>
      </c>
      <c r="I2054" s="294" t="s">
        <v>73</v>
      </c>
      <c r="J2054" s="351" t="s">
        <v>35</v>
      </c>
      <c r="K2054" s="329">
        <f>IFERROR(VLOOKUP(J2054,Jueces!$A$1:$B$11,2,FALSE),"")</f>
        <v>3</v>
      </c>
      <c r="L2054" s="206" t="s">
        <v>4778</v>
      </c>
      <c r="M2054" s="206" t="s">
        <v>725</v>
      </c>
      <c r="N2054" s="206" t="s">
        <v>7309</v>
      </c>
      <c r="O2054" s="206" t="str">
        <f ca="1">IF(H2054&lt;&gt;"",IF(H2054&lt;=TODAY(),"SI","NO"),"LIMBO")</f>
        <v>NO</v>
      </c>
      <c r="P2054" s="206" t="str">
        <f>IF($P$1=H2054,"DIASOL", "DIANOSOL")</f>
        <v>DIANOSOL</v>
      </c>
      <c r="Q2054" s="206" t="s">
        <v>949</v>
      </c>
      <c r="R2054" s="206" t="str">
        <f>VLOOKUP($Q2054,Resultados!$A$1:$B$49,2,FALSE)</f>
        <v xml:space="preserve"> _</v>
      </c>
      <c r="S2054" s="206"/>
      <c r="T2054" s="267" t="str">
        <f>IF(G2054=$J$1,"SI","NO")</f>
        <v>NO</v>
      </c>
      <c r="U2054" s="267"/>
      <c r="V2054" s="329" t="str">
        <f ca="1">IF(color_Celda(E2054)=12106214,"ROSA",IF(color_Celda(E2054)=65535,"AMARILLO",IF(color_Celda(E2054)=5296274,"VERDE",IF(color_Celda(E2054)=16777215,"BLANCO","NO SE"))))</f>
        <v>NO SE</v>
      </c>
      <c r="W2054" s="329"/>
      <c r="X2054" s="329"/>
      <c r="Y2054" s="329"/>
      <c r="Z2054" s="329"/>
      <c r="AA2054" s="206" t="s">
        <v>2869</v>
      </c>
      <c r="AB2054" s="329"/>
      <c r="AC2054" s="329"/>
    </row>
    <row r="2055" spans="1:29" ht="60" customHeight="1">
      <c r="A2055" s="329">
        <v>1888</v>
      </c>
      <c r="B2055" s="351">
        <v>45369</v>
      </c>
      <c r="C2055" s="609">
        <v>0.47569444444444442</v>
      </c>
      <c r="D2055" s="329" t="s">
        <v>6549</v>
      </c>
      <c r="E2055" s="402" t="s">
        <v>6550</v>
      </c>
      <c r="F2055" s="329">
        <v>5</v>
      </c>
      <c r="G2055" s="329" t="s">
        <v>3791</v>
      </c>
      <c r="H2055" s="399">
        <v>45453</v>
      </c>
      <c r="I2055" s="294" t="s">
        <v>73</v>
      </c>
      <c r="J2055" s="351" t="s">
        <v>1216</v>
      </c>
      <c r="K2055" s="329">
        <f>IFERROR(VLOOKUP(J2055,Jueces!$A$1:$B$11,2,FALSE),"")</f>
        <v>1</v>
      </c>
      <c r="L2055" s="206" t="s">
        <v>2077</v>
      </c>
      <c r="M2055" s="206"/>
      <c r="N2055" s="329" t="s">
        <v>6751</v>
      </c>
      <c r="O2055" s="206" t="str">
        <f ca="1">IF(H2055&lt;&gt;"",IF(H2055&lt;=TODAY(),"SI","NO"),"LIMBO")</f>
        <v>NO</v>
      </c>
      <c r="P2055" s="206" t="str">
        <f>IF($P$1=H2055,"DIASOL", "DIANOSOL")</f>
        <v>DIANOSOL</v>
      </c>
      <c r="Q2055" s="206" t="s">
        <v>949</v>
      </c>
      <c r="R2055" s="206" t="str">
        <f>VLOOKUP($Q2055,Resultados!$A$1:$B$49,2,FALSE)</f>
        <v xml:space="preserve"> _</v>
      </c>
      <c r="S2055" s="206"/>
      <c r="T2055" s="267" t="str">
        <f>IF(G2055=$J$1,"SI","NO")</f>
        <v>NO</v>
      </c>
      <c r="U2055" s="267"/>
      <c r="V2055" s="63" t="str">
        <f ca="1">IF(color_Celda(E2055)=12106214,"ROSA",IF(color_Celda(E2055)=65535,"AMARILLO",IF(color_Celda(E2055)=5296274,"VERDE",IF(color_Celda(E2055)=16777215,"BLANCO","NO SE"))))</f>
        <v>NO SE</v>
      </c>
      <c r="W2055" s="329"/>
      <c r="X2055" s="329"/>
      <c r="Y2055" s="329"/>
      <c r="Z2055" s="329"/>
      <c r="AA2055" s="206" t="s">
        <v>3378</v>
      </c>
      <c r="AB2055" s="329"/>
      <c r="AC2055" s="329"/>
    </row>
    <row r="2056" spans="1:29" ht="60" customHeight="1">
      <c r="A2056" s="329">
        <v>1870</v>
      </c>
      <c r="B2056" s="351">
        <v>45378</v>
      </c>
      <c r="C2056" s="609">
        <v>0.41944444444444445</v>
      </c>
      <c r="D2056" s="206" t="s">
        <v>2911</v>
      </c>
      <c r="E2056" s="207" t="s">
        <v>6895</v>
      </c>
      <c r="F2056" s="329">
        <v>3</v>
      </c>
      <c r="G2056" s="329"/>
      <c r="H2056" s="351"/>
      <c r="I2056" s="351"/>
      <c r="J2056" s="351"/>
      <c r="K2056" s="329" t="str">
        <f>IFERROR(VLOOKUP(J2056,Jueces!$A$1:$B$11,2,FALSE),"")</f>
        <v/>
      </c>
      <c r="L2056" s="206" t="s">
        <v>4785</v>
      </c>
      <c r="M2056" s="673" t="s">
        <v>5656</v>
      </c>
      <c r="N2056" s="608" t="s">
        <v>7151</v>
      </c>
      <c r="O2056" s="167" t="str">
        <f ca="1">IF(H2056&lt;&gt;"",IF(H2056&lt;=TODAY(),"SI","NO"),"LIMBO")</f>
        <v>LIMBO</v>
      </c>
      <c r="P2056" s="167" t="str">
        <f>IF($P$1=H2056,"DIASOL", "DIANOSOL")</f>
        <v>DIANOSOL</v>
      </c>
      <c r="Q2056" s="206" t="s">
        <v>949</v>
      </c>
      <c r="R2056" s="206" t="str">
        <f>VLOOKUP($Q2056,Resultados!$A$1:$B$49,2,FALSE)</f>
        <v xml:space="preserve"> _</v>
      </c>
      <c r="S2056" s="206"/>
      <c r="T2056" s="414" t="str">
        <f>IF(G2056=$J$1,"SI","NO")</f>
        <v>NO</v>
      </c>
      <c r="U2056" s="414"/>
      <c r="V2056" s="63" t="str">
        <f ca="1">IF(color_Celda(E2056)=12106214,"ROSA",IF(color_Celda(E2056)=65535,"AMARILLO",IF(color_Celda(E2056)=5296274,"VERDE",IF(color_Celda(E2056)=16777215,"BLANCO","NO SE"))))</f>
        <v>NO SE</v>
      </c>
      <c r="W2056" s="329"/>
      <c r="X2056" s="329"/>
      <c r="Y2056" s="329"/>
      <c r="Z2056" s="329"/>
      <c r="AA2056" s="329"/>
      <c r="AB2056" s="329"/>
      <c r="AC2056" s="329"/>
    </row>
    <row r="2057" spans="1:29" ht="60" customHeight="1">
      <c r="A2057" s="329">
        <v>2050</v>
      </c>
      <c r="B2057" s="351">
        <v>45390</v>
      </c>
      <c r="C2057" s="609">
        <v>0.42708333333333331</v>
      </c>
      <c r="D2057" s="329" t="s">
        <v>6993</v>
      </c>
      <c r="E2057" s="402" t="s">
        <v>6994</v>
      </c>
      <c r="F2057" s="329">
        <v>7</v>
      </c>
      <c r="G2057" s="329"/>
      <c r="H2057" s="694"/>
      <c r="I2057" s="351"/>
      <c r="J2057" s="351"/>
      <c r="K2057" s="329" t="str">
        <f>IFERROR(VLOOKUP(J2057,Jueces!$A$1:$B$11,2,FALSE),"")</f>
        <v/>
      </c>
      <c r="L2057" s="206" t="s">
        <v>582</v>
      </c>
      <c r="M2057" s="206" t="s">
        <v>2201</v>
      </c>
      <c r="N2057" s="206" t="s">
        <v>7489</v>
      </c>
      <c r="O2057" s="206" t="str">
        <f ca="1">IF(H2057&lt;&gt;"",IF(H2057&lt;=TODAY(),"SI","NO"),"LIMBO")</f>
        <v>LIMBO</v>
      </c>
      <c r="P2057" s="206" t="str">
        <f>IF($P$1=H2057,"DIASOL", "DIANOSOL")</f>
        <v>DIANOSOL</v>
      </c>
      <c r="Q2057" s="206" t="s">
        <v>949</v>
      </c>
      <c r="R2057" s="206" t="str">
        <f>VLOOKUP($Q2057,Resultados!$A$1:$B$49,2,FALSE)</f>
        <v xml:space="preserve"> _</v>
      </c>
      <c r="S2057" s="206"/>
      <c r="T2057" s="267" t="str">
        <f>IF(G2057=$J$1,"SI","NO")</f>
        <v>NO</v>
      </c>
      <c r="U2057" s="267"/>
      <c r="V2057" s="329" t="str">
        <f ca="1">IF(color_Celda(E2057)=12106214,"ROSA",IF(color_Celda(E2057)=65535,"AMARILLO",IF(color_Celda(E2057)=5296274,"VERDE",IF(color_Celda(E2057)=16777215,"BLANCO","NO SE"))))</f>
        <v>NO SE</v>
      </c>
      <c r="W2057" s="329"/>
      <c r="X2057" s="329"/>
      <c r="Y2057" s="329"/>
      <c r="Z2057" s="329"/>
      <c r="AA2057" s="329"/>
      <c r="AB2057" s="329"/>
      <c r="AC2057" s="329"/>
    </row>
    <row r="2058" spans="1:29" ht="60" customHeight="1">
      <c r="A2058" s="426">
        <v>2034</v>
      </c>
      <c r="B2058" s="427">
        <v>45404</v>
      </c>
      <c r="C2058" s="670">
        <v>0.39374999999999999</v>
      </c>
      <c r="D2058" s="426" t="s">
        <v>5830</v>
      </c>
      <c r="E2058" s="235" t="s">
        <v>5829</v>
      </c>
      <c r="F2058" s="426">
        <v>3</v>
      </c>
      <c r="G2058" s="426"/>
      <c r="H2058" s="618"/>
      <c r="I2058" s="427"/>
      <c r="J2058" s="427"/>
      <c r="K2058" s="426" t="str">
        <f>IFERROR(VLOOKUP(J2058,Jueces!$A$1:$B$11,2,FALSE),"")</f>
        <v/>
      </c>
      <c r="L2058" s="233" t="s">
        <v>4776</v>
      </c>
      <c r="M2058" s="233" t="s">
        <v>3381</v>
      </c>
      <c r="N2058" s="426"/>
      <c r="O2058" s="233" t="str">
        <f ca="1">IF(H2058&lt;&gt;"",IF(H2058&lt;=TODAY(),"SI","NO"),"LIMBO")</f>
        <v>LIMBO</v>
      </c>
      <c r="P2058" s="233" t="str">
        <f>IF($P$1=H2058,"DIASOL", "DIANOSOL")</f>
        <v>DIANOSOL</v>
      </c>
      <c r="Q2058" s="233" t="s">
        <v>949</v>
      </c>
      <c r="R2058" s="233" t="str">
        <f>VLOOKUP($Q2058,Resultados!$A$1:$B$49,2,FALSE)</f>
        <v xml:space="preserve"> _</v>
      </c>
      <c r="S2058" s="233"/>
      <c r="T2058" s="508" t="str">
        <f>IF(G2058=$J$1,"SI","NO")</f>
        <v>NO</v>
      </c>
      <c r="U2058" s="508"/>
      <c r="V2058" s="426" t="str">
        <f ca="1">IF(color_Celda(E2058)=12106214,"ROSA",IF(color_Celda(E2058)=65535,"AMARILLO",IF(color_Celda(E2058)=5296274,"VERDE",IF(color_Celda(E2058)=16777215,"BLANCO","NO SE"))))</f>
        <v>AMARILLO</v>
      </c>
      <c r="W2058" s="426"/>
      <c r="X2058" s="426"/>
      <c r="Y2058" s="426"/>
      <c r="Z2058" s="426"/>
      <c r="AA2058" s="426"/>
      <c r="AB2058" s="426"/>
      <c r="AC2058" s="426"/>
    </row>
    <row r="2059" spans="1:29" ht="60" customHeight="1">
      <c r="A2059" s="426">
        <v>2046</v>
      </c>
      <c r="B2059" s="427">
        <v>45405</v>
      </c>
      <c r="C2059" s="670">
        <v>0.4916666666666667</v>
      </c>
      <c r="D2059" s="233" t="s">
        <v>7402</v>
      </c>
      <c r="E2059" s="235" t="s">
        <v>7403</v>
      </c>
      <c r="F2059" s="426">
        <v>1</v>
      </c>
      <c r="G2059" s="426"/>
      <c r="H2059" s="427"/>
      <c r="I2059" s="427"/>
      <c r="J2059" s="427"/>
      <c r="K2059" s="426" t="str">
        <f>IFERROR(VLOOKUP(J2059,Jueces!$A$1:$B$11,2,FALSE),"")</f>
        <v/>
      </c>
      <c r="L2059" s="233" t="s">
        <v>791</v>
      </c>
      <c r="M2059" s="233" t="s">
        <v>885</v>
      </c>
      <c r="N2059" s="233"/>
      <c r="O2059" s="233" t="str">
        <f ca="1">IF(H2059&lt;&gt;"",IF(H2059&lt;=TODAY(),"SI","NO"),"LIMBO")</f>
        <v>LIMBO</v>
      </c>
      <c r="P2059" s="233" t="str">
        <f>IF($P$1=H2059,"DIASOL", "DIANOSOL")</f>
        <v>DIANOSOL</v>
      </c>
      <c r="Q2059" s="233" t="s">
        <v>949</v>
      </c>
      <c r="R2059" s="233" t="str">
        <f>VLOOKUP($Q2059,Resultados!$A$1:$B$49,2,FALSE)</f>
        <v xml:space="preserve"> _</v>
      </c>
      <c r="S2059" s="233"/>
      <c r="T2059" s="508" t="str">
        <f>IF(G2059=$J$1,"SI","NO")</f>
        <v>NO</v>
      </c>
      <c r="U2059" s="508"/>
      <c r="V2059" s="426" t="str">
        <f ca="1">IF(color_Celda(E2059)=12106214,"ROSA",IF(color_Celda(E2059)=65535,"AMARILLO",IF(color_Celda(E2059)=5296274,"VERDE",IF(color_Celda(E2059)=16777215,"BLANCO","NO SE"))))</f>
        <v>AMARILLO</v>
      </c>
      <c r="W2059" s="426"/>
      <c r="X2059" s="426"/>
      <c r="Y2059" s="426"/>
      <c r="Z2059" s="426"/>
      <c r="AA2059" s="426"/>
      <c r="AB2059" s="426"/>
      <c r="AC2059" s="426"/>
    </row>
    <row r="2060" spans="1:29" ht="69.900000000000006" customHeight="1">
      <c r="A2060" s="426">
        <v>2047</v>
      </c>
      <c r="B2060" s="427">
        <v>45405</v>
      </c>
      <c r="C2060" s="670">
        <v>0.4375</v>
      </c>
      <c r="D2060" s="233" t="s">
        <v>7405</v>
      </c>
      <c r="E2060" s="235" t="s">
        <v>7406</v>
      </c>
      <c r="F2060" s="426">
        <v>7</v>
      </c>
      <c r="G2060" s="426"/>
      <c r="H2060" s="427"/>
      <c r="I2060" s="427"/>
      <c r="J2060" s="427"/>
      <c r="K2060" s="426" t="str">
        <f>IFERROR(VLOOKUP(J2060,Jueces!$A$1:$B$11,2,FALSE),"")</f>
        <v/>
      </c>
      <c r="L2060" s="233" t="s">
        <v>4766</v>
      </c>
      <c r="M2060" s="233" t="s">
        <v>2201</v>
      </c>
      <c r="N2060" s="233" t="s">
        <v>7532</v>
      </c>
      <c r="O2060" s="206" t="str">
        <f ca="1">IF(H2060&lt;&gt;"",IF(H2060&lt;=TODAY(),"SI","NO"),"LIMBO")</f>
        <v>LIMBO</v>
      </c>
      <c r="P2060" s="206" t="str">
        <f>IF($P$1=H2060,"DIASOL", "DIANOSOL")</f>
        <v>DIANOSOL</v>
      </c>
      <c r="Q2060" s="233" t="s">
        <v>949</v>
      </c>
      <c r="R2060" s="233" t="str">
        <f>VLOOKUP($Q2060,Resultados!$A$1:$B$49,2,FALSE)</f>
        <v xml:space="preserve"> _</v>
      </c>
      <c r="S2060" s="233"/>
      <c r="T2060" s="267" t="str">
        <f>IF(G2060=$J$1,"SI","NO")</f>
        <v>NO</v>
      </c>
      <c r="U2060" s="267"/>
      <c r="V2060" s="329" t="str">
        <f ca="1">IF(color_Celda(E2060)=12106214,"ROSA",IF(color_Celda(E2060)=65535,"AMARILLO",IF(color_Celda(E2060)=5296274,"VERDE",IF(color_Celda(E2060)=16777215,"BLANCO","NO SE"))))</f>
        <v>AMARILLO</v>
      </c>
      <c r="W2060" s="426"/>
      <c r="X2060" s="426"/>
      <c r="Y2060" s="426"/>
      <c r="Z2060" s="426"/>
      <c r="AA2060" s="426"/>
      <c r="AB2060" s="426"/>
      <c r="AC2060" s="426"/>
    </row>
    <row r="2061" spans="1:29" ht="60" customHeight="1">
      <c r="A2061" s="426">
        <v>2051</v>
      </c>
      <c r="B2061" s="427">
        <v>45406</v>
      </c>
      <c r="C2061" s="670">
        <v>0.42291666666666666</v>
      </c>
      <c r="D2061" s="233" t="s">
        <v>7462</v>
      </c>
      <c r="E2061" s="578" t="s">
        <v>7463</v>
      </c>
      <c r="F2061" s="426">
        <v>1</v>
      </c>
      <c r="G2061" s="426"/>
      <c r="H2061" s="427"/>
      <c r="I2061" s="427"/>
      <c r="J2061" s="427"/>
      <c r="K2061" s="426" t="str">
        <f>IFERROR(VLOOKUP(J2061,Jueces!$A$1:$B$11,2,FALSE),"")</f>
        <v/>
      </c>
      <c r="L2061" s="233" t="s">
        <v>4777</v>
      </c>
      <c r="M2061" s="233"/>
      <c r="N2061" s="426"/>
      <c r="O2061" s="167" t="str">
        <f ca="1">IF(H2061&lt;&gt;"",IF(H2061&lt;=TODAY(),"SI","NO"),"LIMBO")</f>
        <v>LIMBO</v>
      </c>
      <c r="P2061" s="167" t="str">
        <f>IF($P$1=H2061,"DIASOL", "DIANOSOL")</f>
        <v>DIANOSOL</v>
      </c>
      <c r="Q2061" s="233" t="s">
        <v>949</v>
      </c>
      <c r="R2061" s="233" t="str">
        <f>VLOOKUP($Q2061,Resultados!$A$1:$B$49,2,FALSE)</f>
        <v xml:space="preserve"> _</v>
      </c>
      <c r="S2061" s="233"/>
      <c r="T2061" s="414" t="str">
        <f>IF(G2061=$J$1,"SI","NO")</f>
        <v>NO</v>
      </c>
      <c r="U2061" s="414"/>
      <c r="V2061" s="326" t="str">
        <f ca="1">IF(color_Celda(E2061)=12106214,"ROSA",IF(color_Celda(E2061)=65535,"AMARILLO",IF(color_Celda(E2061)=5296274,"VERDE",IF(color_Celda(E2061)=16777215,"BLANCO","NO SE"))))</f>
        <v>AMARILLO</v>
      </c>
      <c r="W2061" s="426"/>
      <c r="X2061" s="426"/>
      <c r="Y2061" s="426"/>
      <c r="Z2061" s="426"/>
      <c r="AA2061" s="426"/>
      <c r="AB2061" s="426"/>
      <c r="AC2061" s="426"/>
    </row>
    <row r="2062" spans="1:29" ht="60" customHeight="1">
      <c r="A2062" s="326">
        <v>2053</v>
      </c>
      <c r="B2062" s="338">
        <v>45406</v>
      </c>
      <c r="C2062" s="610">
        <v>0.4861111111111111</v>
      </c>
      <c r="D2062" s="167" t="s">
        <v>7466</v>
      </c>
      <c r="E2062" s="168" t="s">
        <v>7467</v>
      </c>
      <c r="F2062" s="326">
        <v>8</v>
      </c>
      <c r="G2062" s="326"/>
      <c r="H2062" s="338"/>
      <c r="I2062" s="338"/>
      <c r="J2062" s="338"/>
      <c r="K2062" s="326" t="str">
        <f>IFERROR(VLOOKUP(J2062,Jueces!$A$1:$B$11,2,FALSE),"")</f>
        <v/>
      </c>
      <c r="L2062" s="167" t="s">
        <v>805</v>
      </c>
      <c r="M2062" s="522"/>
      <c r="N2062" s="326"/>
      <c r="O2062" s="167" t="str">
        <f ca="1">IF(H2062&lt;&gt;"",IF(H2062&lt;=TODAY(),"SI","NO"),"LIMBO")</f>
        <v>LIMBO</v>
      </c>
      <c r="P2062" s="167" t="str">
        <f>IF($P$1=H2062,"DIASOL", "DIANOSOL")</f>
        <v>DIANOSOL</v>
      </c>
      <c r="Q2062" s="167" t="s">
        <v>949</v>
      </c>
      <c r="R2062" s="167" t="str">
        <f>VLOOKUP($Q2062,Resultados!$A$1:$B$49,2,FALSE)</f>
        <v xml:space="preserve"> _</v>
      </c>
      <c r="S2062" s="167"/>
      <c r="T2062" s="414" t="str">
        <f>IF(G2062=$J$1,"SI","NO")</f>
        <v>NO</v>
      </c>
      <c r="U2062" s="414"/>
      <c r="V2062" s="326" t="str">
        <f ca="1">IF(color_Celda(E2062)=12106214,"ROSA",IF(color_Celda(E2062)=65535,"AMARILLO",IF(color_Celda(E2062)=5296274,"VERDE",IF(color_Celda(E2062)=16777215,"BLANCO","NO SE"))))</f>
        <v>VERDE</v>
      </c>
      <c r="W2062" s="326"/>
      <c r="X2062" s="326"/>
      <c r="Y2062" s="326"/>
      <c r="Z2062" s="326"/>
      <c r="AA2062" s="326"/>
      <c r="AB2062" s="326"/>
      <c r="AC2062" s="326"/>
    </row>
    <row r="2063" spans="1:29" ht="60" customHeight="1">
      <c r="A2063" s="426">
        <v>2056</v>
      </c>
      <c r="B2063" s="427">
        <v>45406</v>
      </c>
      <c r="C2063" s="670">
        <v>0.53749999999999998</v>
      </c>
      <c r="D2063" s="233" t="s">
        <v>7471</v>
      </c>
      <c r="E2063" s="235" t="s">
        <v>7472</v>
      </c>
      <c r="F2063" s="426">
        <v>8</v>
      </c>
      <c r="G2063" s="426"/>
      <c r="H2063" s="427"/>
      <c r="I2063" s="427"/>
      <c r="J2063" s="427"/>
      <c r="K2063" s="426" t="str">
        <f>IFERROR(VLOOKUP(J2063,Jueces!$A$1:$B$11,2,FALSE),"")</f>
        <v/>
      </c>
      <c r="L2063" s="233" t="s">
        <v>4777</v>
      </c>
      <c r="M2063" s="233"/>
      <c r="N2063" s="426"/>
      <c r="O2063" s="167" t="str">
        <f ca="1">IF(H2063&lt;&gt;"",IF(H2063&lt;=TODAY(),"SI","NO"),"LIMBO")</f>
        <v>LIMBO</v>
      </c>
      <c r="P2063" s="167" t="str">
        <f>IF($P$1=H2063,"DIASOL", "DIANOSOL")</f>
        <v>DIANOSOL</v>
      </c>
      <c r="Q2063" s="233" t="s">
        <v>949</v>
      </c>
      <c r="R2063" s="233" t="str">
        <f>VLOOKUP($Q2063,Resultados!$A$1:$B$49,2,FALSE)</f>
        <v xml:space="preserve"> _</v>
      </c>
      <c r="S2063" s="233"/>
      <c r="T2063" s="414" t="str">
        <f>IF(G2063=$J$1,"SI","NO")</f>
        <v>NO</v>
      </c>
      <c r="U2063" s="414"/>
      <c r="V2063" s="326" t="str">
        <f ca="1">IF(color_Celda(E2063)=12106214,"ROSA",IF(color_Celda(E2063)=65535,"AMARILLO",IF(color_Celda(E2063)=5296274,"VERDE",IF(color_Celda(E2063)=16777215,"BLANCO","NO SE"))))</f>
        <v>AMARILLO</v>
      </c>
      <c r="W2063" s="426"/>
      <c r="X2063" s="426"/>
      <c r="Y2063" s="426"/>
      <c r="Z2063" s="426"/>
      <c r="AA2063" s="426"/>
      <c r="AB2063" s="426"/>
      <c r="AC2063" s="426"/>
    </row>
    <row r="2064" spans="1:29" ht="60" customHeight="1">
      <c r="A2064" s="426">
        <v>2058</v>
      </c>
      <c r="B2064" s="427">
        <v>45407</v>
      </c>
      <c r="C2064" s="670">
        <v>0.44375000000000003</v>
      </c>
      <c r="D2064" s="233" t="s">
        <v>7495</v>
      </c>
      <c r="E2064" s="235" t="s">
        <v>7496</v>
      </c>
      <c r="F2064" s="426">
        <v>8</v>
      </c>
      <c r="G2064" s="426"/>
      <c r="H2064" s="427"/>
      <c r="I2064" s="427"/>
      <c r="J2064" s="427"/>
      <c r="K2064" s="426" t="str">
        <f>IFERROR(VLOOKUP(J2064,Jueces!$A$1:$B$11,2,FALSE),"")</f>
        <v/>
      </c>
      <c r="L2064" s="233" t="s">
        <v>806</v>
      </c>
      <c r="M2064" s="431" t="s">
        <v>885</v>
      </c>
      <c r="N2064" s="426"/>
      <c r="O2064" s="167" t="str">
        <f ca="1">IF(H2064&lt;&gt;"",IF(H2064&lt;=TODAY(),"SI","NO"),"LIMBO")</f>
        <v>LIMBO</v>
      </c>
      <c r="P2064" s="167" t="str">
        <f>IF($P$1=H2064,"DIASOL", "DIANOSOL")</f>
        <v>DIANOSOL</v>
      </c>
      <c r="Q2064" s="233" t="s">
        <v>949</v>
      </c>
      <c r="R2064" s="233" t="str">
        <f>VLOOKUP($Q2064,Resultados!$A$1:$B$49,2,FALSE)</f>
        <v xml:space="preserve"> _</v>
      </c>
      <c r="S2064" s="233"/>
      <c r="T2064" s="414" t="str">
        <f>IF(G2064=$J$1,"SI","NO")</f>
        <v>NO</v>
      </c>
      <c r="U2064" s="414"/>
      <c r="V2064" s="326" t="str">
        <f ca="1">IF(color_Celda(E2064)=12106214,"ROSA",IF(color_Celda(E2064)=65535,"AMARILLO",IF(color_Celda(E2064)=5296274,"VERDE",IF(color_Celda(E2064)=16777215,"BLANCO","NO SE"))))</f>
        <v>AMARILLO</v>
      </c>
      <c r="W2064" s="426"/>
      <c r="X2064" s="426"/>
      <c r="Y2064" s="426"/>
      <c r="Z2064" s="426"/>
      <c r="AA2064" s="426"/>
      <c r="AB2064" s="426"/>
      <c r="AC2064" s="426"/>
    </row>
    <row r="2065" spans="1:29" ht="60" customHeight="1">
      <c r="A2065" s="329">
        <v>2059</v>
      </c>
      <c r="B2065" s="351">
        <v>45407</v>
      </c>
      <c r="C2065" s="609">
        <v>0.42083333333333334</v>
      </c>
      <c r="D2065" s="206" t="s">
        <v>7497</v>
      </c>
      <c r="E2065" s="207" t="s">
        <v>7498</v>
      </c>
      <c r="F2065" s="329">
        <v>8</v>
      </c>
      <c r="G2065" s="329"/>
      <c r="H2065" s="351"/>
      <c r="I2065" s="351"/>
      <c r="J2065" s="351"/>
      <c r="K2065" s="329" t="str">
        <f>IFERROR(VLOOKUP(J2065,Jueces!$A$1:$B$11,2,FALSE),"")</f>
        <v/>
      </c>
      <c r="L2065" s="206" t="s">
        <v>2077</v>
      </c>
      <c r="M2065" s="410" t="s">
        <v>7533</v>
      </c>
      <c r="N2065" s="206" t="s">
        <v>7534</v>
      </c>
      <c r="O2065" s="167" t="str">
        <f ca="1">IF(H2065&lt;&gt;"",IF(H2065&lt;=TODAY(),"SI","NO"),"LIMBO")</f>
        <v>LIMBO</v>
      </c>
      <c r="P2065" s="167" t="str">
        <f>IF($P$1=H2065,"DIASOL", "DIANOSOL")</f>
        <v>DIANOSOL</v>
      </c>
      <c r="Q2065" s="206" t="s">
        <v>949</v>
      </c>
      <c r="R2065" s="206" t="str">
        <f>VLOOKUP($Q2065,Resultados!$A$1:$B$49,2,FALSE)</f>
        <v xml:space="preserve"> _</v>
      </c>
      <c r="S2065" s="206"/>
      <c r="T2065" s="414" t="str">
        <f>IF(G2065=$J$1,"SI","NO")</f>
        <v>NO</v>
      </c>
      <c r="U2065" s="414"/>
      <c r="V2065" s="326" t="str">
        <f ca="1">IF(color_Celda(E2065)=12106214,"ROSA",IF(color_Celda(E2065)=65535,"AMARILLO",IF(color_Celda(E2065)=5296274,"VERDE",IF(color_Celda(E2065)=16777215,"BLANCO","NO SE"))))</f>
        <v>NO SE</v>
      </c>
      <c r="W2065" s="329"/>
      <c r="X2065" s="329"/>
      <c r="Y2065" s="329"/>
      <c r="Z2065" s="329"/>
      <c r="AA2065" s="329"/>
      <c r="AB2065" s="329"/>
      <c r="AC2065" s="329"/>
    </row>
    <row r="2066" spans="1:29" ht="60" customHeight="1">
      <c r="A2066" s="426">
        <v>2060</v>
      </c>
      <c r="B2066" s="427">
        <v>45407</v>
      </c>
      <c r="C2066" s="670">
        <v>0.4201388888888889</v>
      </c>
      <c r="D2066" s="233" t="s">
        <v>7499</v>
      </c>
      <c r="E2066" s="578" t="s">
        <v>7500</v>
      </c>
      <c r="F2066" s="426">
        <v>7</v>
      </c>
      <c r="G2066" s="426"/>
      <c r="H2066" s="427"/>
      <c r="I2066" s="427"/>
      <c r="J2066" s="427"/>
      <c r="K2066" s="426" t="str">
        <f>IFERROR(VLOOKUP(J2066,Jueces!$A$1:$B$11,2,FALSE),"")</f>
        <v/>
      </c>
      <c r="L2066" s="233" t="s">
        <v>789</v>
      </c>
      <c r="M2066" s="233" t="s">
        <v>725</v>
      </c>
      <c r="N2066" s="426"/>
      <c r="O2066" s="167" t="str">
        <f ca="1">IF(H2066&lt;&gt;"",IF(H2066&lt;=TODAY(),"SI","NO"),"LIMBO")</f>
        <v>LIMBO</v>
      </c>
      <c r="P2066" s="167" t="str">
        <f>IF($P$1=H2066,"DIASOL", "DIANOSOL")</f>
        <v>DIANOSOL</v>
      </c>
      <c r="Q2066" s="233" t="s">
        <v>949</v>
      </c>
      <c r="R2066" s="233" t="str">
        <f>VLOOKUP($Q2066,Resultados!$A$1:$B$49,2,FALSE)</f>
        <v xml:space="preserve"> _</v>
      </c>
      <c r="S2066" s="233"/>
      <c r="T2066" s="414" t="str">
        <f>IF(G2066=$J$1,"SI","NO")</f>
        <v>NO</v>
      </c>
      <c r="U2066" s="414"/>
      <c r="V2066" s="326" t="str">
        <f ca="1">IF(color_Celda(E2066)=12106214,"ROSA",IF(color_Celda(E2066)=65535,"AMARILLO",IF(color_Celda(E2066)=5296274,"VERDE",IF(color_Celda(E2066)=16777215,"BLANCO","NO SE"))))</f>
        <v>AMARILLO</v>
      </c>
      <c r="W2066" s="426"/>
      <c r="X2066" s="426"/>
      <c r="Y2066" s="426"/>
      <c r="Z2066" s="426"/>
      <c r="AA2066" s="426"/>
      <c r="AB2066" s="426"/>
      <c r="AC2066" s="426"/>
    </row>
    <row r="2067" spans="1:29" ht="60" customHeight="1">
      <c r="A2067" s="426">
        <v>2061</v>
      </c>
      <c r="B2067" s="427">
        <v>45407</v>
      </c>
      <c r="C2067" s="670">
        <v>0.33333333333333331</v>
      </c>
      <c r="D2067" s="233" t="s">
        <v>7501</v>
      </c>
      <c r="E2067" s="235" t="s">
        <v>7502</v>
      </c>
      <c r="F2067" s="426">
        <v>8</v>
      </c>
      <c r="G2067" s="426"/>
      <c r="H2067" s="427"/>
      <c r="I2067" s="427"/>
      <c r="J2067" s="427"/>
      <c r="K2067" s="426"/>
      <c r="L2067" s="233" t="s">
        <v>7324</v>
      </c>
      <c r="M2067" s="808" t="s">
        <v>2247</v>
      </c>
      <c r="N2067" s="426"/>
      <c r="O2067" s="233" t="str">
        <f ca="1">IF(H2067&lt;&gt;"",IF(H2067&lt;=TODAY(),"SI","NO"),"LIMBO")</f>
        <v>LIMBO</v>
      </c>
      <c r="P2067" s="233" t="str">
        <f>IF($P$1=H2067,"DIASOL", "DIANOSOL")</f>
        <v>DIANOSOL</v>
      </c>
      <c r="Q2067" s="233" t="s">
        <v>949</v>
      </c>
      <c r="R2067" s="233" t="str">
        <f>VLOOKUP($Q2067,Resultados!$A$1:$B$49,2,FALSE)</f>
        <v xml:space="preserve"> _</v>
      </c>
      <c r="S2067" s="233"/>
      <c r="T2067" s="508" t="str">
        <f>IF(G2067=$J$1,"SI","NO")</f>
        <v>NO</v>
      </c>
      <c r="U2067" s="508"/>
      <c r="V2067" s="426" t="str">
        <f ca="1">IF(color_Celda(E2067)=12106214,"ROSA",IF(color_Celda(E2067)=65535,"AMARILLO",IF(color_Celda(E2067)=5296274,"VERDE",IF(color_Celda(E2067)=16777215,"BLANCO","NO SE"))))</f>
        <v>AMARILLO</v>
      </c>
      <c r="W2067" s="426"/>
      <c r="X2067" s="426"/>
      <c r="Y2067" s="426"/>
      <c r="Z2067" s="426"/>
      <c r="AA2067" s="426"/>
      <c r="AB2067" s="426"/>
      <c r="AC2067" s="426"/>
    </row>
    <row r="2068" spans="1:29" ht="39.9" customHeight="1">
      <c r="A2068" s="426">
        <v>2064</v>
      </c>
      <c r="B2068" s="427">
        <v>45407</v>
      </c>
      <c r="C2068" s="670">
        <v>0.47083333333333338</v>
      </c>
      <c r="D2068" s="233" t="s">
        <v>7505</v>
      </c>
      <c r="E2068" s="235" t="s">
        <v>7529</v>
      </c>
      <c r="F2068" s="426">
        <v>2</v>
      </c>
      <c r="G2068" s="426"/>
      <c r="H2068" s="427"/>
      <c r="I2068" s="427"/>
      <c r="J2068" s="427"/>
      <c r="K2068" s="426" t="str">
        <f>IFERROR(VLOOKUP(J2068,Jueces!$A$1:$B$11,2,FALSE),"")</f>
        <v/>
      </c>
      <c r="L2068" s="233" t="s">
        <v>569</v>
      </c>
      <c r="M2068" s="572" t="s">
        <v>3381</v>
      </c>
      <c r="N2068" s="233" t="s">
        <v>7530</v>
      </c>
      <c r="O2068" s="167" t="str">
        <f ca="1">IF(H2068&lt;&gt;"",IF(H2068&lt;=TODAY(),"SI","NO"),"LIMBO")</f>
        <v>LIMBO</v>
      </c>
      <c r="P2068" s="167" t="str">
        <f>IF($P$1=H2068,"DIASOL", "DIANOSOL")</f>
        <v>DIANOSOL</v>
      </c>
      <c r="Q2068" s="233" t="s">
        <v>949</v>
      </c>
      <c r="R2068" s="233" t="str">
        <f>VLOOKUP($Q2068,Resultados!$A$1:$B$49,2,FALSE)</f>
        <v xml:space="preserve"> _</v>
      </c>
      <c r="S2068" s="233"/>
      <c r="T2068" s="414" t="str">
        <f>IF(G2068=$J$1,"SI","NO")</f>
        <v>NO</v>
      </c>
      <c r="U2068" s="414"/>
      <c r="V2068" s="326" t="str">
        <f ca="1">IF(color_Celda(E2068)=12106214,"ROSA",IF(color_Celda(E2068)=65535,"AMARILLO",IF(color_Celda(E2068)=5296274,"VERDE",IF(color_Celda(E2068)=16777215,"BLANCO","NO SE"))))</f>
        <v>AMARILLO</v>
      </c>
      <c r="W2068" s="426"/>
      <c r="X2068" s="426"/>
      <c r="Y2068" s="426"/>
      <c r="Z2068" s="426"/>
      <c r="AA2068" s="426"/>
      <c r="AB2068" s="426"/>
      <c r="AC2068" s="426"/>
    </row>
    <row r="2069" spans="1:29" ht="39.9" customHeight="1">
      <c r="A2069" s="426">
        <v>2066</v>
      </c>
      <c r="B2069" s="427">
        <v>45407</v>
      </c>
      <c r="C2069" s="670">
        <v>0.47916666666666669</v>
      </c>
      <c r="D2069" s="233" t="s">
        <v>7508</v>
      </c>
      <c r="E2069" s="697" t="s">
        <v>7509</v>
      </c>
      <c r="F2069" s="426">
        <v>8</v>
      </c>
      <c r="G2069" s="426"/>
      <c r="H2069" s="427"/>
      <c r="I2069" s="427"/>
      <c r="J2069" s="427"/>
      <c r="K2069" s="426" t="str">
        <f>IFERROR(VLOOKUP(J2069,Jueces!$A$1:$B$11,2,FALSE),"")</f>
        <v/>
      </c>
      <c r="L2069" s="233" t="s">
        <v>791</v>
      </c>
      <c r="M2069" s="572" t="s">
        <v>4515</v>
      </c>
      <c r="N2069" s="426"/>
      <c r="O2069" s="233" t="str">
        <f ca="1">IF(H2069&lt;&gt;"",IF(H2069&lt;=TODAY(),"SI","NO"),"LIMBO")</f>
        <v>LIMBO</v>
      </c>
      <c r="P2069" s="233" t="str">
        <f>IF($P$1=H2069,"DIASOL", "DIANOSOL")</f>
        <v>DIANOSOL</v>
      </c>
      <c r="Q2069" s="233" t="s">
        <v>949</v>
      </c>
      <c r="R2069" s="233" t="str">
        <f>VLOOKUP($Q2069,Resultados!$A$1:$B$49,2,FALSE)</f>
        <v xml:space="preserve"> _</v>
      </c>
      <c r="S2069" s="233"/>
      <c r="T2069" s="508" t="str">
        <f>IF(G2069=$J$1,"SI","NO")</f>
        <v>NO</v>
      </c>
      <c r="U2069" s="508"/>
      <c r="V2069" s="426" t="str">
        <f ca="1">IF(color_Celda(E2069)=12106214,"ROSA",IF(color_Celda(E2069)=65535,"AMARILLO",IF(color_Celda(E2069)=5296274,"VERDE",IF(color_Celda(E2069)=16777215,"BLANCO","NO SE"))))</f>
        <v>AMARILLO</v>
      </c>
      <c r="W2069" s="426"/>
      <c r="X2069" s="426"/>
      <c r="Y2069" s="426"/>
      <c r="Z2069" s="426"/>
      <c r="AA2069" s="426"/>
      <c r="AB2069" s="426"/>
      <c r="AC2069" s="426"/>
    </row>
    <row r="2070" spans="1:29" ht="39.9" customHeight="1">
      <c r="A2070" s="326">
        <v>2067</v>
      </c>
      <c r="B2070" s="338">
        <v>45408</v>
      </c>
      <c r="C2070" s="167" t="s">
        <v>73</v>
      </c>
      <c r="D2070" s="167" t="s">
        <v>7516</v>
      </c>
      <c r="E2070" s="168" t="s">
        <v>7517</v>
      </c>
      <c r="F2070" s="326">
        <v>8</v>
      </c>
      <c r="G2070" s="326"/>
      <c r="H2070" s="338"/>
      <c r="I2070" s="338"/>
      <c r="J2070" s="338"/>
      <c r="K2070" s="326" t="str">
        <f>IFERROR(VLOOKUP(J2070,Jueces!$A$1:$B$11,2,FALSE),"")</f>
        <v/>
      </c>
      <c r="L2070" s="167" t="s">
        <v>569</v>
      </c>
      <c r="M2070" s="167"/>
      <c r="N2070" s="326"/>
      <c r="O2070" s="167" t="str">
        <f ca="1">IF(H2070&lt;&gt;"",IF(H2070&lt;=TODAY(),"SI","NO"),"LIMBO")</f>
        <v>LIMBO</v>
      </c>
      <c r="P2070" s="167" t="str">
        <f>IF($P$1=H2070,"DIASOL", "DIANOSOL")</f>
        <v>DIANOSOL</v>
      </c>
      <c r="Q2070" s="167" t="s">
        <v>949</v>
      </c>
      <c r="R2070" s="167" t="str">
        <f>VLOOKUP($Q2070,Resultados!$A$1:$B$49,2,FALSE)</f>
        <v xml:space="preserve"> _</v>
      </c>
      <c r="S2070" s="167"/>
      <c r="T2070" s="414" t="str">
        <f>IF(G2070=$J$1,"SI","NO")</f>
        <v>NO</v>
      </c>
      <c r="U2070" s="414"/>
      <c r="V2070" s="326" t="str">
        <f ca="1">IF(color_Celda(E2070)=12106214,"ROSA",IF(color_Celda(E2070)=65535,"AMARILLO",IF(color_Celda(E2070)=5296274,"VERDE",IF(color_Celda(E2070)=16777215,"BLANCO","NO SE"))))</f>
        <v>VERDE</v>
      </c>
      <c r="W2070" s="326"/>
      <c r="X2070" s="326"/>
      <c r="Y2070" s="326"/>
      <c r="Z2070" s="326"/>
      <c r="AA2070" s="326"/>
      <c r="AB2070" s="326"/>
      <c r="AC2070" s="326"/>
    </row>
    <row r="2071" spans="1:29" ht="39.9" customHeight="1">
      <c r="A2071" s="326">
        <v>2068</v>
      </c>
      <c r="B2071" s="338">
        <v>45408</v>
      </c>
      <c r="C2071" s="610">
        <v>0.33333333333333331</v>
      </c>
      <c r="D2071" s="167" t="s">
        <v>7518</v>
      </c>
      <c r="E2071" s="400" t="s">
        <v>7519</v>
      </c>
      <c r="F2071" s="326">
        <v>8</v>
      </c>
      <c r="G2071" s="326"/>
      <c r="H2071" s="338"/>
      <c r="I2071" s="338"/>
      <c r="J2071" s="338"/>
      <c r="K2071" s="326" t="str">
        <f>IFERROR(VLOOKUP(J2071,Jueces!$A$1:$B$11,2,FALSE),"")</f>
        <v/>
      </c>
      <c r="L2071" s="167" t="s">
        <v>4789</v>
      </c>
      <c r="M2071" s="167"/>
      <c r="N2071" s="326"/>
      <c r="O2071" s="167" t="str">
        <f ca="1">IF(H2071&lt;&gt;"",IF(H2071&lt;=TODAY(),"SI","NO"),"LIMBO")</f>
        <v>LIMBO</v>
      </c>
      <c r="P2071" s="167" t="str">
        <f>IF($P$1=H2071,"DIASOL", "DIANOSOL")</f>
        <v>DIANOSOL</v>
      </c>
      <c r="Q2071" s="167" t="s">
        <v>949</v>
      </c>
      <c r="R2071" s="167" t="str">
        <f>VLOOKUP($Q2071,Resultados!$A$1:$B$49,2,FALSE)</f>
        <v xml:space="preserve"> _</v>
      </c>
      <c r="S2071" s="167"/>
      <c r="T2071" s="414" t="str">
        <f>IF(G2071=$J$1,"SI","NO")</f>
        <v>NO</v>
      </c>
      <c r="U2071" s="414"/>
      <c r="V2071" s="326" t="str">
        <f ca="1">IF(color_Celda(E2071)=12106214,"ROSA",IF(color_Celda(E2071)=65535,"AMARILLO",IF(color_Celda(E2071)=5296274,"VERDE",IF(color_Celda(E2071)=16777215,"BLANCO","NO SE"))))</f>
        <v>VERDE</v>
      </c>
      <c r="W2071" s="326"/>
      <c r="X2071" s="326"/>
      <c r="Y2071" s="326"/>
      <c r="Z2071" s="326"/>
      <c r="AA2071" s="326"/>
      <c r="AB2071" s="326"/>
      <c r="AC2071" s="326"/>
    </row>
    <row r="2072" spans="1:29" ht="39.9" customHeight="1">
      <c r="A2072" s="426">
        <v>2069</v>
      </c>
      <c r="B2072" s="427">
        <v>45408</v>
      </c>
      <c r="C2072" s="670">
        <v>0.40486111111111112</v>
      </c>
      <c r="D2072" s="233" t="s">
        <v>7522</v>
      </c>
      <c r="E2072" s="235" t="s">
        <v>7523</v>
      </c>
      <c r="F2072" s="426">
        <v>1</v>
      </c>
      <c r="G2072" s="426"/>
      <c r="H2072" s="427"/>
      <c r="I2072" s="427"/>
      <c r="J2072" s="427"/>
      <c r="K2072" s="426" t="str">
        <f>IFERROR(VLOOKUP(J2072,Jueces!$A$1:$B$11,2,FALSE),"")</f>
        <v/>
      </c>
      <c r="L2072" s="233" t="s">
        <v>4781</v>
      </c>
      <c r="M2072" s="233"/>
      <c r="N2072" s="426"/>
      <c r="O2072" s="167" t="str">
        <f ca="1">IF(H2072&lt;&gt;"",IF(H2072&lt;=TODAY(),"SI","NO"),"LIMBO")</f>
        <v>LIMBO</v>
      </c>
      <c r="P2072" s="167" t="str">
        <f>IF($P$1=H2072,"DIASOL", "DIANOSOL")</f>
        <v>DIANOSOL</v>
      </c>
      <c r="Q2072" s="233" t="s">
        <v>949</v>
      </c>
      <c r="R2072" s="233" t="str">
        <f>VLOOKUP($Q2072,Resultados!$A$1:$B$49,2,FALSE)</f>
        <v xml:space="preserve"> _</v>
      </c>
      <c r="S2072" s="233"/>
      <c r="T2072" s="414" t="str">
        <f>IF(G2072=$J$1,"SI","NO")</f>
        <v>NO</v>
      </c>
      <c r="U2072" s="414"/>
      <c r="V2072" s="326" t="str">
        <f ca="1">IF(color_Celda(E2072)=12106214,"ROSA",IF(color_Celda(E2072)=65535,"AMARILLO",IF(color_Celda(E2072)=5296274,"VERDE",IF(color_Celda(E2072)=16777215,"BLANCO","NO SE"))))</f>
        <v>AMARILLO</v>
      </c>
      <c r="W2072" s="426"/>
      <c r="X2072" s="426"/>
      <c r="Y2072" s="426"/>
      <c r="Z2072" s="426"/>
      <c r="AA2072" s="426"/>
      <c r="AB2072" s="426"/>
      <c r="AC2072" s="426"/>
    </row>
    <row r="2073" spans="1:29" ht="39.9" customHeight="1">
      <c r="A2073" s="426">
        <v>2070</v>
      </c>
      <c r="B2073" s="427">
        <v>45408</v>
      </c>
      <c r="C2073" s="670">
        <v>0.40763888888888888</v>
      </c>
      <c r="D2073" s="233" t="s">
        <v>7524</v>
      </c>
      <c r="E2073" s="235" t="s">
        <v>7525</v>
      </c>
      <c r="F2073" s="426">
        <v>1</v>
      </c>
      <c r="G2073" s="426"/>
      <c r="H2073" s="427"/>
      <c r="I2073" s="427"/>
      <c r="J2073" s="427"/>
      <c r="K2073" s="426" t="str">
        <f>IFERROR(VLOOKUP(J2073,Jueces!$A$1:$B$11,2,FALSE),"")</f>
        <v/>
      </c>
      <c r="L2073" s="233" t="s">
        <v>4781</v>
      </c>
      <c r="M2073" s="233" t="s">
        <v>1084</v>
      </c>
      <c r="N2073" s="426"/>
      <c r="O2073" s="233" t="str">
        <f ca="1">IF(H2073&lt;&gt;"",IF(H2073&lt;=TODAY(),"SI","NO"),"LIMBO")</f>
        <v>LIMBO</v>
      </c>
      <c r="P2073" s="233" t="str">
        <f>IF($P$1=H2073,"DIASOL", "DIANOSOL")</f>
        <v>DIANOSOL</v>
      </c>
      <c r="Q2073" s="233" t="s">
        <v>949</v>
      </c>
      <c r="R2073" s="233" t="str">
        <f>VLOOKUP($Q2073,Resultados!$A$1:$B$49,2,FALSE)</f>
        <v xml:space="preserve"> _</v>
      </c>
      <c r="S2073" s="233"/>
      <c r="T2073" s="508" t="str">
        <f>IF(G2073=$J$1,"SI","NO")</f>
        <v>NO</v>
      </c>
      <c r="U2073" s="508"/>
      <c r="V2073" s="426" t="str">
        <f ca="1">IF(color_Celda(E2073)=12106214,"ROSA",IF(color_Celda(E2073)=65535,"AMARILLO",IF(color_Celda(E2073)=5296274,"VERDE",IF(color_Celda(E2073)=16777215,"BLANCO","NO SE"))))</f>
        <v>AMARILLO</v>
      </c>
      <c r="W2073" s="426"/>
      <c r="X2073" s="426"/>
      <c r="Y2073" s="426"/>
      <c r="Z2073" s="426"/>
      <c r="AA2073" s="426"/>
      <c r="AB2073" s="426"/>
      <c r="AC2073" s="426"/>
    </row>
    <row r="2074" spans="1:29" ht="39.9" customHeight="1">
      <c r="A2074" s="426">
        <v>2071</v>
      </c>
      <c r="B2074" s="427">
        <v>45408</v>
      </c>
      <c r="C2074" s="670">
        <v>0.40902777777777777</v>
      </c>
      <c r="D2074" s="233" t="s">
        <v>7526</v>
      </c>
      <c r="E2074" s="578" t="s">
        <v>7527</v>
      </c>
      <c r="F2074" s="426">
        <v>1</v>
      </c>
      <c r="G2074" s="426"/>
      <c r="H2074" s="427"/>
      <c r="I2074" s="427"/>
      <c r="J2074" s="427"/>
      <c r="K2074" s="426" t="str">
        <f>IFERROR(VLOOKUP(J2074,Jueces!$A$1:$B$11,2,FALSE),"")</f>
        <v/>
      </c>
      <c r="L2074" s="233" t="s">
        <v>4790</v>
      </c>
      <c r="M2074" s="233"/>
      <c r="N2074" s="426"/>
      <c r="O2074" s="167" t="str">
        <f ca="1">IF(H2074&lt;&gt;"",IF(H2074&lt;=TODAY(),"SI","NO"),"LIMBO")</f>
        <v>LIMBO</v>
      </c>
      <c r="P2074" s="167" t="str">
        <f>IF($P$1=H2074,"DIASOL", "DIANOSOL")</f>
        <v>DIANOSOL</v>
      </c>
      <c r="Q2074" s="233" t="s">
        <v>949</v>
      </c>
      <c r="R2074" s="233" t="str">
        <f>VLOOKUP($Q2074,Resultados!$A$1:$B$49,2,FALSE)</f>
        <v xml:space="preserve"> _</v>
      </c>
      <c r="S2074" s="233"/>
      <c r="T2074" s="414" t="str">
        <f>IF(G2074=$J$1,"SI","NO")</f>
        <v>NO</v>
      </c>
      <c r="U2074" s="414"/>
      <c r="V2074" s="326" t="str">
        <f ca="1">IF(color_Celda(E2074)=12106214,"ROSA",IF(color_Celda(E2074)=65535,"AMARILLO",IF(color_Celda(E2074)=5296274,"VERDE",IF(color_Celda(E2074)=16777215,"BLANCO","NO SE"))))</f>
        <v>AMARILLO</v>
      </c>
      <c r="W2074" s="426"/>
      <c r="X2074" s="426"/>
      <c r="Y2074" s="426"/>
      <c r="Z2074" s="426"/>
      <c r="AA2074" s="426"/>
      <c r="AB2074" s="426"/>
      <c r="AC2074" s="426"/>
    </row>
    <row r="2075" spans="1:29" ht="39.9" customHeight="1">
      <c r="A2075" s="426">
        <v>2073</v>
      </c>
      <c r="B2075" s="427">
        <v>45408</v>
      </c>
      <c r="C2075" s="670">
        <v>0.4375</v>
      </c>
      <c r="D2075" s="233" t="s">
        <v>7535</v>
      </c>
      <c r="E2075" s="235" t="s">
        <v>7536</v>
      </c>
      <c r="F2075" s="426">
        <v>8</v>
      </c>
      <c r="G2075" s="426"/>
      <c r="H2075" s="427"/>
      <c r="I2075" s="427"/>
      <c r="J2075" s="427"/>
      <c r="K2075" s="426" t="str">
        <f>IFERROR(VLOOKUP(J2075,Jueces!$A$1:$B$11,2,FALSE),"")</f>
        <v/>
      </c>
      <c r="L2075" s="233" t="s">
        <v>4767</v>
      </c>
      <c r="M2075" s="233" t="s">
        <v>767</v>
      </c>
      <c r="N2075" s="426"/>
      <c r="O2075" s="233" t="str">
        <f ca="1">IF(H2075&lt;&gt;"",IF(H2075&lt;=TODAY(),"SI","NO"),"LIMBO")</f>
        <v>LIMBO</v>
      </c>
      <c r="P2075" s="233" t="str">
        <f>IF($P$1=H2075,"DIASOL", "DIANOSOL")</f>
        <v>DIANOSOL</v>
      </c>
      <c r="Q2075" s="233" t="s">
        <v>949</v>
      </c>
      <c r="R2075" s="233" t="str">
        <f>VLOOKUP($Q2075,Resultados!$A$1:$B$49,2,FALSE)</f>
        <v xml:space="preserve"> _</v>
      </c>
      <c r="S2075" s="233"/>
      <c r="T2075" s="508" t="str">
        <f>IF(G2075=$J$1,"SI","NO")</f>
        <v>NO</v>
      </c>
      <c r="U2075" s="508"/>
      <c r="V2075" s="426" t="str">
        <f ca="1">IF(color_Celda(E2075)=12106214,"ROSA",IF(color_Celda(E2075)=65535,"AMARILLO",IF(color_Celda(E2075)=5296274,"VERDE",IF(color_Celda(E2075)=16777215,"BLANCO","NO SE"))))</f>
        <v>AMARILLO</v>
      </c>
      <c r="W2075" s="426"/>
      <c r="X2075" s="426"/>
      <c r="Y2075" s="426"/>
      <c r="Z2075" s="426"/>
      <c r="AA2075" s="426"/>
      <c r="AB2075" s="426"/>
      <c r="AC2075" s="426"/>
    </row>
    <row r="2076" spans="1:29" ht="39.9" customHeight="1">
      <c r="A2076" s="426">
        <v>2074</v>
      </c>
      <c r="B2076" s="427">
        <v>45408</v>
      </c>
      <c r="C2076" s="670">
        <v>0.45</v>
      </c>
      <c r="D2076" s="233" t="s">
        <v>7538</v>
      </c>
      <c r="E2076" s="235" t="s">
        <v>7539</v>
      </c>
      <c r="F2076" s="426">
        <v>7</v>
      </c>
      <c r="G2076" s="426"/>
      <c r="H2076" s="427"/>
      <c r="I2076" s="427"/>
      <c r="J2076" s="427"/>
      <c r="K2076" s="426" t="str">
        <f>IFERROR(VLOOKUP(J2076,Jueces!$A$1:$B$11,2,FALSE),"")</f>
        <v/>
      </c>
      <c r="L2076" s="233" t="s">
        <v>582</v>
      </c>
      <c r="M2076" s="233" t="s">
        <v>725</v>
      </c>
      <c r="N2076" s="233" t="s">
        <v>7540</v>
      </c>
      <c r="O2076" s="233" t="str">
        <f ca="1">IF(H2076&lt;&gt;"",IF(H2076&lt;=TODAY(),"SI","NO"),"LIMBO")</f>
        <v>LIMBO</v>
      </c>
      <c r="P2076" s="233" t="str">
        <f>IF($P$1=H2076,"DIASOL", "DIANOSOL")</f>
        <v>DIANOSOL</v>
      </c>
      <c r="Q2076" s="233" t="s">
        <v>949</v>
      </c>
      <c r="R2076" s="233" t="str">
        <f>VLOOKUP($Q2076,Resultados!$A$1:$B$49,2,FALSE)</f>
        <v xml:space="preserve"> _</v>
      </c>
      <c r="S2076" s="233"/>
      <c r="T2076" s="508" t="str">
        <f>IF(G2076=$J$1,"SI","NO")</f>
        <v>NO</v>
      </c>
      <c r="U2076" s="508"/>
      <c r="V2076" s="426" t="str">
        <f ca="1">IF(color_Celda(E2076)=12106214,"ROSA",IF(color_Celda(E2076)=65535,"AMARILLO",IF(color_Celda(E2076)=5296274,"VERDE",IF(color_Celda(E2076)=16777215,"BLANCO","NO SE"))))</f>
        <v>AMARILLO</v>
      </c>
      <c r="W2076" s="426"/>
      <c r="X2076" s="426"/>
      <c r="Y2076" s="426"/>
      <c r="Z2076" s="426"/>
      <c r="AA2076" s="426"/>
      <c r="AB2076" s="426"/>
      <c r="AC2076" s="426"/>
    </row>
    <row r="2077" spans="1:29" ht="39.9" customHeight="1">
      <c r="A2077" s="326">
        <v>2075</v>
      </c>
      <c r="B2077" s="338">
        <v>45408</v>
      </c>
      <c r="C2077" s="610">
        <v>0.50694444444444442</v>
      </c>
      <c r="D2077" s="167" t="s">
        <v>7541</v>
      </c>
      <c r="E2077" s="168" t="s">
        <v>7542</v>
      </c>
      <c r="F2077" s="326">
        <v>8</v>
      </c>
      <c r="G2077" s="326"/>
      <c r="H2077" s="338"/>
      <c r="I2077" s="338"/>
      <c r="J2077" s="338"/>
      <c r="K2077" s="326" t="str">
        <f>IFERROR(VLOOKUP(J2077,Jueces!$A$1:$B$11,2,FALSE),"")</f>
        <v/>
      </c>
      <c r="L2077" s="167" t="s">
        <v>4792</v>
      </c>
      <c r="M2077" s="167"/>
      <c r="N2077" s="326"/>
      <c r="O2077" s="167" t="str">
        <f ca="1">IF(H2077&lt;&gt;"",IF(H2077&lt;=TODAY(),"SI","NO"),"LIMBO")</f>
        <v>LIMBO</v>
      </c>
      <c r="P2077" s="167" t="str">
        <f>IF($P$1=H2077,"DIASOL", "DIANOSOL")</f>
        <v>DIANOSOL</v>
      </c>
      <c r="Q2077" s="167" t="s">
        <v>949</v>
      </c>
      <c r="R2077" s="167" t="str">
        <f>VLOOKUP($Q2077,Resultados!$A$1:$B$49,2,FALSE)</f>
        <v xml:space="preserve"> _</v>
      </c>
      <c r="S2077" s="167"/>
      <c r="T2077" s="414" t="str">
        <f>IF(G2077=$J$1,"SI","NO")</f>
        <v>NO</v>
      </c>
      <c r="U2077" s="414"/>
      <c r="V2077" s="326" t="str">
        <f ca="1">IF(color_Celda(E2077)=12106214,"ROSA",IF(color_Celda(E2077)=65535,"AMARILLO",IF(color_Celda(E2077)=5296274,"VERDE",IF(color_Celda(E2077)=16777215,"BLANCO","NO SE"))))</f>
        <v>VERDE</v>
      </c>
      <c r="W2077" s="326"/>
      <c r="X2077" s="326"/>
      <c r="Y2077" s="326"/>
      <c r="Z2077" s="326"/>
      <c r="AA2077" s="326"/>
      <c r="AB2077" s="326"/>
      <c r="AC2077" s="326"/>
    </row>
    <row r="2078" spans="1:29" ht="39.9" customHeight="1">
      <c r="A2078" s="326">
        <v>2076</v>
      </c>
      <c r="B2078" s="338">
        <v>45408</v>
      </c>
      <c r="C2078" s="711" t="s">
        <v>5168</v>
      </c>
      <c r="D2078" s="326" t="s">
        <v>5169</v>
      </c>
      <c r="E2078" s="400" t="s">
        <v>4551</v>
      </c>
      <c r="F2078" s="326">
        <v>5</v>
      </c>
      <c r="G2078" s="326"/>
      <c r="H2078" s="401"/>
      <c r="I2078" s="338"/>
      <c r="J2078" s="338"/>
      <c r="K2078" s="326" t="str">
        <f>IFERROR(VLOOKUP(J2078,Jueces!$A$1:$B$11,2,FALSE),"")</f>
        <v/>
      </c>
      <c r="L2078" s="167" t="s">
        <v>508</v>
      </c>
      <c r="M2078" s="695" t="s">
        <v>7543</v>
      </c>
      <c r="N2078" s="326" t="s">
        <v>5777</v>
      </c>
      <c r="O2078" s="167" t="str">
        <f ca="1">IF(H2078&lt;&gt;"",IF(H2078&lt;=TODAY(),"SI","NO"),"LIMBO")</f>
        <v>LIMBO</v>
      </c>
      <c r="P2078" s="167" t="str">
        <f>IF($P$1=H2078,"DIASOL", "DIANOSOL")</f>
        <v>DIANOSOL</v>
      </c>
      <c r="Q2078" s="167" t="s">
        <v>949</v>
      </c>
      <c r="R2078" s="167" t="str">
        <f>VLOOKUP($Q2078,Resultados!$A$1:$B$49,2,FALSE)</f>
        <v xml:space="preserve"> _</v>
      </c>
      <c r="S2078" s="167"/>
      <c r="T2078" s="414" t="str">
        <f>IF(G2078=$J$1,"SI","NO")</f>
        <v>NO</v>
      </c>
      <c r="U2078" s="414"/>
      <c r="V2078" s="326" t="str">
        <f ca="1">IF(color_Celda(E2078)=12106214,"ROSA",IF(color_Celda(E2078)=65535,"AMARILLO",IF(color_Celda(E2078)=5296274,"VERDE",IF(color_Celda(E2078)=16777215,"BLANCO","NO SE"))))</f>
        <v>VERDE</v>
      </c>
      <c r="W2078" s="326"/>
      <c r="X2078" s="326"/>
      <c r="Y2078" s="326"/>
      <c r="Z2078" s="326"/>
      <c r="AA2078" s="326"/>
      <c r="AB2078" s="326"/>
      <c r="AC2078" s="326"/>
    </row>
    <row r="2079" spans="1:29" ht="39.9" customHeight="1">
      <c r="A2079" s="326">
        <v>2077</v>
      </c>
      <c r="B2079" s="338">
        <v>45408</v>
      </c>
      <c r="C2079" s="610">
        <v>0.50694444444444442</v>
      </c>
      <c r="D2079" s="167" t="s">
        <v>7541</v>
      </c>
      <c r="E2079" s="168" t="s">
        <v>7544</v>
      </c>
      <c r="F2079" s="326">
        <v>8</v>
      </c>
      <c r="G2079" s="326"/>
      <c r="H2079" s="338"/>
      <c r="I2079" s="338"/>
      <c r="J2079" s="338"/>
      <c r="K2079" s="326" t="str">
        <f>IFERROR(VLOOKUP(J2079,Jueces!$A$1:$B$11,2,FALSE),"")</f>
        <v/>
      </c>
      <c r="L2079" s="167" t="s">
        <v>2077</v>
      </c>
      <c r="M2079" s="167"/>
      <c r="N2079" s="326"/>
      <c r="O2079" s="167" t="str">
        <f ca="1">IF(H2079&lt;&gt;"",IF(H2079&lt;=TODAY(),"SI","NO"),"LIMBO")</f>
        <v>LIMBO</v>
      </c>
      <c r="P2079" s="167" t="str">
        <f>IF($P$1=H2079,"DIASOL", "DIANOSOL")</f>
        <v>DIANOSOL</v>
      </c>
      <c r="Q2079" s="167" t="s">
        <v>949</v>
      </c>
      <c r="R2079" s="167" t="str">
        <f>VLOOKUP($Q2079,Resultados!$A$1:$B$49,2,FALSE)</f>
        <v xml:space="preserve"> _</v>
      </c>
      <c r="S2079" s="167"/>
      <c r="T2079" s="414" t="str">
        <f>IF(G2079=$J$1,"SI","NO")</f>
        <v>NO</v>
      </c>
      <c r="U2079" s="414"/>
      <c r="V2079" s="326" t="str">
        <f ca="1">IF(color_Celda(E2079)=12106214,"ROSA",IF(color_Celda(E2079)=65535,"AMARILLO",IF(color_Celda(E2079)=5296274,"VERDE",IF(color_Celda(E2079)=16777215,"BLANCO","NO SE"))))</f>
        <v>VERDE</v>
      </c>
      <c r="W2079" s="326"/>
      <c r="X2079" s="326"/>
      <c r="Y2079" s="326"/>
      <c r="Z2079" s="326"/>
      <c r="AA2079" s="326"/>
      <c r="AB2079" s="326"/>
      <c r="AC2079" s="326"/>
    </row>
    <row r="2080" spans="1:29" ht="39.9" customHeight="1">
      <c r="A2080" s="326">
        <v>2078</v>
      </c>
      <c r="B2080" s="338">
        <v>45408</v>
      </c>
      <c r="C2080" s="610">
        <v>0.51041666666666663</v>
      </c>
      <c r="D2080" s="325" t="s">
        <v>7545</v>
      </c>
      <c r="E2080" s="168" t="s">
        <v>7546</v>
      </c>
      <c r="F2080" s="326">
        <v>8</v>
      </c>
      <c r="G2080" s="326"/>
      <c r="H2080" s="338"/>
      <c r="I2080" s="338"/>
      <c r="J2080" s="338"/>
      <c r="K2080" s="326" t="str">
        <f>IFERROR(VLOOKUP(J2080,Jueces!$A$1:$B$11,2,FALSE),"")</f>
        <v/>
      </c>
      <c r="L2080" s="167" t="s">
        <v>4790</v>
      </c>
      <c r="M2080" s="167"/>
      <c r="N2080" s="326"/>
      <c r="O2080" s="167" t="str">
        <f ca="1">IF(H2080&lt;&gt;"",IF(H2080&lt;=TODAY(),"SI","NO"),"LIMBO")</f>
        <v>LIMBO</v>
      </c>
      <c r="P2080" s="167" t="str">
        <f>IF($P$1=H2080,"DIASOL", "DIANOSOL")</f>
        <v>DIANOSOL</v>
      </c>
      <c r="Q2080" s="167" t="s">
        <v>949</v>
      </c>
      <c r="R2080" s="167" t="str">
        <f>VLOOKUP($Q2080,Resultados!$A$1:$B$49,2,FALSE)</f>
        <v xml:space="preserve"> _</v>
      </c>
      <c r="S2080" s="167"/>
      <c r="T2080" s="414" t="str">
        <f>IF(G2080=$J$1,"SI","NO")</f>
        <v>NO</v>
      </c>
      <c r="U2080" s="414"/>
      <c r="V2080" s="326" t="str">
        <f ca="1">IF(color_Celda(E2080)=12106214,"ROSA",IF(color_Celda(E2080)=65535,"AMARILLO",IF(color_Celda(E2080)=5296274,"VERDE",IF(color_Celda(E2080)=16777215,"BLANCO","NO SE"))))</f>
        <v>VERDE</v>
      </c>
      <c r="W2080" s="326"/>
      <c r="X2080" s="326"/>
      <c r="Y2080" s="326"/>
      <c r="Z2080" s="326"/>
      <c r="AA2080" s="326"/>
      <c r="AB2080" s="326"/>
      <c r="AC2080" s="326" t="s">
        <v>1792</v>
      </c>
    </row>
    <row r="2081" spans="1:29" ht="39.9" customHeight="1">
      <c r="A2081" s="326">
        <v>2079</v>
      </c>
      <c r="B2081" s="338">
        <v>45408</v>
      </c>
      <c r="C2081" s="610">
        <v>0.53472222222222221</v>
      </c>
      <c r="D2081" s="167" t="s">
        <v>7547</v>
      </c>
      <c r="E2081" s="168" t="s">
        <v>7548</v>
      </c>
      <c r="F2081" s="326">
        <v>8</v>
      </c>
      <c r="G2081" s="326"/>
      <c r="H2081" s="338"/>
      <c r="I2081" s="338"/>
      <c r="J2081" s="338"/>
      <c r="K2081" s="326" t="str">
        <f>IFERROR(VLOOKUP(J2081,Jueces!$A$1:$B$11,2,FALSE),"")</f>
        <v/>
      </c>
      <c r="L2081" s="167" t="s">
        <v>789</v>
      </c>
      <c r="M2081" s="167"/>
      <c r="N2081" s="326"/>
      <c r="O2081" s="167" t="str">
        <f ca="1">IF(H2081&lt;&gt;"",IF(H2081&lt;=TODAY(),"SI","NO"),"LIMBO")</f>
        <v>LIMBO</v>
      </c>
      <c r="P2081" s="167" t="str">
        <f>IF($P$1=H2081,"DIASOL", "DIANOSOL")</f>
        <v>DIANOSOL</v>
      </c>
      <c r="Q2081" s="167" t="s">
        <v>949</v>
      </c>
      <c r="R2081" s="167" t="str">
        <f>VLOOKUP($Q2081,Resultados!$A$1:$B$49,2,FALSE)</f>
        <v xml:space="preserve"> _</v>
      </c>
      <c r="S2081" s="167"/>
      <c r="T2081" s="414" t="str">
        <f>IF(G2081=$J$1,"SI","NO")</f>
        <v>NO</v>
      </c>
      <c r="U2081" s="414"/>
      <c r="V2081" s="326" t="str">
        <f ca="1">IF(color_Celda(E2081)=12106214,"ROSA",IF(color_Celda(E2081)=65535,"AMARILLO",IF(color_Celda(E2081)=5296274,"VERDE",IF(color_Celda(E2081)=16777215,"BLANCO","NO SE"))))</f>
        <v>VERDE</v>
      </c>
      <c r="W2081" s="326"/>
      <c r="X2081" s="326"/>
      <c r="Y2081" s="326"/>
      <c r="Z2081" s="326"/>
      <c r="AA2081" s="326"/>
      <c r="AB2081" s="326"/>
      <c r="AC2081" s="326"/>
    </row>
    <row r="2082" spans="1:29" ht="39.9" customHeight="1">
      <c r="A2082" s="703">
        <v>2080</v>
      </c>
      <c r="B2082" s="704">
        <v>45411</v>
      </c>
      <c r="C2082" s="707">
        <v>0.33333333333333331</v>
      </c>
      <c r="D2082" s="522" t="s">
        <v>7549</v>
      </c>
      <c r="E2082" s="705" t="s">
        <v>7550</v>
      </c>
      <c r="F2082" s="703">
        <v>8</v>
      </c>
      <c r="G2082" s="703"/>
      <c r="H2082" s="704"/>
      <c r="I2082" s="704"/>
      <c r="J2082" s="704"/>
      <c r="K2082" s="703" t="str">
        <f>IFERROR(VLOOKUP(J2082,Jueces!$A$1:$B$11,2,FALSE),"")</f>
        <v/>
      </c>
      <c r="L2082" s="522" t="s">
        <v>4780</v>
      </c>
      <c r="M2082" s="522"/>
      <c r="N2082" s="703"/>
      <c r="O2082" s="522" t="str">
        <f ca="1">IF(H2082&lt;&gt;"",IF(H2082&lt;=TODAY(),"SI","NO"),"LIMBO")</f>
        <v>LIMBO</v>
      </c>
      <c r="P2082" s="522" t="str">
        <f>IF($P$1=H2082,"DIASOL", "DIANOSOL")</f>
        <v>DIANOSOL</v>
      </c>
      <c r="Q2082" s="522" t="s">
        <v>949</v>
      </c>
      <c r="R2082" s="522" t="str">
        <f>VLOOKUP($Q2082,Resultados!$A$1:$B$49,2,FALSE)</f>
        <v xml:space="preserve"> _</v>
      </c>
      <c r="S2082" s="522"/>
      <c r="T2082" s="706" t="str">
        <f>IF(G2082=$J$1,"SI","NO")</f>
        <v>NO</v>
      </c>
      <c r="U2082" s="706"/>
      <c r="V2082" s="703" t="str">
        <f ca="1">IF(color_Celda(E2082)=12106214,"ROSA",IF(color_Celda(E2082)=65535,"AMARILLO",IF(color_Celda(E2082)=5296274,"VERDE",IF(color_Celda(E2082)=16777215,"BLANCO","NO SE"))))</f>
        <v>VERDE</v>
      </c>
      <c r="W2082" s="703"/>
      <c r="X2082" s="703"/>
      <c r="Y2082" s="703"/>
      <c r="Z2082" s="703"/>
      <c r="AA2082" s="703"/>
      <c r="AB2082" s="703"/>
      <c r="AC2082" s="703"/>
    </row>
  </sheetData>
  <sortState ref="A3:AC2082">
    <sortCondition ref="H3:H2082"/>
    <sortCondition ref="I3:I2082"/>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2" type="noConversion"/>
  <conditionalFormatting sqref="B114:J114 L114:N114">
    <cfRule type="expression" dxfId="434" priority="729">
      <formula>"SI(P115=""HOY"")"</formula>
    </cfRule>
  </conditionalFormatting>
  <conditionalFormatting sqref="D1056">
    <cfRule type="duplicateValues" dxfId="433" priority="727"/>
    <cfRule type="duplicateValues" dxfId="432" priority="728"/>
  </conditionalFormatting>
  <conditionalFormatting sqref="D1056">
    <cfRule type="duplicateValues" dxfId="431" priority="726"/>
  </conditionalFormatting>
  <conditionalFormatting sqref="D1056">
    <cfRule type="duplicateValues" dxfId="430" priority="724"/>
    <cfRule type="duplicateValues" dxfId="429" priority="725"/>
  </conditionalFormatting>
  <conditionalFormatting sqref="D1090">
    <cfRule type="duplicateValues" dxfId="428" priority="506"/>
  </conditionalFormatting>
  <conditionalFormatting sqref="D1097:D1098 D1092:D1093 D1095">
    <cfRule type="duplicateValues" dxfId="427" priority="261"/>
    <cfRule type="duplicateValues" dxfId="426" priority="262"/>
  </conditionalFormatting>
  <conditionalFormatting sqref="D1097 D1092:D1093 D1095">
    <cfRule type="duplicateValues" dxfId="425" priority="260"/>
  </conditionalFormatting>
  <conditionalFormatting sqref="D1097:D1098 D1092:D1093 D1095">
    <cfRule type="duplicateValues" dxfId="424" priority="259"/>
  </conditionalFormatting>
  <conditionalFormatting sqref="D1097:D1098 D1092:D1093 D1095">
    <cfRule type="duplicateValues" dxfId="423" priority="257"/>
    <cfRule type="duplicateValues" dxfId="422" priority="258"/>
  </conditionalFormatting>
  <conditionalFormatting sqref="AF1839">
    <cfRule type="expression" dxfId="421" priority="2">
      <formula>MAX($AC1839,$AD1839)&lt;1</formula>
    </cfRule>
  </conditionalFormatting>
  <conditionalFormatting sqref="D1839">
    <cfRule type="duplicateValues" dxfId="420" priority="1"/>
  </conditionalFormatting>
  <dataValidations count="10">
    <dataValidation type="list" allowBlank="1" showInputMessage="1" showErrorMessage="1" sqref="M3:M1874 M1876:M2082">
      <formula1>defensores!$A$2:$A$280</formula1>
    </dataValidation>
    <dataValidation type="list" allowBlank="1" showInputMessage="1" showErrorMessage="1" sqref="G3:G1838 G1840:G2082">
      <formula1>Internos!$A$1:$A$21</formula1>
    </dataValidation>
    <dataValidation type="list" allowBlank="1" showInputMessage="1" showErrorMessage="1" sqref="J3:J1838 J1840:J2082">
      <formula1>Jueces!$A$1:$A$22</formula1>
    </dataValidation>
    <dataValidation type="list" allowBlank="1" showInputMessage="1" showErrorMessage="1" sqref="L3:L1838 L1840:L2082">
      <formula1>'fiscalias penales'!$A$1:$A$268</formula1>
    </dataValidation>
    <dataValidation type="list" allowBlank="1" showInputMessage="1" showErrorMessage="1" sqref="G1839">
      <formula1>[3]Internos!$A$1:$A$8</formula1>
    </dataValidation>
    <dataValidation type="list" allowBlank="1" showInputMessage="1" showErrorMessage="1" sqref="AI1839">
      <formula1>#REF!</formula1>
    </dataValidation>
    <dataValidation type="list" allowBlank="1" showInputMessage="1" showErrorMessage="1" sqref="J1839">
      <formula1>[3]Jueces!$A$1:$A$21</formula1>
    </dataValidation>
    <dataValidation type="list" allowBlank="1" showInputMessage="1" showErrorMessage="1" sqref="L1839">
      <formula1>'[3]fiscalias penales'!$A$1:$A$136</formula1>
    </dataValidation>
    <dataValidation type="list" allowBlank="1" showInputMessage="1" showErrorMessage="1" sqref="AJ1099">
      <formula1>#REF!</formula1>
    </dataValidation>
    <dataValidation type="list" allowBlank="1" showInputMessage="1" showErrorMessage="1" sqref="Q3:Q1683">
      <formula1>Resultados!$A$1:$A$19</formula1>
    </dataValidation>
  </dataValidations>
  <printOptions horizontalCentered="1" verticalCentered="1"/>
  <pageMargins left="0.19685039370078741" right="0.19685039370078741" top="0.19685039370078741" bottom="0.19685039370078741" header="0.27559055118110237" footer="0"/>
  <pageSetup paperSize="5" scale="65" orientation="landscape" horizontalDpi="4294967294" verticalDpi="4294967294" r:id="rId7"/>
  <drawing r:id="rId8"/>
  <legacyDrawing r:id="rId9"/>
  <controls>
    <control shapeId="1152" r:id="rId10" name="GarOrigen"/>
    <control shapeId="1129" r:id="rId11" name="ComboBox2"/>
    <control shapeId="1126" r:id="rId12" name="ComboBox1"/>
  </controls>
  <extLst xmlns:x14="http://schemas.microsoft.com/office/spreadsheetml/2009/9/main">
    <ext uri="{CCE6A557-97BC-4b89-ADB6-D9C93CAAB3DF}">
      <x14:dataValidations xmlns:xm="http://schemas.microsoft.com/office/excel/2006/main" count="15">
        <x14:dataValidation type="list" allowBlank="1" showInputMessage="1" showErrorMessage="1">
          <x14:formula1>
            <xm:f>Internos!$A$1:$A$20</xm:f>
          </x14:formula1>
          <xm:sqref>G3:G1138</xm:sqref>
        </x14:dataValidation>
        <x14:dataValidation type="list" allowBlank="1" showInputMessage="1" showErrorMessage="1">
          <x14:formula1>
            <xm:f>Jueces!$A$1:$A$20</xm:f>
          </x14:formula1>
          <xm:sqref>J3:J1138</xm:sqref>
        </x14:dataValidation>
        <x14:dataValidation type="list" allowBlank="1" showInputMessage="1" showErrorMessage="1">
          <x14:formula1>
            <xm:f>'fiscalias penales'!$A$1:$A$80</xm:f>
          </x14:formula1>
          <xm:sqref>L1097:L1138 L3:L1038 L1040:L1095</xm:sqref>
        </x14:dataValidation>
        <x14:dataValidation type="list" allowBlank="1" showInputMessage="1" showErrorMessage="1">
          <x14:formula1>
            <xm:f>defensores!$A$1:$A$200</xm:f>
          </x14:formula1>
          <xm:sqref>M3:M1138</xm:sqref>
        </x14:dataValidation>
        <x14:dataValidation type="list" allowBlank="1" showInputMessage="1" showErrorMessage="1">
          <x14:formula1>
            <xm:f>Resultados!$A$1:$A$20</xm:f>
          </x14:formula1>
          <xm:sqref>Q3:Q1103</xm:sqref>
        </x14:dataValidation>
        <x14:dataValidation type="list" allowBlank="1" showInputMessage="1" showErrorMessage="1">
          <x14:formula1>
            <xm:f>[4]Resultados!#REF!</xm:f>
          </x14:formula1>
          <xm:sqref>Q1027:Q1038</xm:sqref>
        </x14:dataValidation>
        <x14:dataValidation type="list" allowBlank="1" showInputMessage="1" showErrorMessage="1">
          <x14:formula1>
            <xm:f>'fiscalias penales'!$A$1:$A$60</xm:f>
          </x14:formula1>
          <xm:sqref>L3:L1108</xm:sqref>
        </x14:dataValidation>
        <x14:dataValidation type="list" allowBlank="1" showInputMessage="1" showErrorMessage="1">
          <x14:formula1>
            <xm:f>Jueces!$A$1:$A$25</xm:f>
          </x14:formula1>
          <xm:sqref>J3:J1100</xm:sqref>
        </x14:dataValidation>
        <x14:dataValidation type="list" allowBlank="1" showInputMessage="1" showErrorMessage="1">
          <x14:formula1>
            <xm:f>Resultados!$B$1:$B$30</xm:f>
          </x14:formula1>
          <xm:sqref>R3 R1060:R1062 R940:R1058</xm:sqref>
        </x14:dataValidation>
        <x14:dataValidation type="list" allowBlank="1" showInputMessage="1" showErrorMessage="1">
          <x14:formula1>
            <xm:f>'fiscalias penales'!$A$1:$A$64</xm:f>
          </x14:formula1>
          <xm:sqref>L3:L1100</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Internos!$A$1:$A$15</xm:f>
          </x14:formula1>
          <xm:sqref>G2</xm:sqref>
        </x14:dataValidation>
        <x14:dataValidation type="list" allowBlank="1" showInputMessage="1" showErrorMessage="1">
          <x14:formula1>
            <xm:f>defensores!$A$1:$A$47</xm:f>
          </x14:formula1>
          <xm:sqref>M3:M1100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Resultados!$A$1:$A$30</xm:f>
          </x14:formula1>
          <xm:sqref>Q2</xm:sqref>
        </x14:dataValidation>
      </x14:dataValidations>
    </ext>
  </extLst>
</worksheet>
</file>

<file path=xl/worksheets/sheet2.xml><?xml version="1.0" encoding="utf-8"?>
<worksheet xmlns="http://schemas.openxmlformats.org/spreadsheetml/2006/main" xmlns:r="http://schemas.openxmlformats.org/officeDocument/2006/relationships">
  <sheetPr codeName="Hoja10">
    <tabColor theme="9" tint="-0.249977111117893"/>
  </sheetPr>
  <dimension ref="A1:AC2049"/>
  <sheetViews>
    <sheetView topLeftCell="A259" zoomScale="115" zoomScaleNormal="115" workbookViewId="0">
      <selection activeCell="A271" sqref="A271"/>
    </sheetView>
  </sheetViews>
  <sheetFormatPr baseColWidth="10" defaultColWidth="11.44140625" defaultRowHeight="20.100000000000001" customHeight="1"/>
  <cols>
    <col min="1" max="1" width="43.88671875" style="62" bestFit="1" customWidth="1"/>
    <col min="2" max="16" width="11.44140625" style="20"/>
    <col min="17" max="26" width="0" style="20" hidden="1" customWidth="1"/>
    <col min="27" max="16384" width="11.44140625" style="20"/>
  </cols>
  <sheetData>
    <row r="1" spans="1:16" ht="20.100000000000001" customHeight="1">
      <c r="P1" s="638">
        <v>45406</v>
      </c>
    </row>
    <row r="2" spans="1:16" ht="20.100000000000001" customHeight="1">
      <c r="A2" s="61" t="s">
        <v>693</v>
      </c>
    </row>
    <row r="3" spans="1:16" ht="20.100000000000001" customHeight="1">
      <c r="A3" s="61" t="s">
        <v>2036</v>
      </c>
    </row>
    <row r="4" spans="1:16" ht="20.100000000000001" customHeight="1">
      <c r="A4" s="61" t="s">
        <v>1362</v>
      </c>
    </row>
    <row r="5" spans="1:16" ht="20.100000000000001" customHeight="1">
      <c r="A5" s="61" t="s">
        <v>694</v>
      </c>
    </row>
    <row r="6" spans="1:16" ht="20.100000000000001" customHeight="1">
      <c r="A6" s="61" t="s">
        <v>4062</v>
      </c>
    </row>
    <row r="7" spans="1:16" ht="20.100000000000001" customHeight="1">
      <c r="A7" s="61" t="s">
        <v>4771</v>
      </c>
    </row>
    <row r="8" spans="1:16" ht="20.100000000000001" customHeight="1">
      <c r="A8" s="61" t="s">
        <v>695</v>
      </c>
    </row>
    <row r="9" spans="1:16" ht="20.100000000000001" customHeight="1">
      <c r="A9" s="61" t="s">
        <v>4772</v>
      </c>
    </row>
    <row r="10" spans="1:16" ht="20.100000000000001" customHeight="1">
      <c r="A10" s="61" t="s">
        <v>3755</v>
      </c>
    </row>
    <row r="11" spans="1:16" ht="20.100000000000001" customHeight="1">
      <c r="A11" s="17" t="s">
        <v>1960</v>
      </c>
    </row>
    <row r="12" spans="1:16" ht="20.100000000000001" customHeight="1">
      <c r="A12" s="61" t="s">
        <v>1866</v>
      </c>
    </row>
    <row r="13" spans="1:16" ht="20.100000000000001" customHeight="1">
      <c r="A13" s="61" t="s">
        <v>4674</v>
      </c>
    </row>
    <row r="14" spans="1:16" ht="20.100000000000001" customHeight="1">
      <c r="A14" s="61" t="s">
        <v>1956</v>
      </c>
    </row>
    <row r="15" spans="1:16" ht="20.100000000000001" customHeight="1">
      <c r="A15" s="61" t="s">
        <v>983</v>
      </c>
    </row>
    <row r="16" spans="1:16" ht="20.100000000000001" customHeight="1">
      <c r="A16" s="61" t="s">
        <v>4773</v>
      </c>
    </row>
    <row r="17" spans="1:2" ht="20.100000000000001" customHeight="1">
      <c r="A17" s="61" t="s">
        <v>2107</v>
      </c>
    </row>
    <row r="18" spans="1:2" ht="20.100000000000001" customHeight="1">
      <c r="A18" s="61" t="s">
        <v>2353</v>
      </c>
      <c r="B18" s="574"/>
    </row>
    <row r="19" spans="1:2" ht="20.100000000000001" customHeight="1">
      <c r="A19" s="61" t="s">
        <v>2201</v>
      </c>
    </row>
    <row r="20" spans="1:2" ht="20.100000000000001" customHeight="1">
      <c r="A20" s="61" t="s">
        <v>725</v>
      </c>
    </row>
    <row r="21" spans="1:2" ht="20.100000000000001" customHeight="1">
      <c r="A21" s="61" t="s">
        <v>2549</v>
      </c>
    </row>
    <row r="22" spans="1:2" ht="20.100000000000001" customHeight="1">
      <c r="A22" s="61" t="s">
        <v>723</v>
      </c>
    </row>
    <row r="23" spans="1:2" ht="20.100000000000001" customHeight="1">
      <c r="A23" s="61" t="s">
        <v>1299</v>
      </c>
    </row>
    <row r="24" spans="1:2" ht="20.100000000000001" customHeight="1">
      <c r="A24" s="61" t="s">
        <v>767</v>
      </c>
    </row>
    <row r="25" spans="1:2" ht="20.100000000000001" customHeight="1">
      <c r="A25" s="61" t="s">
        <v>885</v>
      </c>
    </row>
    <row r="26" spans="1:2" ht="20.100000000000001" customHeight="1">
      <c r="A26" s="17" t="s">
        <v>4770</v>
      </c>
    </row>
    <row r="27" spans="1:2" ht="20.100000000000001" customHeight="1">
      <c r="A27" s="61" t="s">
        <v>4769</v>
      </c>
    </row>
    <row r="28" spans="1:2" ht="20.100000000000001" customHeight="1">
      <c r="A28" s="61" t="s">
        <v>1084</v>
      </c>
    </row>
    <row r="29" spans="1:2" ht="20.100000000000001" customHeight="1">
      <c r="A29" s="61" t="s">
        <v>4768</v>
      </c>
    </row>
    <row r="30" spans="1:2" ht="20.100000000000001" customHeight="1">
      <c r="A30" s="61" t="s">
        <v>711</v>
      </c>
    </row>
    <row r="31" spans="1:2" ht="20.100000000000001" customHeight="1">
      <c r="A31" s="61" t="s">
        <v>5992</v>
      </c>
    </row>
    <row r="32" spans="1:2" ht="20.100000000000001" customHeight="1">
      <c r="A32" s="61" t="s">
        <v>713</v>
      </c>
    </row>
    <row r="33" spans="1:1" ht="20.100000000000001" customHeight="1">
      <c r="A33" s="61" t="s">
        <v>4774</v>
      </c>
    </row>
    <row r="34" spans="1:1" ht="20.100000000000001" customHeight="1">
      <c r="A34" s="61" t="s">
        <v>692</v>
      </c>
    </row>
    <row r="35" spans="1:1" ht="20.100000000000001" customHeight="1">
      <c r="A35" s="61" t="s">
        <v>1329</v>
      </c>
    </row>
    <row r="36" spans="1:1" ht="20.100000000000001" customHeight="1">
      <c r="A36" s="61" t="s">
        <v>4775</v>
      </c>
    </row>
    <row r="37" spans="1:1" ht="20.100000000000001" customHeight="1">
      <c r="A37" s="61" t="s">
        <v>671</v>
      </c>
    </row>
    <row r="38" spans="1:1" ht="20.100000000000001" customHeight="1">
      <c r="A38" s="61" t="s">
        <v>631</v>
      </c>
    </row>
    <row r="39" spans="1:1" ht="20.100000000000001" customHeight="1">
      <c r="A39" s="61" t="s">
        <v>690</v>
      </c>
    </row>
    <row r="40" spans="1:1" ht="20.100000000000001" customHeight="1">
      <c r="A40" s="61" t="s">
        <v>696</v>
      </c>
    </row>
    <row r="41" spans="1:1" ht="20.100000000000001" customHeight="1">
      <c r="A41" s="61" t="s">
        <v>5145</v>
      </c>
    </row>
    <row r="42" spans="1:1" ht="20.100000000000001" customHeight="1">
      <c r="A42" s="61" t="s">
        <v>4972</v>
      </c>
    </row>
    <row r="43" spans="1:1" ht="33" customHeight="1">
      <c r="A43" s="61" t="s">
        <v>2250</v>
      </c>
    </row>
    <row r="44" spans="1:1" ht="20.100000000000001" customHeight="1">
      <c r="A44" s="61" t="s">
        <v>1852</v>
      </c>
    </row>
    <row r="45" spans="1:1" ht="20.100000000000001" customHeight="1">
      <c r="A45" s="61" t="s">
        <v>5059</v>
      </c>
    </row>
    <row r="46" spans="1:1" ht="20.100000000000001" customHeight="1">
      <c r="A46" s="61" t="s">
        <v>696</v>
      </c>
    </row>
    <row r="47" spans="1:1" ht="20.100000000000001" customHeight="1">
      <c r="A47" s="61" t="s">
        <v>2643</v>
      </c>
    </row>
    <row r="48" spans="1:1" ht="30.75" customHeight="1">
      <c r="A48" s="574" t="s">
        <v>1819</v>
      </c>
    </row>
    <row r="49" spans="1:1" ht="20.100000000000001" customHeight="1">
      <c r="A49" s="61" t="s">
        <v>2679</v>
      </c>
    </row>
    <row r="50" spans="1:1" ht="20.100000000000001" customHeight="1">
      <c r="A50" s="61" t="s">
        <v>6512</v>
      </c>
    </row>
    <row r="51" spans="1:1" ht="20.100000000000001" customHeight="1">
      <c r="A51" s="61" t="s">
        <v>4418</v>
      </c>
    </row>
    <row r="52" spans="1:1" ht="20.100000000000001" customHeight="1">
      <c r="A52" s="61" t="s">
        <v>1026</v>
      </c>
    </row>
    <row r="53" spans="1:1" ht="20.100000000000001" customHeight="1">
      <c r="A53" s="61" t="s">
        <v>4186</v>
      </c>
    </row>
    <row r="54" spans="1:1" ht="20.100000000000001" customHeight="1">
      <c r="A54" s="61" t="s">
        <v>4929</v>
      </c>
    </row>
    <row r="55" spans="1:1" ht="20.100000000000001" customHeight="1">
      <c r="A55" s="61" t="s">
        <v>2043</v>
      </c>
    </row>
    <row r="56" spans="1:1" ht="20.100000000000001" customHeight="1">
      <c r="A56" s="61" t="s">
        <v>6462</v>
      </c>
    </row>
    <row r="57" spans="1:1" ht="20.100000000000001" customHeight="1">
      <c r="A57" s="61" t="s">
        <v>6164</v>
      </c>
    </row>
    <row r="58" spans="1:1" ht="20.100000000000001" customHeight="1">
      <c r="A58" s="61" t="s">
        <v>2266</v>
      </c>
    </row>
    <row r="59" spans="1:1" ht="20.100000000000001" customHeight="1">
      <c r="A59" s="61" t="s">
        <v>186</v>
      </c>
    </row>
    <row r="60" spans="1:1" ht="20.100000000000001" customHeight="1">
      <c r="A60" s="61" t="s">
        <v>1408</v>
      </c>
    </row>
    <row r="61" spans="1:1" ht="20.100000000000001" customHeight="1">
      <c r="A61" s="61" t="s">
        <v>6845</v>
      </c>
    </row>
    <row r="62" spans="1:1" ht="20.100000000000001" customHeight="1">
      <c r="A62" s="61" t="s">
        <v>6169</v>
      </c>
    </row>
    <row r="63" spans="1:1" ht="20.100000000000001" customHeight="1">
      <c r="A63" s="61" t="s">
        <v>5626</v>
      </c>
    </row>
    <row r="64" spans="1:1" ht="20.100000000000001" customHeight="1">
      <c r="A64" s="61" t="s">
        <v>2805</v>
      </c>
    </row>
    <row r="65" spans="1:1" ht="20.100000000000001" customHeight="1">
      <c r="A65" s="61" t="s">
        <v>5633</v>
      </c>
    </row>
    <row r="66" spans="1:1" ht="20.100000000000001" customHeight="1">
      <c r="A66" s="62" t="s">
        <v>5388</v>
      </c>
    </row>
    <row r="67" spans="1:1" ht="20.100000000000001" customHeight="1">
      <c r="A67" s="61" t="s">
        <v>3443</v>
      </c>
    </row>
    <row r="68" spans="1:1" ht="20.100000000000001" customHeight="1">
      <c r="A68" s="61" t="s">
        <v>1844</v>
      </c>
    </row>
    <row r="69" spans="1:1" ht="20.100000000000001" customHeight="1">
      <c r="A69" s="61" t="s">
        <v>3292</v>
      </c>
    </row>
    <row r="70" spans="1:1" ht="20.100000000000001" customHeight="1">
      <c r="A70" s="61" t="s">
        <v>5615</v>
      </c>
    </row>
    <row r="71" spans="1:1" ht="36.75" customHeight="1">
      <c r="A71" s="61" t="s">
        <v>1685</v>
      </c>
    </row>
    <row r="72" spans="1:1" ht="20.100000000000001" customHeight="1">
      <c r="A72" s="62" t="s">
        <v>2067</v>
      </c>
    </row>
    <row r="73" spans="1:1" ht="20.100000000000001" customHeight="1">
      <c r="A73" s="61" t="s">
        <v>4817</v>
      </c>
    </row>
    <row r="74" spans="1:1" ht="20.100000000000001" customHeight="1">
      <c r="A74" s="61" t="s">
        <v>3876</v>
      </c>
    </row>
    <row r="75" spans="1:1" ht="20.100000000000001" customHeight="1">
      <c r="A75" s="61" t="s">
        <v>5051</v>
      </c>
    </row>
    <row r="76" spans="1:1" ht="20.100000000000001" customHeight="1">
      <c r="A76" s="61" t="s">
        <v>1024</v>
      </c>
    </row>
    <row r="77" spans="1:1" ht="20.100000000000001" customHeight="1">
      <c r="A77" s="61" t="s">
        <v>6645</v>
      </c>
    </row>
    <row r="78" spans="1:1" ht="20.100000000000001" customHeight="1">
      <c r="A78" s="61" t="s">
        <v>1976</v>
      </c>
    </row>
    <row r="79" spans="1:1" ht="20.100000000000001" customHeight="1">
      <c r="A79" s="61" t="s">
        <v>4116</v>
      </c>
    </row>
    <row r="80" spans="1:1" ht="20.100000000000001" customHeight="1">
      <c r="A80" s="61" t="s">
        <v>2736</v>
      </c>
    </row>
    <row r="81" spans="1:1" ht="20.100000000000001" customHeight="1">
      <c r="A81" s="61" t="s">
        <v>697</v>
      </c>
    </row>
    <row r="82" spans="1:1" ht="20.100000000000001" customHeight="1">
      <c r="A82" s="61" t="s">
        <v>4832</v>
      </c>
    </row>
    <row r="83" spans="1:1" ht="20.100000000000001" customHeight="1">
      <c r="A83" s="61" t="s">
        <v>2079</v>
      </c>
    </row>
    <row r="84" spans="1:1" ht="20.100000000000001" customHeight="1">
      <c r="A84" s="61" t="s">
        <v>698</v>
      </c>
    </row>
    <row r="85" spans="1:1" ht="20.100000000000001" customHeight="1">
      <c r="A85" s="61" t="s">
        <v>5656</v>
      </c>
    </row>
    <row r="86" spans="1:1" ht="20.100000000000001" customHeight="1">
      <c r="A86" s="61" t="s">
        <v>1814</v>
      </c>
    </row>
    <row r="87" spans="1:1" ht="20.100000000000001" customHeight="1">
      <c r="A87" s="61" t="s">
        <v>3743</v>
      </c>
    </row>
    <row r="88" spans="1:1" ht="20.100000000000001" customHeight="1">
      <c r="A88" s="61" t="s">
        <v>2298</v>
      </c>
    </row>
    <row r="89" spans="1:1" ht="20.100000000000001" customHeight="1">
      <c r="A89" s="61" t="s">
        <v>6626</v>
      </c>
    </row>
    <row r="90" spans="1:1" ht="20.100000000000001" customHeight="1">
      <c r="A90" s="61" t="s">
        <v>2189</v>
      </c>
    </row>
    <row r="91" spans="1:1" ht="20.100000000000001" customHeight="1">
      <c r="A91" s="61" t="s">
        <v>699</v>
      </c>
    </row>
    <row r="92" spans="1:1" ht="20.100000000000001" customHeight="1">
      <c r="A92" s="61" t="s">
        <v>6919</v>
      </c>
    </row>
    <row r="93" spans="1:1" ht="20.100000000000001" customHeight="1">
      <c r="A93" s="61" t="s">
        <v>5347</v>
      </c>
    </row>
    <row r="94" spans="1:1" ht="20.100000000000001" customHeight="1">
      <c r="A94" s="61" t="s">
        <v>1459</v>
      </c>
    </row>
    <row r="95" spans="1:1" ht="20.100000000000001" customHeight="1">
      <c r="A95" s="61" t="s">
        <v>1988</v>
      </c>
    </row>
    <row r="96" spans="1:1" ht="20.100000000000001" customHeight="1">
      <c r="A96" s="61" t="s">
        <v>4566</v>
      </c>
    </row>
    <row r="97" spans="1:1" ht="20.100000000000001" customHeight="1">
      <c r="A97" s="61" t="s">
        <v>5550</v>
      </c>
    </row>
    <row r="98" spans="1:1" ht="20.100000000000001" customHeight="1">
      <c r="A98" s="61" t="s">
        <v>5090</v>
      </c>
    </row>
    <row r="99" spans="1:1" ht="20.100000000000001" customHeight="1">
      <c r="A99" s="61" t="s">
        <v>2746</v>
      </c>
    </row>
    <row r="100" spans="1:1" ht="20.100000000000001" customHeight="1">
      <c r="A100" s="61" t="s">
        <v>1684</v>
      </c>
    </row>
    <row r="101" spans="1:1" ht="20.100000000000001" customHeight="1">
      <c r="A101" s="61" t="s">
        <v>1439</v>
      </c>
    </row>
    <row r="102" spans="1:1" ht="20.100000000000001" customHeight="1">
      <c r="A102" s="61" t="s">
        <v>1490</v>
      </c>
    </row>
    <row r="103" spans="1:1" ht="20.100000000000001" customHeight="1">
      <c r="A103" s="61" t="s">
        <v>1429</v>
      </c>
    </row>
    <row r="104" spans="1:1" ht="20.100000000000001" customHeight="1">
      <c r="A104" s="61" t="s">
        <v>4947</v>
      </c>
    </row>
    <row r="105" spans="1:1" ht="20.100000000000001" customHeight="1">
      <c r="A105" s="61" t="s">
        <v>3384</v>
      </c>
    </row>
    <row r="106" spans="1:1" ht="20.100000000000001" customHeight="1">
      <c r="A106" s="61" t="s">
        <v>3977</v>
      </c>
    </row>
    <row r="107" spans="1:1" ht="20.100000000000001" customHeight="1">
      <c r="A107" s="61" t="s">
        <v>6360</v>
      </c>
    </row>
    <row r="108" spans="1:1" ht="20.100000000000001" customHeight="1">
      <c r="A108" s="61" t="s">
        <v>1563</v>
      </c>
    </row>
    <row r="109" spans="1:1" ht="20.100000000000001" customHeight="1">
      <c r="A109" s="61" t="s">
        <v>4512</v>
      </c>
    </row>
    <row r="110" spans="1:1" ht="20.100000000000001" customHeight="1">
      <c r="A110" s="61" t="s">
        <v>1342</v>
      </c>
    </row>
    <row r="111" spans="1:1" ht="20.100000000000001" customHeight="1">
      <c r="A111" s="61" t="s">
        <v>4207</v>
      </c>
    </row>
    <row r="112" spans="1:1" ht="20.100000000000001" customHeight="1">
      <c r="A112" s="61" t="s">
        <v>3415</v>
      </c>
    </row>
    <row r="113" spans="1:1" ht="20.100000000000001" customHeight="1">
      <c r="A113" s="61" t="s">
        <v>6814</v>
      </c>
    </row>
    <row r="114" spans="1:1" ht="20.100000000000001" customHeight="1">
      <c r="A114" s="61" t="s">
        <v>2672</v>
      </c>
    </row>
    <row r="115" spans="1:1" ht="20.100000000000001" customHeight="1">
      <c r="A115" s="62" t="s">
        <v>3631</v>
      </c>
    </row>
    <row r="116" spans="1:1" ht="20.100000000000001" customHeight="1">
      <c r="A116" s="61" t="s">
        <v>5283</v>
      </c>
    </row>
    <row r="117" spans="1:1" ht="35.25" customHeight="1">
      <c r="A117" s="61" t="s">
        <v>2976</v>
      </c>
    </row>
    <row r="118" spans="1:1" ht="20.100000000000001" customHeight="1">
      <c r="A118" s="61" t="s">
        <v>3729</v>
      </c>
    </row>
    <row r="119" spans="1:1" ht="20.100000000000001" customHeight="1">
      <c r="A119" s="61" t="s">
        <v>6483</v>
      </c>
    </row>
    <row r="120" spans="1:1" ht="20.100000000000001" customHeight="1">
      <c r="A120" s="61" t="s">
        <v>3178</v>
      </c>
    </row>
    <row r="121" spans="1:1" ht="20.100000000000001" customHeight="1">
      <c r="A121" s="61" t="s">
        <v>2268</v>
      </c>
    </row>
    <row r="122" spans="1:1" ht="20.100000000000001" customHeight="1">
      <c r="A122" s="61" t="s">
        <v>4621</v>
      </c>
    </row>
    <row r="123" spans="1:1" ht="20.100000000000001" customHeight="1">
      <c r="A123" s="61" t="s">
        <v>6847</v>
      </c>
    </row>
    <row r="124" spans="1:1" ht="20.100000000000001" customHeight="1">
      <c r="A124" s="61" t="s">
        <v>5288</v>
      </c>
    </row>
    <row r="125" spans="1:1" ht="20.100000000000001" customHeight="1">
      <c r="A125" s="61" t="s">
        <v>4217</v>
      </c>
    </row>
    <row r="126" spans="1:1" ht="20.100000000000001" customHeight="1">
      <c r="A126" s="61" t="s">
        <v>6823</v>
      </c>
    </row>
    <row r="127" spans="1:1" ht="20.100000000000001" customHeight="1">
      <c r="A127" s="61" t="s">
        <v>701</v>
      </c>
    </row>
    <row r="128" spans="1:1" ht="20.100000000000001" customHeight="1">
      <c r="A128" s="61" t="s">
        <v>1994</v>
      </c>
    </row>
    <row r="129" spans="1:1" ht="20.100000000000001" customHeight="1">
      <c r="A129" s="61" t="s">
        <v>1302</v>
      </c>
    </row>
    <row r="130" spans="1:1" ht="20.100000000000001" customHeight="1">
      <c r="A130" s="61" t="s">
        <v>782</v>
      </c>
    </row>
    <row r="131" spans="1:1" ht="20.100000000000001" customHeight="1">
      <c r="A131" s="61" t="s">
        <v>3000</v>
      </c>
    </row>
    <row r="132" spans="1:1" ht="20.100000000000001" customHeight="1">
      <c r="A132" s="61" t="s">
        <v>3591</v>
      </c>
    </row>
    <row r="133" spans="1:1" ht="20.100000000000001" customHeight="1">
      <c r="A133" s="61" t="s">
        <v>2411</v>
      </c>
    </row>
    <row r="134" spans="1:1" ht="20.100000000000001" customHeight="1">
      <c r="A134" s="61" t="s">
        <v>3349</v>
      </c>
    </row>
    <row r="135" spans="1:1" ht="20.100000000000001" customHeight="1">
      <c r="A135" s="61" t="s">
        <v>1519</v>
      </c>
    </row>
    <row r="136" spans="1:1" ht="20.100000000000001" customHeight="1">
      <c r="A136" s="61" t="s">
        <v>4039</v>
      </c>
    </row>
    <row r="137" spans="1:1" ht="27" customHeight="1">
      <c r="A137" s="61" t="s">
        <v>1430</v>
      </c>
    </row>
    <row r="138" spans="1:1" ht="20.100000000000001" customHeight="1">
      <c r="A138" s="61" t="s">
        <v>4966</v>
      </c>
    </row>
    <row r="139" spans="1:1" ht="20.100000000000001" customHeight="1">
      <c r="A139" s="61" t="s">
        <v>5807</v>
      </c>
    </row>
    <row r="140" spans="1:1" ht="20.100000000000001" customHeight="1">
      <c r="A140" s="61" t="s">
        <v>4460</v>
      </c>
    </row>
    <row r="141" spans="1:1" ht="20.100000000000001" customHeight="1">
      <c r="A141" s="61" t="s">
        <v>3394</v>
      </c>
    </row>
    <row r="142" spans="1:1" ht="20.100000000000001" customHeight="1">
      <c r="A142" s="575" t="s">
        <v>3836</v>
      </c>
    </row>
    <row r="143" spans="1:1" ht="20.100000000000001" customHeight="1">
      <c r="A143" s="61" t="s">
        <v>3568</v>
      </c>
    </row>
    <row r="144" spans="1:1" ht="20.100000000000001" customHeight="1">
      <c r="A144" s="61" t="s">
        <v>6783</v>
      </c>
    </row>
    <row r="145" spans="1:1" ht="20.100000000000001" customHeight="1">
      <c r="A145" s="61" t="s">
        <v>1144</v>
      </c>
    </row>
    <row r="146" spans="1:1" ht="20.100000000000001" customHeight="1">
      <c r="A146" s="61" t="s">
        <v>7018</v>
      </c>
    </row>
    <row r="147" spans="1:1" ht="20.100000000000001" customHeight="1">
      <c r="A147" s="61" t="s">
        <v>2755</v>
      </c>
    </row>
    <row r="148" spans="1:1" ht="20.100000000000001" customHeight="1">
      <c r="A148" s="61" t="s">
        <v>1981</v>
      </c>
    </row>
    <row r="149" spans="1:1" ht="20.100000000000001" customHeight="1">
      <c r="A149" s="61" t="s">
        <v>1023</v>
      </c>
    </row>
    <row r="150" spans="1:1" ht="20.100000000000001" customHeight="1">
      <c r="A150" s="61" t="s">
        <v>1022</v>
      </c>
    </row>
    <row r="151" spans="1:1" ht="20.100000000000001" customHeight="1">
      <c r="A151" s="61" t="s">
        <v>2999</v>
      </c>
    </row>
    <row r="152" spans="1:1" ht="20.100000000000001" customHeight="1">
      <c r="A152" s="61" t="s">
        <v>4088</v>
      </c>
    </row>
    <row r="153" spans="1:1" ht="20.100000000000001" customHeight="1">
      <c r="A153" s="61" t="s">
        <v>5508</v>
      </c>
    </row>
    <row r="154" spans="1:1" ht="20.100000000000001" customHeight="1">
      <c r="A154" s="61" t="s">
        <v>7063</v>
      </c>
    </row>
    <row r="155" spans="1:1" ht="20.100000000000001" customHeight="1">
      <c r="A155" s="61" t="s">
        <v>783</v>
      </c>
    </row>
    <row r="156" spans="1:1" ht="20.100000000000001" customHeight="1">
      <c r="A156" s="61" t="s">
        <v>3381</v>
      </c>
    </row>
    <row r="157" spans="1:1" ht="20.100000000000001" customHeight="1">
      <c r="A157" s="61" t="s">
        <v>1280</v>
      </c>
    </row>
    <row r="158" spans="1:1" ht="20.100000000000001" customHeight="1">
      <c r="A158" s="61" t="s">
        <v>314</v>
      </c>
    </row>
    <row r="159" spans="1:1" ht="20.100000000000001" customHeight="1">
      <c r="A159" s="61" t="s">
        <v>4085</v>
      </c>
    </row>
    <row r="160" spans="1:1" ht="20.100000000000001" customHeight="1">
      <c r="A160" s="61" t="s">
        <v>1702</v>
      </c>
    </row>
    <row r="161" spans="1:1" ht="20.100000000000001" customHeight="1">
      <c r="A161" s="61" t="s">
        <v>2938</v>
      </c>
    </row>
    <row r="162" spans="1:1" ht="20.100000000000001" customHeight="1">
      <c r="A162" s="62" t="s">
        <v>1754</v>
      </c>
    </row>
    <row r="163" spans="1:1" ht="20.100000000000001" customHeight="1">
      <c r="A163" s="61" t="s">
        <v>4182</v>
      </c>
    </row>
    <row r="164" spans="1:1" ht="20.100000000000001" customHeight="1">
      <c r="A164" s="61" t="s">
        <v>4592</v>
      </c>
    </row>
    <row r="165" spans="1:1" ht="20.100000000000001" customHeight="1">
      <c r="A165" s="61" t="s">
        <v>4026</v>
      </c>
    </row>
    <row r="166" spans="1:1" ht="30.75" customHeight="1">
      <c r="A166" s="61" t="s">
        <v>1638</v>
      </c>
    </row>
    <row r="167" spans="1:1" ht="20.100000000000001" customHeight="1">
      <c r="A167" s="61" t="s">
        <v>1378</v>
      </c>
    </row>
    <row r="168" spans="1:1" ht="20.100000000000001" customHeight="1">
      <c r="A168" s="61" t="s">
        <v>2085</v>
      </c>
    </row>
    <row r="169" spans="1:1" ht="20.100000000000001" customHeight="1">
      <c r="A169" s="61" t="s">
        <v>891</v>
      </c>
    </row>
    <row r="170" spans="1:1" ht="20.100000000000001" customHeight="1">
      <c r="A170" s="61" t="s">
        <v>2680</v>
      </c>
    </row>
    <row r="171" spans="1:1" ht="20.100000000000001" customHeight="1">
      <c r="A171" s="61" t="s">
        <v>6425</v>
      </c>
    </row>
    <row r="172" spans="1:1" ht="20.100000000000001" customHeight="1">
      <c r="A172" s="61" t="s">
        <v>6194</v>
      </c>
    </row>
    <row r="173" spans="1:1" ht="20.100000000000001" customHeight="1">
      <c r="A173" s="61" t="s">
        <v>3704</v>
      </c>
    </row>
    <row r="174" spans="1:1" ht="20.100000000000001" customHeight="1">
      <c r="A174" s="61" t="s">
        <v>2220</v>
      </c>
    </row>
    <row r="175" spans="1:1" ht="35.25" customHeight="1">
      <c r="A175" s="61" t="s">
        <v>2645</v>
      </c>
    </row>
    <row r="176" spans="1:1" ht="20.100000000000001" customHeight="1">
      <c r="A176" s="61" t="s">
        <v>3177</v>
      </c>
    </row>
    <row r="177" spans="1:1" ht="20.100000000000001" customHeight="1">
      <c r="A177" s="61" t="s">
        <v>1426</v>
      </c>
    </row>
    <row r="178" spans="1:1" ht="20.100000000000001" customHeight="1">
      <c r="A178" s="61" t="s">
        <v>1283</v>
      </c>
    </row>
    <row r="179" spans="1:1" ht="20.100000000000001" customHeight="1">
      <c r="A179" s="61" t="s">
        <v>702</v>
      </c>
    </row>
    <row r="180" spans="1:1" ht="20.100000000000001" customHeight="1">
      <c r="A180" s="61" t="s">
        <v>2247</v>
      </c>
    </row>
    <row r="181" spans="1:1" ht="20.100000000000001" customHeight="1">
      <c r="A181" s="61" t="s">
        <v>2860</v>
      </c>
    </row>
    <row r="182" spans="1:1" ht="20.100000000000001" customHeight="1">
      <c r="A182" s="61" t="s">
        <v>5533</v>
      </c>
    </row>
    <row r="183" spans="1:1" ht="20.100000000000001" customHeight="1">
      <c r="A183" s="61" t="s">
        <v>3819</v>
      </c>
    </row>
    <row r="184" spans="1:1" ht="20.100000000000001" customHeight="1">
      <c r="A184" s="61" t="s">
        <v>1025</v>
      </c>
    </row>
    <row r="185" spans="1:1" ht="27.75" customHeight="1">
      <c r="A185" s="61" t="s">
        <v>2627</v>
      </c>
    </row>
    <row r="186" spans="1:1" ht="20.100000000000001" customHeight="1">
      <c r="A186" s="575" t="s">
        <v>2022</v>
      </c>
    </row>
    <row r="187" spans="1:1" ht="20.100000000000001" customHeight="1">
      <c r="A187" s="61" t="s">
        <v>5815</v>
      </c>
    </row>
    <row r="188" spans="1:1" ht="20.100000000000001" customHeight="1">
      <c r="A188" s="61" t="s">
        <v>4871</v>
      </c>
    </row>
    <row r="189" spans="1:1" ht="20.100000000000001" customHeight="1">
      <c r="A189" s="61" t="s">
        <v>4034</v>
      </c>
    </row>
    <row r="190" spans="1:1" ht="20.100000000000001" customHeight="1">
      <c r="A190" s="61" t="s">
        <v>3209</v>
      </c>
    </row>
    <row r="191" spans="1:1" ht="20.100000000000001" customHeight="1">
      <c r="A191" s="61" t="s">
        <v>6812</v>
      </c>
    </row>
    <row r="192" spans="1:1" ht="20.100000000000001" customHeight="1">
      <c r="A192" s="61" t="s">
        <v>3873</v>
      </c>
    </row>
    <row r="193" spans="1:1" ht="20.100000000000001" customHeight="1">
      <c r="A193" s="61" t="s">
        <v>6617</v>
      </c>
    </row>
    <row r="194" spans="1:1" ht="20.100000000000001" customHeight="1">
      <c r="A194" s="61" t="s">
        <v>4710</v>
      </c>
    </row>
    <row r="195" spans="1:1" ht="20.100000000000001" customHeight="1">
      <c r="A195" s="61" t="s">
        <v>3978</v>
      </c>
    </row>
    <row r="196" spans="1:1" ht="20.100000000000001" customHeight="1">
      <c r="A196" s="61" t="s">
        <v>6492</v>
      </c>
    </row>
    <row r="197" spans="1:1" ht="20.100000000000001" customHeight="1">
      <c r="A197" s="575" t="s">
        <v>4269</v>
      </c>
    </row>
    <row r="198" spans="1:1" ht="20.100000000000001" customHeight="1">
      <c r="A198" s="61" t="s">
        <v>3960</v>
      </c>
    </row>
    <row r="199" spans="1:1" ht="20.100000000000001" customHeight="1">
      <c r="A199" s="61" t="s">
        <v>4321</v>
      </c>
    </row>
    <row r="200" spans="1:1" ht="20.100000000000001" customHeight="1">
      <c r="A200" s="61" t="s">
        <v>1639</v>
      </c>
    </row>
    <row r="201" spans="1:1" ht="20.100000000000001" customHeight="1">
      <c r="A201" s="61" t="s">
        <v>3725</v>
      </c>
    </row>
    <row r="202" spans="1:1" ht="20.100000000000001" customHeight="1">
      <c r="A202" s="62" t="s">
        <v>5561</v>
      </c>
    </row>
    <row r="203" spans="1:1" ht="20.100000000000001" customHeight="1">
      <c r="A203" s="61" t="s">
        <v>4515</v>
      </c>
    </row>
    <row r="204" spans="1:1" ht="20.100000000000001" customHeight="1">
      <c r="A204" s="62" t="s">
        <v>703</v>
      </c>
    </row>
    <row r="205" spans="1:1" ht="20.100000000000001" customHeight="1">
      <c r="A205" s="61" t="s">
        <v>2295</v>
      </c>
    </row>
    <row r="206" spans="1:1" ht="20.100000000000001" customHeight="1">
      <c r="A206" s="61" t="s">
        <v>2578</v>
      </c>
    </row>
    <row r="207" spans="1:1" ht="20.100000000000001" customHeight="1">
      <c r="A207" s="62" t="s">
        <v>2351</v>
      </c>
    </row>
    <row r="208" spans="1:1" ht="20.100000000000001" customHeight="1">
      <c r="A208" s="61" t="s">
        <v>1303</v>
      </c>
    </row>
    <row r="209" spans="1:1" ht="20.100000000000001" customHeight="1">
      <c r="A209" s="61" t="s">
        <v>1281</v>
      </c>
    </row>
    <row r="210" spans="1:1" ht="20.100000000000001" customHeight="1">
      <c r="A210" s="61" t="s">
        <v>4185</v>
      </c>
    </row>
    <row r="211" spans="1:1" ht="20.100000000000001" customHeight="1">
      <c r="A211" s="61" t="s">
        <v>4958</v>
      </c>
    </row>
    <row r="212" spans="1:1" ht="20.100000000000001" customHeight="1">
      <c r="A212" s="62" t="s">
        <v>6858</v>
      </c>
    </row>
    <row r="213" spans="1:1" ht="20.100000000000001" customHeight="1">
      <c r="A213" s="61" t="s">
        <v>6090</v>
      </c>
    </row>
    <row r="214" spans="1:1" ht="20.100000000000001" customHeight="1">
      <c r="A214" s="61" t="s">
        <v>1344</v>
      </c>
    </row>
    <row r="215" spans="1:1" ht="20.100000000000001" customHeight="1">
      <c r="A215" s="61" t="s">
        <v>2013</v>
      </c>
    </row>
    <row r="216" spans="1:1" ht="20.100000000000001" customHeight="1">
      <c r="A216" s="61" t="s">
        <v>4859</v>
      </c>
    </row>
    <row r="217" spans="1:1" ht="20.100000000000001" customHeight="1">
      <c r="A217" s="61" t="s">
        <v>5034</v>
      </c>
    </row>
    <row r="218" spans="1:1" ht="20.100000000000001" customHeight="1">
      <c r="A218" s="61" t="s">
        <v>704</v>
      </c>
    </row>
    <row r="219" spans="1:1" ht="20.100000000000001" customHeight="1">
      <c r="A219" s="61" t="s">
        <v>5596</v>
      </c>
    </row>
    <row r="220" spans="1:1" ht="31.5" customHeight="1">
      <c r="A220" s="62" t="s">
        <v>3029</v>
      </c>
    </row>
    <row r="221" spans="1:1" ht="20.100000000000001" customHeight="1">
      <c r="A221" s="61" t="s">
        <v>5507</v>
      </c>
    </row>
    <row r="222" spans="1:1" ht="20.100000000000001" customHeight="1">
      <c r="A222" s="61" t="s">
        <v>2991</v>
      </c>
    </row>
    <row r="223" spans="1:1" ht="20.100000000000001" customHeight="1">
      <c r="A223" s="61" t="s">
        <v>3300</v>
      </c>
    </row>
    <row r="224" spans="1:1" ht="20.100000000000001" customHeight="1">
      <c r="A224" s="61" t="s">
        <v>1323</v>
      </c>
    </row>
    <row r="225" spans="1:1" ht="20.100000000000001" customHeight="1">
      <c r="A225" s="61" t="s">
        <v>3763</v>
      </c>
    </row>
    <row r="226" spans="1:1" ht="20.100000000000001" customHeight="1">
      <c r="A226" s="61" t="s">
        <v>1289</v>
      </c>
    </row>
    <row r="227" spans="1:1" ht="20.100000000000001" customHeight="1">
      <c r="A227" s="61" t="s">
        <v>2466</v>
      </c>
    </row>
    <row r="228" spans="1:1" ht="20.100000000000001" customHeight="1">
      <c r="A228" s="61" t="s">
        <v>6653</v>
      </c>
    </row>
    <row r="229" spans="1:1" ht="20.100000000000001" customHeight="1">
      <c r="A229" s="61" t="s">
        <v>4620</v>
      </c>
    </row>
    <row r="230" spans="1:1" ht="20.100000000000001" customHeight="1">
      <c r="A230" s="575" t="s">
        <v>4218</v>
      </c>
    </row>
    <row r="231" spans="1:1" ht="20.100000000000001" customHeight="1">
      <c r="A231" s="61" t="s">
        <v>6103</v>
      </c>
    </row>
    <row r="232" spans="1:1" ht="20.100000000000001" customHeight="1">
      <c r="A232" s="61" t="s">
        <v>2961</v>
      </c>
    </row>
    <row r="233" spans="1:1" ht="20.100000000000001" customHeight="1">
      <c r="A233" s="61" t="s">
        <v>3695</v>
      </c>
    </row>
    <row r="234" spans="1:1" ht="20.100000000000001" customHeight="1">
      <c r="A234" s="61" t="s">
        <v>4456</v>
      </c>
    </row>
    <row r="235" spans="1:1" ht="20.100000000000001" customHeight="1">
      <c r="A235" s="61" t="s">
        <v>1575</v>
      </c>
    </row>
    <row r="236" spans="1:1" ht="20.100000000000001" customHeight="1">
      <c r="A236" s="61" t="s">
        <v>6870</v>
      </c>
    </row>
    <row r="237" spans="1:1" ht="20.100000000000001" customHeight="1">
      <c r="A237" s="61" t="s">
        <v>3730</v>
      </c>
    </row>
    <row r="238" spans="1:1" ht="20.100000000000001" customHeight="1">
      <c r="A238" s="61" t="s">
        <v>4202</v>
      </c>
    </row>
    <row r="239" spans="1:1" ht="20.100000000000001" customHeight="1">
      <c r="A239" s="62" t="s">
        <v>1550</v>
      </c>
    </row>
    <row r="240" spans="1:1" ht="20.100000000000001" customHeight="1">
      <c r="A240" s="61" t="s">
        <v>3667</v>
      </c>
    </row>
    <row r="241" spans="1:1" ht="20.100000000000001" customHeight="1">
      <c r="A241" s="61" t="s">
        <v>3064</v>
      </c>
    </row>
    <row r="242" spans="1:1" ht="20.100000000000001" customHeight="1">
      <c r="A242" s="61" t="s">
        <v>4124</v>
      </c>
    </row>
    <row r="243" spans="1:1" ht="20.100000000000001" customHeight="1">
      <c r="A243" s="61" t="s">
        <v>3698</v>
      </c>
    </row>
    <row r="244" spans="1:1" ht="20.100000000000001" customHeight="1">
      <c r="A244" s="61" t="s">
        <v>705</v>
      </c>
    </row>
    <row r="245" spans="1:1" ht="20.100000000000001" customHeight="1">
      <c r="A245" s="61" t="s">
        <v>5610</v>
      </c>
    </row>
    <row r="246" spans="1:1" ht="20.100000000000001" customHeight="1">
      <c r="A246" s="61" t="s">
        <v>6905</v>
      </c>
    </row>
    <row r="247" spans="1:1" ht="20.100000000000001" customHeight="1">
      <c r="A247" s="62" t="s">
        <v>337</v>
      </c>
    </row>
    <row r="248" spans="1:1" ht="20.100000000000001" customHeight="1">
      <c r="A248" s="61" t="s">
        <v>2905</v>
      </c>
    </row>
    <row r="249" spans="1:1" ht="20.100000000000001" customHeight="1">
      <c r="A249" s="61" t="s">
        <v>4450</v>
      </c>
    </row>
    <row r="250" spans="1:1" ht="20.100000000000001" customHeight="1">
      <c r="A250" s="61" t="s">
        <v>1571</v>
      </c>
    </row>
    <row r="251" spans="1:1" ht="20.100000000000001" customHeight="1">
      <c r="A251" s="61" t="s">
        <v>706</v>
      </c>
    </row>
    <row r="252" spans="1:1" ht="28.5" customHeight="1">
      <c r="A252" s="61" t="s">
        <v>2305</v>
      </c>
    </row>
    <row r="253" spans="1:1" ht="20.100000000000001" customHeight="1">
      <c r="A253" s="61" t="s">
        <v>7062</v>
      </c>
    </row>
    <row r="254" spans="1:1" ht="20.100000000000001" customHeight="1">
      <c r="A254" s="61" t="s">
        <v>7064</v>
      </c>
    </row>
    <row r="255" spans="1:1" ht="20.100000000000001" customHeight="1">
      <c r="A255" s="61" t="s">
        <v>7088</v>
      </c>
    </row>
    <row r="256" spans="1:1" ht="20.100000000000001" customHeight="1">
      <c r="A256" s="61" t="s">
        <v>7089</v>
      </c>
    </row>
    <row r="257" spans="1:1" ht="20.100000000000001" customHeight="1">
      <c r="A257" s="61" t="s">
        <v>7092</v>
      </c>
    </row>
    <row r="258" spans="1:1" ht="20.100000000000001" customHeight="1">
      <c r="A258" s="61" t="s">
        <v>7230</v>
      </c>
    </row>
    <row r="259" spans="1:1" ht="20.100000000000001" customHeight="1">
      <c r="A259" s="62" t="s">
        <v>7307</v>
      </c>
    </row>
    <row r="260" spans="1:1" ht="20.100000000000001" customHeight="1">
      <c r="A260" s="61" t="s">
        <v>7346</v>
      </c>
    </row>
    <row r="261" spans="1:1" ht="20.100000000000001" customHeight="1">
      <c r="A261" s="61" t="s">
        <v>7350</v>
      </c>
    </row>
    <row r="262" spans="1:1" ht="20.100000000000001" customHeight="1">
      <c r="A262" s="62" t="s">
        <v>7352</v>
      </c>
    </row>
    <row r="263" spans="1:1" ht="20.100000000000001" customHeight="1">
      <c r="A263" s="61" t="s">
        <v>7370</v>
      </c>
    </row>
    <row r="264" spans="1:1" ht="20.100000000000001" customHeight="1">
      <c r="A264" s="61" t="s">
        <v>7371</v>
      </c>
    </row>
    <row r="265" spans="1:1" ht="20.100000000000001" customHeight="1">
      <c r="A265" s="61" t="s">
        <v>7373</v>
      </c>
    </row>
    <row r="266" spans="1:1" ht="20.100000000000001" customHeight="1">
      <c r="A266" s="62" t="s">
        <v>7374</v>
      </c>
    </row>
    <row r="267" spans="1:1" ht="20.100000000000001" customHeight="1">
      <c r="A267" s="61" t="s">
        <v>7392</v>
      </c>
    </row>
    <row r="268" spans="1:1" ht="20.100000000000001" customHeight="1">
      <c r="A268" s="61" t="s">
        <v>7506</v>
      </c>
    </row>
    <row r="269" spans="1:1" ht="20.100000000000001" customHeight="1">
      <c r="A269" s="61" t="s">
        <v>7533</v>
      </c>
    </row>
    <row r="270" spans="1:1" ht="20.100000000000001" customHeight="1">
      <c r="A270" s="61" t="s">
        <v>2247</v>
      </c>
    </row>
    <row r="271" spans="1:1" ht="20.100000000000001" customHeight="1">
      <c r="A271" s="61" t="s">
        <v>7543</v>
      </c>
    </row>
    <row r="1159" spans="5:5" ht="20.100000000000001" customHeight="1">
      <c r="E1159" s="574" t="s">
        <v>7300</v>
      </c>
    </row>
    <row r="1919" spans="28:28" ht="20.100000000000001" customHeight="1">
      <c r="AB1919" s="574" t="s">
        <v>1169</v>
      </c>
    </row>
    <row r="1937" spans="28:28" ht="20.100000000000001" customHeight="1">
      <c r="AB1937" s="574" t="s">
        <v>3258</v>
      </c>
    </row>
    <row r="1938" spans="28:28" ht="20.100000000000001" customHeight="1">
      <c r="AB1938" s="574" t="s">
        <v>1171</v>
      </c>
    </row>
    <row r="1939" spans="28:28" ht="20.100000000000001" customHeight="1">
      <c r="AB1939" s="574" t="s">
        <v>1170</v>
      </c>
    </row>
    <row r="1958" spans="28:28" ht="20.100000000000001" customHeight="1">
      <c r="AB1958" s="574" t="s">
        <v>1169</v>
      </c>
    </row>
    <row r="1959" spans="28:28" ht="20.100000000000001" customHeight="1">
      <c r="AB1959" s="574" t="s">
        <v>3258</v>
      </c>
    </row>
    <row r="1960" spans="28:28" ht="20.100000000000001" customHeight="1">
      <c r="AB1960" s="574" t="s">
        <v>1171</v>
      </c>
    </row>
    <row r="1961" spans="28:28" ht="20.100000000000001" customHeight="1">
      <c r="AB1961" s="574" t="s">
        <v>1170</v>
      </c>
    </row>
    <row r="1969" spans="8:28" ht="20.100000000000001" customHeight="1">
      <c r="AB1969" s="574" t="s">
        <v>1169</v>
      </c>
    </row>
    <row r="1970" spans="8:28" ht="20.100000000000001" customHeight="1">
      <c r="AB1970" s="574" t="s">
        <v>3258</v>
      </c>
    </row>
    <row r="1979" spans="8:28" ht="20.100000000000001" customHeight="1">
      <c r="AB1979" s="574" t="s">
        <v>1171</v>
      </c>
    </row>
    <row r="1983" spans="8:28" ht="20.100000000000001" customHeight="1">
      <c r="H1983" s="638"/>
      <c r="AA1983" s="574" t="s">
        <v>1167</v>
      </c>
    </row>
    <row r="1989" spans="27:28" ht="20.100000000000001" customHeight="1">
      <c r="AB1989" s="574" t="s">
        <v>1170</v>
      </c>
    </row>
    <row r="1995" spans="27:28" ht="20.100000000000001" customHeight="1">
      <c r="AA1995" s="574" t="s">
        <v>3378</v>
      </c>
    </row>
    <row r="2025" spans="1:29" ht="20.100000000000001" customHeight="1">
      <c r="G2025" s="574" t="s">
        <v>3323</v>
      </c>
    </row>
    <row r="2031" spans="1:29" ht="20.100000000000001" customHeight="1">
      <c r="A2031" s="632"/>
      <c r="B2031" s="633"/>
      <c r="C2031" s="633"/>
      <c r="D2031" s="633"/>
      <c r="E2031" s="633"/>
      <c r="F2031" s="633"/>
      <c r="G2031" s="634" t="s">
        <v>3791</v>
      </c>
      <c r="H2031" s="635">
        <v>45415</v>
      </c>
      <c r="I2031" s="634" t="s">
        <v>76</v>
      </c>
      <c r="J2031" s="634" t="s">
        <v>1217</v>
      </c>
      <c r="K2031" s="633">
        <v>8</v>
      </c>
      <c r="L2031" s="633"/>
      <c r="M2031" s="633"/>
      <c r="N2031" s="633"/>
      <c r="O2031" s="633"/>
      <c r="P2031" s="633"/>
      <c r="Q2031" s="633"/>
      <c r="R2031" s="633"/>
      <c r="S2031" s="633"/>
      <c r="T2031" s="633"/>
      <c r="U2031" s="633"/>
      <c r="V2031" s="633"/>
      <c r="W2031" s="633"/>
      <c r="X2031" s="633"/>
      <c r="Y2031" s="633"/>
      <c r="Z2031" s="633"/>
      <c r="AA2031" s="633"/>
      <c r="AB2031" s="633"/>
      <c r="AC2031" s="633"/>
    </row>
    <row r="2033" spans="1:29" ht="20.100000000000001" customHeight="1">
      <c r="A2033" s="628"/>
      <c r="B2033" s="629"/>
      <c r="C2033" s="629"/>
      <c r="D2033" s="629"/>
      <c r="E2033" s="629"/>
      <c r="F2033" s="629"/>
      <c r="G2033" s="629"/>
      <c r="H2033" s="629"/>
      <c r="I2033" s="629"/>
      <c r="J2033" s="629"/>
      <c r="K2033" s="629"/>
      <c r="L2033" s="629"/>
      <c r="M2033" s="630"/>
      <c r="N2033" s="631" t="s">
        <v>7393</v>
      </c>
      <c r="Q2033" s="629"/>
      <c r="R2033" s="629"/>
      <c r="S2033" s="629"/>
      <c r="W2033" s="629"/>
      <c r="X2033" s="629"/>
      <c r="Y2033" s="629"/>
      <c r="Z2033" s="629"/>
      <c r="AA2033" s="629"/>
      <c r="AB2033" s="629"/>
      <c r="AC2033" s="629"/>
    </row>
    <row r="2039" spans="1:29" ht="20.100000000000001" customHeight="1">
      <c r="A2039" s="632"/>
      <c r="B2039" s="633"/>
      <c r="C2039" s="633"/>
      <c r="D2039" s="633"/>
      <c r="E2039" s="633"/>
      <c r="F2039" s="633"/>
      <c r="G2039" s="634" t="s">
        <v>2752</v>
      </c>
      <c r="H2039" s="635">
        <v>45415</v>
      </c>
      <c r="I2039" s="634" t="s">
        <v>76</v>
      </c>
      <c r="J2039" s="634" t="s">
        <v>35</v>
      </c>
      <c r="K2039" s="633"/>
      <c r="L2039" s="633"/>
      <c r="M2039" s="633"/>
      <c r="N2039" s="633"/>
      <c r="O2039" s="633"/>
      <c r="P2039" s="633"/>
      <c r="Q2039" s="633"/>
      <c r="R2039" s="633"/>
      <c r="S2039" s="633"/>
      <c r="T2039" s="633"/>
      <c r="U2039" s="633"/>
      <c r="V2039" s="633"/>
      <c r="W2039" s="633"/>
      <c r="X2039" s="633"/>
      <c r="Y2039" s="633"/>
      <c r="Z2039" s="633"/>
      <c r="AA2039" s="633"/>
      <c r="AB2039" s="633"/>
      <c r="AC2039" s="633"/>
    </row>
    <row r="2040" spans="1:29" ht="20.100000000000001" customHeight="1">
      <c r="A2040" s="626"/>
      <c r="B2040" s="627"/>
      <c r="C2040" s="627"/>
      <c r="D2040" s="627"/>
      <c r="E2040" s="627"/>
      <c r="F2040" s="627"/>
      <c r="G2040" s="636" t="s">
        <v>1435</v>
      </c>
      <c r="H2040" s="637">
        <v>45419</v>
      </c>
      <c r="I2040" s="636" t="s">
        <v>73</v>
      </c>
      <c r="J2040" s="636" t="s">
        <v>78</v>
      </c>
      <c r="K2040" s="627"/>
      <c r="L2040" s="627"/>
      <c r="M2040" s="627"/>
      <c r="N2040" s="627"/>
      <c r="Q2040" s="627"/>
      <c r="R2040" s="627"/>
      <c r="S2040" s="627"/>
      <c r="W2040" s="627"/>
      <c r="X2040" s="627"/>
      <c r="Y2040" s="627"/>
      <c r="Z2040" s="627"/>
      <c r="AA2040" s="627"/>
      <c r="AB2040" s="627"/>
      <c r="AC2040" s="627"/>
    </row>
    <row r="2041" spans="1:29" ht="20.100000000000001" customHeight="1">
      <c r="A2041" s="628" t="s">
        <v>7391</v>
      </c>
      <c r="B2041" s="629"/>
      <c r="C2041" s="629"/>
      <c r="D2041" s="629"/>
      <c r="E2041" s="629"/>
      <c r="F2041" s="629"/>
      <c r="G2041" s="629"/>
      <c r="H2041" s="629"/>
      <c r="I2041" s="629"/>
      <c r="J2041" s="629"/>
      <c r="K2041" s="629"/>
      <c r="L2041" s="629"/>
      <c r="M2041" s="631" t="s">
        <v>725</v>
      </c>
      <c r="N2041" s="629"/>
      <c r="Q2041" s="629"/>
      <c r="R2041" s="629"/>
      <c r="S2041" s="629"/>
      <c r="W2041" s="629"/>
      <c r="X2041" s="629"/>
      <c r="Y2041" s="629"/>
      <c r="Z2041" s="629"/>
      <c r="AA2041" s="629"/>
      <c r="AB2041" s="629"/>
      <c r="AC2041" s="629"/>
    </row>
    <row r="2042" spans="1:29" ht="20.100000000000001" customHeight="1">
      <c r="A2042" s="632"/>
      <c r="B2042" s="633"/>
      <c r="C2042" s="633"/>
      <c r="D2042" s="633"/>
      <c r="E2042" s="633"/>
      <c r="F2042" s="633"/>
      <c r="G2042" s="634" t="s">
        <v>2752</v>
      </c>
      <c r="H2042" s="635">
        <v>45418</v>
      </c>
      <c r="I2042" s="634" t="s">
        <v>749</v>
      </c>
      <c r="J2042" s="634" t="s">
        <v>1221</v>
      </c>
      <c r="K2042" s="633"/>
      <c r="L2042" s="633"/>
      <c r="M2042" s="633"/>
      <c r="N2042" s="633"/>
      <c r="O2042" s="633"/>
      <c r="P2042" s="633"/>
      <c r="Q2042" s="633"/>
      <c r="R2042" s="633"/>
      <c r="S2042" s="633"/>
      <c r="T2042" s="633"/>
      <c r="U2042" s="633"/>
      <c r="V2042" s="633"/>
      <c r="W2042" s="633"/>
      <c r="X2042" s="633"/>
      <c r="Y2042" s="633"/>
      <c r="Z2042" s="633"/>
      <c r="AA2042" s="633"/>
      <c r="AB2042" s="633"/>
      <c r="AC2042" s="633"/>
    </row>
    <row r="2048" spans="1:29" ht="20.100000000000001" customHeight="1">
      <c r="A2048" s="628"/>
      <c r="B2048" s="629"/>
      <c r="C2048" s="629"/>
      <c r="D2048" s="629"/>
      <c r="E2048" s="629"/>
      <c r="F2048" s="629"/>
      <c r="G2048" s="629"/>
      <c r="H2048" s="629"/>
      <c r="I2048" s="629"/>
      <c r="J2048" s="629"/>
      <c r="K2048" s="629"/>
      <c r="L2048" s="629"/>
      <c r="M2048" s="630"/>
      <c r="N2048" s="631" t="s">
        <v>7390</v>
      </c>
      <c r="O2048" s="629"/>
      <c r="P2048" s="629"/>
      <c r="Q2048" s="629"/>
      <c r="R2048" s="629"/>
      <c r="S2048" s="629"/>
      <c r="T2048" s="629"/>
      <c r="U2048" s="629"/>
      <c r="V2048" s="629"/>
      <c r="W2048" s="629"/>
      <c r="X2048" s="629"/>
      <c r="Y2048" s="629"/>
      <c r="Z2048" s="629"/>
      <c r="AA2048" s="629"/>
      <c r="AB2048" s="629"/>
      <c r="AC2048" s="629"/>
    </row>
    <row r="2049" spans="14:14" ht="20.100000000000001" customHeight="1">
      <c r="N2049" s="574"/>
    </row>
  </sheetData>
  <sortState ref="A43:A45">
    <sortCondition ref="A43"/>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Hoja27"/>
  <dimension ref="A7:Y123"/>
  <sheetViews>
    <sheetView topLeftCell="A77" zoomScale="70" zoomScaleNormal="70" workbookViewId="0">
      <selection activeCell="M112" sqref="M112"/>
    </sheetView>
  </sheetViews>
  <sheetFormatPr baseColWidth="10" defaultRowHeight="13.2"/>
  <cols>
    <col min="4" max="4" width="12.88671875" customWidth="1"/>
    <col min="5" max="5" width="5" customWidth="1"/>
    <col min="6" max="6" width="29.88671875" customWidth="1"/>
    <col min="7" max="7" width="28.33203125" customWidth="1"/>
    <col min="8" max="8" width="26.44140625" customWidth="1"/>
    <col min="9" max="9" width="22.6640625" customWidth="1"/>
    <col min="10" max="10" width="7.88671875" customWidth="1"/>
    <col min="11" max="11" width="16.88671875" bestFit="1" customWidth="1"/>
    <col min="12" max="12" width="15" customWidth="1"/>
    <col min="13" max="13" width="14.109375" customWidth="1"/>
    <col min="14" max="14" width="16.33203125" customWidth="1"/>
    <col min="15" max="15" width="15.88671875" customWidth="1"/>
    <col min="16" max="16" width="17" bestFit="1" customWidth="1"/>
    <col min="17" max="17" width="18.44140625" bestFit="1" customWidth="1"/>
    <col min="18" max="18" width="22.109375" bestFit="1" customWidth="1"/>
    <col min="19" max="19" width="19.33203125" bestFit="1" customWidth="1"/>
  </cols>
  <sheetData>
    <row r="7" spans="4:25">
      <c r="K7" s="10"/>
    </row>
    <row r="9" spans="4:25" ht="52.8">
      <c r="D9" s="719" t="s">
        <v>6732</v>
      </c>
      <c r="E9" s="719"/>
      <c r="F9" s="719"/>
      <c r="G9" s="719"/>
      <c r="H9" s="719"/>
      <c r="K9" s="652" t="s">
        <v>7431</v>
      </c>
      <c r="L9" s="651" t="s">
        <v>7427</v>
      </c>
      <c r="M9" s="650" t="s">
        <v>7437</v>
      </c>
      <c r="N9" s="651" t="s">
        <v>7428</v>
      </c>
      <c r="O9" s="507"/>
    </row>
    <row r="10" spans="4:25" ht="26.4">
      <c r="D10" s="719"/>
      <c r="E10" s="719"/>
      <c r="F10" s="719"/>
      <c r="G10" s="719"/>
      <c r="H10" s="719"/>
      <c r="K10" s="647" t="s">
        <v>7429</v>
      </c>
      <c r="L10" s="316">
        <v>8</v>
      </c>
      <c r="M10" s="730">
        <v>6</v>
      </c>
      <c r="N10" s="731">
        <v>7</v>
      </c>
    </row>
    <row r="11" spans="4:25" ht="75" customHeight="1">
      <c r="D11" s="714" t="s">
        <v>6703</v>
      </c>
      <c r="E11" s="715"/>
      <c r="F11" s="550" t="s">
        <v>6730</v>
      </c>
      <c r="G11" s="551" t="s">
        <v>6731</v>
      </c>
      <c r="H11" s="551" t="s">
        <v>6729</v>
      </c>
      <c r="K11" s="647" t="s">
        <v>7430</v>
      </c>
      <c r="L11" s="316">
        <v>1</v>
      </c>
      <c r="M11" s="730"/>
      <c r="N11" s="731"/>
    </row>
    <row r="12" spans="4:25" ht="15.6">
      <c r="D12" s="549" t="s">
        <v>6702</v>
      </c>
      <c r="E12" s="549">
        <v>1</v>
      </c>
      <c r="F12" s="544">
        <f>COUNTIFS(EXPEDIENTES!$F:$F,E12,EXPEDIENTES!$B:$B,"&gt;=15/02/2023",EXPEDIENTES!$B:$B,"&lt;=18/06/2023")</f>
        <v>0</v>
      </c>
      <c r="G12" s="544">
        <f>COUNTIFS(EXPEDIENTES!$F:$F,E12,EXPEDIENTES!$B:$B,"&gt;=19/06/2023")</f>
        <v>161</v>
      </c>
      <c r="H12" s="552">
        <f>SUM(F12:G12)</f>
        <v>161</v>
      </c>
      <c r="I12" s="44"/>
      <c r="K12" s="650" t="s">
        <v>3144</v>
      </c>
      <c r="L12" s="646" t="s">
        <v>7432</v>
      </c>
      <c r="M12" s="316">
        <v>2</v>
      </c>
      <c r="N12" s="316">
        <v>3</v>
      </c>
      <c r="T12" s="725" t="s">
        <v>6733</v>
      </c>
      <c r="U12" s="725"/>
      <c r="V12" s="725"/>
    </row>
    <row r="13" spans="4:25" ht="13.8">
      <c r="D13" s="549" t="s">
        <v>6702</v>
      </c>
      <c r="E13" s="549">
        <v>2</v>
      </c>
      <c r="F13" s="544">
        <f>COUNTIFS(EXPEDIENTES!$F:$F,E13,EXPEDIENTES!$B:$B,"&gt;=15/02/2023",EXPEDIENTES!$B:$B,"&lt;=18/06/2023")</f>
        <v>39</v>
      </c>
      <c r="G13" s="544">
        <f>COUNTIFS(EXPEDIENTES!$F:$F,E13,EXPEDIENTES!$B:$B,"&gt;=19/06/2023")</f>
        <v>197</v>
      </c>
      <c r="H13" s="552">
        <f t="shared" ref="H13:H19" si="0">SUM(F13:G13)</f>
        <v>236</v>
      </c>
      <c r="I13" s="540"/>
    </row>
    <row r="14" spans="4:25" ht="14.25" customHeight="1">
      <c r="D14" s="549" t="s">
        <v>6702</v>
      </c>
      <c r="E14" s="549">
        <v>3</v>
      </c>
      <c r="F14" s="544">
        <f>COUNTIFS(EXPEDIENTES!$F:$F,E14,EXPEDIENTES!$B:$B,"&gt;=15/02/2023",EXPEDIENTES!$B:$B,"&lt;=18/06/2023")</f>
        <v>68</v>
      </c>
      <c r="G14" s="544">
        <f>COUNTIFS(EXPEDIENTES!$F:$F,E14,EXPEDIENTES!$B:$B,"&gt;=19/06/2023")</f>
        <v>298</v>
      </c>
      <c r="H14" s="552">
        <f t="shared" si="0"/>
        <v>366</v>
      </c>
      <c r="I14" s="540"/>
      <c r="K14" s="649" t="s">
        <v>7436</v>
      </c>
      <c r="L14" s="647" t="s">
        <v>5734</v>
      </c>
      <c r="M14" s="647" t="s">
        <v>3139</v>
      </c>
      <c r="N14" s="647" t="s">
        <v>7435</v>
      </c>
      <c r="O14" s="647" t="s">
        <v>3141</v>
      </c>
      <c r="T14" s="720" t="s">
        <v>2034</v>
      </c>
      <c r="U14" s="720"/>
      <c r="V14" s="720"/>
    </row>
    <row r="15" spans="4:25" ht="13.95" customHeight="1">
      <c r="D15" s="549" t="s">
        <v>6702</v>
      </c>
      <c r="E15" s="549">
        <v>4</v>
      </c>
      <c r="F15" s="544">
        <f>COUNTIFS(EXPEDIENTES!$F:$F,E15,EXPEDIENTES!$B:$B,"&gt;=15/02/2023",EXPEDIENTES!$B:$B,"&lt;=18/06/2023")</f>
        <v>90</v>
      </c>
      <c r="G15" s="544">
        <f>COUNTIFS(EXPEDIENTES!$F:$F,E15,EXPEDIENTES!$B:$B,"&gt;=19/06/2023")</f>
        <v>276</v>
      </c>
      <c r="H15" s="552">
        <f t="shared" si="0"/>
        <v>366</v>
      </c>
      <c r="I15" s="540"/>
      <c r="K15" s="648" t="s">
        <v>7433</v>
      </c>
      <c r="L15" s="324">
        <v>8</v>
      </c>
      <c r="M15" s="324">
        <v>2</v>
      </c>
      <c r="N15" s="324">
        <v>4</v>
      </c>
      <c r="O15" s="324">
        <v>6</v>
      </c>
      <c r="T15" s="12" t="s">
        <v>382</v>
      </c>
      <c r="U15" s="12" t="s">
        <v>362</v>
      </c>
      <c r="V15" s="561" t="s">
        <v>6242</v>
      </c>
      <c r="W15" s="12" t="s">
        <v>6734</v>
      </c>
      <c r="X15" s="12" t="s">
        <v>6735</v>
      </c>
      <c r="Y15" s="12" t="s">
        <v>6736</v>
      </c>
    </row>
    <row r="16" spans="4:25" ht="13.8">
      <c r="D16" s="549" t="s">
        <v>6702</v>
      </c>
      <c r="E16" s="549">
        <v>5</v>
      </c>
      <c r="F16" s="544">
        <f>COUNTIFS(EXPEDIENTES!$F:$F,E16,EXPEDIENTES!$B:$B,"&gt;=15/02/2023",EXPEDIENTES!$B:$B,"&lt;=18/06/2023")</f>
        <v>0</v>
      </c>
      <c r="G16" s="544">
        <f>COUNTIFS(EXPEDIENTES!$F:$F,E16,EXPEDIENTES!$B:$B,"&gt;=19/06/2023")</f>
        <v>248</v>
      </c>
      <c r="H16" s="552">
        <f t="shared" si="0"/>
        <v>248</v>
      </c>
      <c r="I16" s="540"/>
      <c r="K16" s="648" t="s">
        <v>7434</v>
      </c>
      <c r="L16" s="324">
        <v>1</v>
      </c>
      <c r="M16" s="324">
        <v>3</v>
      </c>
      <c r="N16" s="324">
        <v>5</v>
      </c>
      <c r="O16" s="324">
        <v>7</v>
      </c>
      <c r="T16" s="539" t="s">
        <v>35</v>
      </c>
      <c r="U16" s="557">
        <f ca="1">COUNTIFS(EXPEDIENTES!J:J,T16,EXPEDIENTES!O:O,"SI")</f>
        <v>245</v>
      </c>
      <c r="V16" s="501">
        <v>44972</v>
      </c>
      <c r="W16" s="544">
        <f ca="1">COUNTIFS(EXPEDIENTES!$J:$J,T16,EXPEDIENTES!O:O,"SI",EXPEDIENTES!$H:$H,"&gt;=10/07/2023",EXPEDIENTES!$H:$H,"&lt;=21/07/2023")</f>
        <v>7</v>
      </c>
      <c r="X16" s="544">
        <f ca="1">COUNTIFS(EXPEDIENTES!$J:$J,T16,EXPEDIENTES!O:O,"SI",EXPEDIENTES!$H:$H,"&gt;=01/01/2024",EXPEDIENTES!$H:$H,"&lt;=31/01/2024")</f>
        <v>0</v>
      </c>
      <c r="Y16" s="555">
        <f ca="1">U16-(W16+X16)</f>
        <v>238</v>
      </c>
    </row>
    <row r="17" spans="3:25" ht="13.8">
      <c r="D17" s="549" t="s">
        <v>6702</v>
      </c>
      <c r="E17" s="549">
        <v>6</v>
      </c>
      <c r="F17" s="544">
        <f>COUNTIFS(EXPEDIENTES!$F:$F,E17,EXPEDIENTES!$B:$B,"&gt;=15/02/2023",EXPEDIENTES!$B:$B,"&lt;=18/06/2023")</f>
        <v>0</v>
      </c>
      <c r="G17" s="544">
        <f>COUNTIFS(EXPEDIENTES!$F:$F,E17,EXPEDIENTES!$B:$B,"&gt;=19/06/2023")</f>
        <v>181</v>
      </c>
      <c r="H17" s="552">
        <f t="shared" si="0"/>
        <v>181</v>
      </c>
      <c r="I17" s="540"/>
      <c r="K17" s="644"/>
      <c r="L17" s="647" t="s">
        <v>3142</v>
      </c>
      <c r="M17" s="647" t="s">
        <v>3143</v>
      </c>
      <c r="N17" s="647" t="s">
        <v>3144</v>
      </c>
      <c r="O17" s="647" t="s">
        <v>3145</v>
      </c>
      <c r="T17" s="539" t="s">
        <v>31</v>
      </c>
      <c r="U17" s="557">
        <f ca="1">COUNTIFS(EXPEDIENTES!J:J,T17,EXPEDIENTES!O:O,"SI")</f>
        <v>274</v>
      </c>
      <c r="V17" s="501">
        <v>44972</v>
      </c>
      <c r="W17" s="544">
        <f ca="1">COUNTIFS(EXPEDIENTES!$J:$J,T17,EXPEDIENTES!O:O,"SI",EXPEDIENTES!$H:$H,"&gt;=10/07/2023",EXPEDIENTES!$H:$H,"&lt;=21/07/2023")</f>
        <v>12</v>
      </c>
      <c r="X17" s="544">
        <f ca="1">COUNTIFS(EXPEDIENTES!$J:$J,T17,EXPEDIENTES!O:O,"SI",EXPEDIENTES!$H:$H,"&gt;=01/01/2024",EXPEDIENTES!$H:$H,"&lt;=31/01/2024")</f>
        <v>3</v>
      </c>
      <c r="Y17" s="555">
        <f t="shared" ref="Y17:Y25" ca="1" si="1">U17-(W17+X17)</f>
        <v>259</v>
      </c>
    </row>
    <row r="18" spans="3:25" ht="13.8">
      <c r="D18" s="549" t="s">
        <v>6702</v>
      </c>
      <c r="E18" s="549">
        <v>7</v>
      </c>
      <c r="F18" s="544">
        <f>COUNTIFS(EXPEDIENTES!$F:$F,E18,EXPEDIENTES!$B:$B,"&gt;=15/02/2023",EXPEDIENTES!$B:$B,"&lt;=18/06/2023")</f>
        <v>0</v>
      </c>
      <c r="G18" s="544">
        <f>COUNTIFS(EXPEDIENTES!$F:$F,E18,EXPEDIENTES!$B:$B,"&gt;=19/06/2023")</f>
        <v>276</v>
      </c>
      <c r="H18" s="552">
        <f t="shared" si="0"/>
        <v>276</v>
      </c>
      <c r="I18" s="540"/>
      <c r="K18" s="648" t="s">
        <v>7433</v>
      </c>
      <c r="L18" s="324">
        <v>8</v>
      </c>
      <c r="M18" s="324">
        <v>2</v>
      </c>
      <c r="N18" s="324">
        <v>4</v>
      </c>
      <c r="O18" s="324">
        <v>6</v>
      </c>
      <c r="T18" s="539" t="s">
        <v>33</v>
      </c>
      <c r="U18" s="557">
        <f ca="1">COUNTIFS(EXPEDIENTES!J:J,T18,EXPEDIENTES!O:O,"SI")</f>
        <v>276</v>
      </c>
      <c r="V18" s="501">
        <v>44972</v>
      </c>
      <c r="W18" s="544">
        <f ca="1">COUNTIFS(EXPEDIENTES!$J:$J,T18,EXPEDIENTES!O:O,"SI",EXPEDIENTES!$H:$H,"&gt;=10/07/2023",EXPEDIENTES!$H:$H,"&lt;=21/07/2023")</f>
        <v>0</v>
      </c>
      <c r="X18" s="544">
        <f ca="1">COUNTIFS(EXPEDIENTES!$J:$J,T18,EXPEDIENTES!O:O,"SI",EXPEDIENTES!$H:$H,"&gt;=01/01/2024",EXPEDIENTES!$H:$H,"&lt;=31/01/2024")</f>
        <v>21</v>
      </c>
      <c r="Y18" s="555">
        <f t="shared" ca="1" si="1"/>
        <v>255</v>
      </c>
    </row>
    <row r="19" spans="3:25" ht="13.8">
      <c r="D19" s="549" t="s">
        <v>6702</v>
      </c>
      <c r="E19" s="549">
        <v>8</v>
      </c>
      <c r="F19" s="544">
        <f>COUNTIFS(EXPEDIENTES!$F:$F,E19,EXPEDIENTES!$B:$B,"&gt;=15/02/2023",EXPEDIENTES!$B:$B,"&lt;=18/06/2023")</f>
        <v>63</v>
      </c>
      <c r="G19" s="544">
        <f>COUNTIFS(EXPEDIENTES!$F:$F,E19,EXPEDIENTES!$B:$B,"&gt;=19/06/2023")</f>
        <v>183</v>
      </c>
      <c r="H19" s="552">
        <f t="shared" si="0"/>
        <v>246</v>
      </c>
      <c r="I19" s="540"/>
      <c r="K19" s="648" t="s">
        <v>7434</v>
      </c>
      <c r="L19" s="324">
        <v>1</v>
      </c>
      <c r="M19" s="324">
        <v>3</v>
      </c>
      <c r="N19" s="324">
        <v>5</v>
      </c>
      <c r="O19" s="324">
        <v>7</v>
      </c>
      <c r="T19" s="539" t="s">
        <v>78</v>
      </c>
      <c r="U19" s="557">
        <f ca="1">COUNTIFS(EXPEDIENTES!J:J,T19,EXPEDIENTES!O:O,"SI")</f>
        <v>280</v>
      </c>
      <c r="V19" s="501">
        <v>44972</v>
      </c>
      <c r="W19" s="544">
        <f ca="1">COUNTIFS(EXPEDIENTES!$J:$J,T19,EXPEDIENTES!O:O,"SI",EXPEDIENTES!$H:$H,"&gt;=10/07/2023",EXPEDIENTES!$H:$H,"&lt;=21/07/2023")</f>
        <v>0</v>
      </c>
      <c r="X19" s="544">
        <f ca="1">COUNTIFS(EXPEDIENTES!$J:$J,T19,EXPEDIENTES!O:O,"SI",EXPEDIENTES!$H:$H,"&gt;=01/01/2024",EXPEDIENTES!$H:$H,"&lt;=31/01/2024")</f>
        <v>29</v>
      </c>
      <c r="Y19" s="555">
        <f t="shared" ca="1" si="1"/>
        <v>251</v>
      </c>
    </row>
    <row r="20" spans="3:25" ht="15.6">
      <c r="D20" s="553" t="s">
        <v>961</v>
      </c>
      <c r="E20" s="554"/>
      <c r="F20" s="560">
        <f>SUM(F12:F19)</f>
        <v>260</v>
      </c>
      <c r="G20" s="560">
        <f>SUM(G12:G19)</f>
        <v>1820</v>
      </c>
      <c r="H20" s="560">
        <f>SUM(H12:H19)</f>
        <v>2080</v>
      </c>
      <c r="K20" s="644"/>
      <c r="L20" s="647" t="s">
        <v>4246</v>
      </c>
      <c r="M20" s="647" t="s">
        <v>3147</v>
      </c>
      <c r="N20" s="647" t="s">
        <v>3148</v>
      </c>
      <c r="O20" s="647" t="s">
        <v>3149</v>
      </c>
      <c r="T20" s="539" t="s">
        <v>1216</v>
      </c>
      <c r="U20" s="557">
        <f ca="1">COUNTIFS(EXPEDIENTES!J:J,T20,EXPEDIENTES!O:O,"SI")</f>
        <v>200</v>
      </c>
      <c r="V20" s="501">
        <v>45096</v>
      </c>
      <c r="W20" s="544">
        <f ca="1">COUNTIFS(EXPEDIENTES!$J:$J,T20,EXPEDIENTES!O:O,"SI",EXPEDIENTES!$H:$H,"&gt;=10/07/2023",EXPEDIENTES!$H:$H,"&lt;=21/07/2023")</f>
        <v>0</v>
      </c>
      <c r="X20" s="544">
        <f ca="1">COUNTIFS(EXPEDIENTES!$J:$J,T20,EXPEDIENTES!O:O,"SI",EXPEDIENTES!$H:$H,"&gt;=01/01/2024",EXPEDIENTES!$H:$H,"&lt;=31/01/2024")</f>
        <v>31</v>
      </c>
      <c r="Y20" s="555">
        <f t="shared" ca="1" si="1"/>
        <v>169</v>
      </c>
    </row>
    <row r="21" spans="3:25" ht="13.8">
      <c r="K21" s="648" t="s">
        <v>7433</v>
      </c>
      <c r="L21" s="324">
        <v>8</v>
      </c>
      <c r="M21" s="324">
        <v>2</v>
      </c>
      <c r="N21" s="324">
        <v>4</v>
      </c>
      <c r="O21" s="324">
        <v>6</v>
      </c>
      <c r="T21" s="539" t="s">
        <v>1221</v>
      </c>
      <c r="U21" s="557">
        <f ca="1">COUNTIFS(EXPEDIENTES!J:J,T21,EXPEDIENTES!O:O,"SI")</f>
        <v>73</v>
      </c>
      <c r="V21" s="501">
        <v>45096</v>
      </c>
      <c r="W21" s="544">
        <f ca="1">COUNTIFS(EXPEDIENTES!$J:$J,T21,EXPEDIENTES!O:O,"SI",EXPEDIENTES!$H:$H,"&gt;=10/07/2023",EXPEDIENTES!$H:$H,"&lt;=21/07/2023")</f>
        <v>0</v>
      </c>
      <c r="X21" s="544">
        <f ca="1">COUNTIFS(EXPEDIENTES!$J:$J,T21,EXPEDIENTES!O:O,"SI",EXPEDIENTES!$H:$H,"&gt;=01/01/2024",EXPEDIENTES!$H:$H,"&lt;=31/01/2024")</f>
        <v>0</v>
      </c>
      <c r="Y21" s="555">
        <f t="shared" ca="1" si="1"/>
        <v>73</v>
      </c>
    </row>
    <row r="22" spans="3:25" ht="13.8">
      <c r="K22" s="648" t="s">
        <v>7434</v>
      </c>
      <c r="L22" s="324">
        <v>1</v>
      </c>
      <c r="M22" s="324">
        <v>3</v>
      </c>
      <c r="N22" s="324">
        <v>5</v>
      </c>
      <c r="O22" s="324">
        <v>7</v>
      </c>
      <c r="T22" s="640"/>
      <c r="U22" s="557"/>
      <c r="V22" s="501"/>
      <c r="W22" s="544"/>
      <c r="X22" s="544"/>
      <c r="Y22" s="555"/>
    </row>
    <row r="23" spans="3:25" ht="13.8">
      <c r="T23" s="640"/>
      <c r="U23" s="557"/>
      <c r="V23" s="501"/>
      <c r="W23" s="544"/>
      <c r="X23" s="544"/>
      <c r="Y23" s="555"/>
    </row>
    <row r="24" spans="3:25" ht="15" customHeight="1">
      <c r="C24" s="10"/>
      <c r="F24" s="729" t="s">
        <v>7409</v>
      </c>
      <c r="G24" s="729"/>
      <c r="H24" s="729"/>
      <c r="I24" s="729"/>
      <c r="T24" s="539" t="s">
        <v>1217</v>
      </c>
      <c r="U24" s="557">
        <f ca="1">COUNTIFS(EXPEDIENTES!J:J,T24,EXPEDIENTES!O:O,"SI")</f>
        <v>223</v>
      </c>
      <c r="V24" s="501">
        <v>45096</v>
      </c>
      <c r="W24" s="544">
        <f ca="1">COUNTIFS(EXPEDIENTES!$J:$J,T24,EXPEDIENTES!O:O,"SI",EXPEDIENTES!$H:$H,"&gt;=10/07/2023",EXPEDIENTES!$H:$H,"&lt;=21/07/2023")</f>
        <v>0</v>
      </c>
      <c r="X24" s="544">
        <f ca="1">COUNTIFS(EXPEDIENTES!$J:$J,T24,EXPEDIENTES!O:O,"SI",EXPEDIENTES!$H:$H,"&gt;=01/01/2024",EXPEDIENTES!$H:$H,"&lt;=31/01/2024")</f>
        <v>31</v>
      </c>
      <c r="Y24" s="555">
        <f t="shared" ca="1" si="1"/>
        <v>192</v>
      </c>
    </row>
    <row r="25" spans="3:25" ht="15" customHeight="1">
      <c r="C25" s="10"/>
      <c r="D25" s="110"/>
      <c r="E25" s="545"/>
      <c r="F25" s="544" t="s">
        <v>7413</v>
      </c>
      <c r="G25" s="547" t="s">
        <v>7414</v>
      </c>
      <c r="H25" s="687" t="s">
        <v>7408</v>
      </c>
      <c r="I25" s="544"/>
      <c r="J25" s="548" t="s">
        <v>370</v>
      </c>
      <c r="K25" s="688" t="s">
        <v>7422</v>
      </c>
      <c r="T25" s="471" t="s">
        <v>2024</v>
      </c>
      <c r="U25" s="557">
        <f ca="1">SUM(U16:U24)</f>
        <v>1571</v>
      </c>
      <c r="V25" s="92"/>
      <c r="W25" s="552">
        <f ca="1">SUM(W16:W24)</f>
        <v>19</v>
      </c>
      <c r="X25" s="552">
        <f ca="1">SUM(X16:X24)</f>
        <v>115</v>
      </c>
      <c r="Y25" s="556">
        <f t="shared" ca="1" si="1"/>
        <v>1437</v>
      </c>
    </row>
    <row r="26" spans="3:25" ht="15" customHeight="1">
      <c r="C26" s="10"/>
      <c r="D26" s="541"/>
      <c r="E26" s="545">
        <v>1</v>
      </c>
      <c r="F26" s="544">
        <f>COUNTIFS(EXPEDIENTES!$F:$F,E26,EXPEDIENTES!$B:$B,"&gt;=19/06/2023",EXPEDIENTES!$B:$B,"&lt;=15/09/2023",EXPEDIENTES!$R:$R,"&lt;&gt;Suspendida")</f>
        <v>11</v>
      </c>
      <c r="G26" s="544">
        <f>COUNTIFS(EXPEDIENTES!$F:$F,E26,EXPEDIENTES!$B:$B,"&gt;=16/09/2023",EXPEDIENTES!$B:$B,"&lt;=15/04/2024",EXPEDIENTES!$R:$R,"&lt;&gt;Suspendida")</f>
        <v>115</v>
      </c>
      <c r="H26" s="687">
        <f>COUNTIFS(EXPEDIENTES!$F:$F,E26,EXPEDIENTES!$B:$B,"&gt;=16/04/2024",EXPEDIENTES!$B:$B,"&lt;=15/08/2024",EXPEDIENTES!$R:$R,"&lt;&gt;Suspendida")</f>
        <v>22</v>
      </c>
      <c r="I26" s="544"/>
      <c r="J26" s="548">
        <f>SUM(F26:I26)</f>
        <v>148</v>
      </c>
      <c r="K26" s="689">
        <f>AVERAGE(F26:I26)</f>
        <v>49.333333333333336</v>
      </c>
    </row>
    <row r="27" spans="3:25" ht="15" customHeight="1">
      <c r="D27" s="541"/>
      <c r="E27" s="542"/>
      <c r="F27" s="543"/>
      <c r="G27" s="543"/>
      <c r="H27" s="110"/>
      <c r="I27" s="691" t="s">
        <v>7478</v>
      </c>
      <c r="J27" s="671">
        <f ca="1">'Exp por Jueces'!$C$63</f>
        <v>200</v>
      </c>
      <c r="K27" s="643" t="s">
        <v>7423</v>
      </c>
    </row>
    <row r="28" spans="3:25" ht="15" customHeight="1">
      <c r="D28" s="43"/>
      <c r="I28" s="691" t="s">
        <v>7479</v>
      </c>
      <c r="J28" s="593">
        <f ca="1">COUNTIFS(EXPEDIENTES!J:J,"Dra. Zunino",EXPEDIENTES!O:O,"SI",EXPEDIENTES!R:R,"&lt;&gt;Suspendida")</f>
        <v>186</v>
      </c>
    </row>
    <row r="29" spans="3:25" ht="15" customHeight="1">
      <c r="D29" s="43"/>
      <c r="I29" s="691" t="s">
        <v>7235</v>
      </c>
      <c r="J29" s="593">
        <f ca="1">J28-J26</f>
        <v>38</v>
      </c>
      <c r="T29" s="721" t="s">
        <v>5892</v>
      </c>
      <c r="U29" s="722"/>
    </row>
    <row r="30" spans="3:25" ht="15" customHeight="1">
      <c r="D30" s="43"/>
      <c r="I30" s="691" t="s">
        <v>7480</v>
      </c>
      <c r="J30" s="671">
        <f ca="1">J27-J28</f>
        <v>14</v>
      </c>
      <c r="T30" s="12" t="s">
        <v>382</v>
      </c>
      <c r="U30" s="12" t="s">
        <v>362</v>
      </c>
      <c r="V30" s="558" t="s">
        <v>6734</v>
      </c>
      <c r="W30" s="558" t="s">
        <v>6735</v>
      </c>
      <c r="X30" s="558" t="s">
        <v>6736</v>
      </c>
    </row>
    <row r="31" spans="3:25" ht="15" customHeight="1">
      <c r="D31" s="43"/>
      <c r="I31" s="691" t="s">
        <v>7476</v>
      </c>
      <c r="J31" s="671">
        <f>[3]ESTA_DISTI_K!$E$6+[3]ESTA_DISTI_K!$E$20</f>
        <v>64</v>
      </c>
      <c r="T31" s="539" t="s">
        <v>1218</v>
      </c>
      <c r="U31" s="473">
        <f ca="1">COUNTIFS(EXPEDIENTES!J:J,T31,EXPEDIENTES!O:O,"SI")</f>
        <v>29</v>
      </c>
      <c r="V31" s="544">
        <f ca="1">COUNTIFS(EXPEDIENTES!$J:$J,T31,EXPEDIENTES!O:O,"SI",EXPEDIENTES!$H:$H,"&gt;=10/07/2023",EXPEDIENTES!$H:$H,"&lt;=21/07/2023")</f>
        <v>0</v>
      </c>
      <c r="W31" s="544">
        <f ca="1">COUNTIFS(EXPEDIENTES!$J:$J,T31,EXPEDIENTES!O:O,"SI",EXPEDIENTES!$H:$H,"&gt;=01/01/2024",EXPEDIENTES!$H:$H,"&lt;=31/01/2024")</f>
        <v>0</v>
      </c>
      <c r="X31" s="544">
        <f ca="1">U31-(V31+W31)</f>
        <v>29</v>
      </c>
    </row>
    <row r="32" spans="3:25" ht="15" customHeight="1">
      <c r="D32" s="43"/>
      <c r="I32" s="691" t="s">
        <v>7477</v>
      </c>
      <c r="J32" s="593">
        <f>[3]ESTA_DISTI_K!$F$6+[3]ESTA_DISTI_K!$F$20</f>
        <v>32</v>
      </c>
      <c r="T32" s="539" t="s">
        <v>1219</v>
      </c>
      <c r="U32" s="473">
        <f ca="1">COUNTIFS(EXPEDIENTES!J:J,T32,EXPEDIENTES!O:O,"SI")</f>
        <v>27</v>
      </c>
      <c r="V32" s="544">
        <f ca="1">COUNTIFS(EXPEDIENTES!$J:$J,T32,EXPEDIENTES!O:O,"SI",EXPEDIENTES!$H:$H,"&gt;=10/07/2023",EXPEDIENTES!$H:$H,"&lt;=21/07/2023")</f>
        <v>0</v>
      </c>
      <c r="W32" s="544">
        <f ca="1">COUNTIFS(EXPEDIENTES!$J:$J,T32,EXPEDIENTES!O:O,"SI",EXPEDIENTES!$H:$H,"&gt;=01/01/2024",EXPEDIENTES!$H:$H,"&lt;=31/01/2024")</f>
        <v>0</v>
      </c>
      <c r="X32" s="544">
        <f t="shared" ref="X32:X40" ca="1" si="2">U32-(V32+W32)</f>
        <v>27</v>
      </c>
    </row>
    <row r="33" spans="4:24" ht="15" customHeight="1">
      <c r="D33" s="43"/>
      <c r="J33" s="50"/>
      <c r="T33" s="539" t="s">
        <v>1220</v>
      </c>
      <c r="U33" s="473">
        <f ca="1">COUNTIFS(EXPEDIENTES!J:J,T33,EXPEDIENTES!O:O,"SI")</f>
        <v>35</v>
      </c>
      <c r="V33" s="544">
        <f ca="1">COUNTIFS(EXPEDIENTES!$J:$J,T33,EXPEDIENTES!O:O,"SI",EXPEDIENTES!$H:$H,"&gt;=10/07/2023",EXPEDIENTES!$H:$H,"&lt;=21/07/2023")</f>
        <v>0</v>
      </c>
      <c r="W33" s="544">
        <f ca="1">COUNTIFS(EXPEDIENTES!$J:$J,T33,EXPEDIENTES!O:O,"SI",EXPEDIENTES!$H:$H,"&gt;=01/01/2024",EXPEDIENTES!$H:$H,"&lt;=31/01/2024")</f>
        <v>16</v>
      </c>
      <c r="X33" s="544">
        <f t="shared" ca="1" si="2"/>
        <v>19</v>
      </c>
    </row>
    <row r="34" spans="4:24" ht="15" customHeight="1">
      <c r="D34" s="43"/>
      <c r="E34" s="50"/>
      <c r="F34" s="716" t="s">
        <v>6725</v>
      </c>
      <c r="G34" s="717"/>
      <c r="H34" s="717"/>
      <c r="I34" s="718"/>
      <c r="J34" s="540"/>
      <c r="K34" s="50"/>
      <c r="T34" s="539" t="s">
        <v>1616</v>
      </c>
      <c r="U34" s="473">
        <f ca="1">COUNTIFS(EXPEDIENTES!J:J,T34,EXPEDIENTES!O:O,"SI")</f>
        <v>20</v>
      </c>
      <c r="V34" s="544">
        <f ca="1">COUNTIFS(EXPEDIENTES!$J:$J,T34,EXPEDIENTES!O:O,"SI",EXPEDIENTES!$H:$H,"&gt;=10/07/2023",EXPEDIENTES!$H:$H,"&lt;=21/07/2023")</f>
        <v>19</v>
      </c>
      <c r="W34" s="544">
        <f ca="1">COUNTIFS(EXPEDIENTES!$J:$J,T34,EXPEDIENTES!O:O,"SI",EXPEDIENTES!$H:$H,"&gt;=01/01/2024",EXPEDIENTES!$H:$H,"&lt;=31/01/2024")</f>
        <v>1</v>
      </c>
      <c r="X34" s="544">
        <f t="shared" ca="1" si="2"/>
        <v>0</v>
      </c>
    </row>
    <row r="35" spans="4:24" ht="15" customHeight="1">
      <c r="D35" s="43"/>
      <c r="E35" s="546"/>
      <c r="F35" s="544" t="s">
        <v>7413</v>
      </c>
      <c r="G35" s="544" t="s">
        <v>6704</v>
      </c>
      <c r="H35" s="687" t="s">
        <v>6705</v>
      </c>
      <c r="I35" s="544" t="s">
        <v>6706</v>
      </c>
      <c r="J35" s="548" t="s">
        <v>370</v>
      </c>
      <c r="K35" s="688" t="s">
        <v>7422</v>
      </c>
      <c r="T35" s="539" t="s">
        <v>1484</v>
      </c>
      <c r="U35" s="473">
        <f ca="1">COUNTIFS(EXPEDIENTES!J:J,T35,EXPEDIENTES!O:O,"SI")+COUNTIFS(EXPEDIENTES!J:J,"Dr. Diez",EXPEDIENTES!O:O,"SI")</f>
        <v>47</v>
      </c>
      <c r="V35" s="544">
        <f ca="1">COUNTIFS(EXPEDIENTES!$J:$J,T35,EXPEDIENTES!O:O,"SI",EXPEDIENTES!$H:$H,"&gt;=10/07/2023",EXPEDIENTES!$H:$H,"&lt;=21/07/2023")+COUNTIFS(EXPEDIENTES!$J:$J,"Dr. Diez",EXPEDIENTES!O:O,"SI",EXPEDIENTES!$H:$H,"&gt;=10/07/2023",EXPEDIENTES!$H:$H,"&lt;=21/07/2023")</f>
        <v>11</v>
      </c>
      <c r="W35" s="544">
        <f ca="1">COUNTIFS(EXPEDIENTES!$J:$J,T35,EXPEDIENTES!O:O,"SI",EXPEDIENTES!$H:$H,"&gt;=01/01/2024",EXPEDIENTES!$H:$H,"&lt;=31/01/2024")+COUNTIFS(EXPEDIENTES!$J:$J,"Dr. Diez",EXPEDIENTES!O:O,"SI",EXPEDIENTES!$H:$H,"&gt;=01/01/2024",EXPEDIENTES!$H:$H,"&lt;=31/01/2024")</f>
        <v>0</v>
      </c>
      <c r="X35" s="544">
        <f t="shared" ca="1" si="2"/>
        <v>36</v>
      </c>
    </row>
    <row r="36" spans="4:24" ht="15" customHeight="1">
      <c r="D36" s="43"/>
      <c r="E36" s="546">
        <v>2</v>
      </c>
      <c r="F36" s="544">
        <f>COUNTIFS(EXPEDIENTES!$F:$F,E36,EXPEDIENTES!$B:$B,"&gt;=15/02/2023",EXPEDIENTES!$B:$B,"&lt;=31/05/2023",EXPEDIENTES!$R:$R,"&lt;&gt;Suspendida")</f>
        <v>2</v>
      </c>
      <c r="G36" s="544">
        <f>COUNTIFS(EXPEDIENTES!$F:$F,E36,EXPEDIENTES!$B:$B,"&gt;=01/06/2023",EXPEDIENTES!$B:$B,"&lt;=01/10/2023",EXPEDIENTES!$R:$R,"&lt;&gt;Suspendida")</f>
        <v>80</v>
      </c>
      <c r="H36" s="687">
        <f>COUNTIFS(EXPEDIENTES!$F:$F,E36,EXPEDIENTES!$B:$B,"&gt;=01/10/2023",EXPEDIENTES!$B:$B,"&lt;=31/12/2023",EXPEDIENTES!$R:$R,"&lt;&gt;Suspendida")</f>
        <v>71</v>
      </c>
      <c r="I36" s="544">
        <f>COUNTIFS(EXPEDIENTES!$F:$F,E36,EXPEDIENTES!$B:$B,"&gt;=01/01/2024",EXPEDIENTES!$B:$B,"&lt;=30/04/2024",EXPEDIENTES!$R:$R,"&lt;&gt;Suspendida")</f>
        <v>75</v>
      </c>
      <c r="J36" s="548">
        <f>SUM(F36:I36)</f>
        <v>228</v>
      </c>
      <c r="K36" s="689">
        <f t="shared" ref="K36" si="3">AVERAGE(F36:I36)</f>
        <v>57</v>
      </c>
      <c r="T36" s="539" t="s">
        <v>1723</v>
      </c>
      <c r="U36" s="473">
        <f ca="1">COUNTIFS(EXPEDIENTES!J:J,T36,EXPEDIENTES!O:O,"SI")</f>
        <v>37</v>
      </c>
      <c r="V36" s="544">
        <f ca="1">COUNTIFS(EXPEDIENTES!$J:$J,T36,EXPEDIENTES!O:O,"SI",EXPEDIENTES!$H:$H,"&gt;=10/07/2023",EXPEDIENTES!$H:$H,"&lt;=21/07/2023")</f>
        <v>10</v>
      </c>
      <c r="W36" s="544">
        <f ca="1">COUNTIFS(EXPEDIENTES!$J:$J,T36,EXPEDIENTES!O:O,"SI",EXPEDIENTES!$H:$H,"&gt;=01/01/2024",EXPEDIENTES!$H:$H,"&lt;=31/01/2024")</f>
        <v>0</v>
      </c>
      <c r="X36" s="544">
        <f t="shared" ca="1" si="2"/>
        <v>27</v>
      </c>
    </row>
    <row r="37" spans="4:24" ht="15" customHeight="1">
      <c r="E37" s="50"/>
      <c r="F37" s="540"/>
      <c r="G37" s="540"/>
      <c r="H37" s="540"/>
      <c r="I37" s="691" t="s">
        <v>7478</v>
      </c>
      <c r="J37" s="671">
        <f ca="1">'Exp por Jueces'!C60</f>
        <v>274</v>
      </c>
      <c r="K37" s="643" t="s">
        <v>7424</v>
      </c>
      <c r="T37" s="310" t="s">
        <v>2922</v>
      </c>
      <c r="U37" s="473">
        <f ca="1">COUNTIFS(EXPEDIENTES!J:J,T37,EXPEDIENTES!O:O,"SI")</f>
        <v>35</v>
      </c>
      <c r="V37" s="544">
        <f ca="1">COUNTIFS(EXPEDIENTES!$J:$J,T37,EXPEDIENTES!O:O,"SI",EXPEDIENTES!$H:$H,"&gt;=10/07/2023",EXPEDIENTES!$H:$H,"&lt;=21/07/2023")</f>
        <v>0</v>
      </c>
      <c r="W37" s="544">
        <f ca="1">COUNTIFS(EXPEDIENTES!$J:$J,T37,EXPEDIENTES!O:O,"SI",EXPEDIENTES!$H:$H,"&gt;=01/01/2024",EXPEDIENTES!$H:$H,"&lt;=31/01/2024")</f>
        <v>0</v>
      </c>
      <c r="X37" s="544">
        <f t="shared" ca="1" si="2"/>
        <v>35</v>
      </c>
    </row>
    <row r="38" spans="4:24" ht="15" customHeight="1">
      <c r="D38" s="10"/>
      <c r="I38" s="691" t="s">
        <v>7479</v>
      </c>
      <c r="J38" s="593">
        <f ca="1">COUNTIFS(EXPEDIENTES!J:J,"Dr. Colombo",EXPEDIENTES!O:O,"SI",EXPEDIENTES!R:R,"&lt;&gt;Suspendida")</f>
        <v>264</v>
      </c>
      <c r="T38" s="310" t="s">
        <v>2925</v>
      </c>
      <c r="U38" s="473">
        <f ca="1">COUNTIFS(EXPEDIENTES!J:J,T38,EXPEDIENTES!O:O,"SI")</f>
        <v>32</v>
      </c>
      <c r="V38" s="544">
        <f ca="1">COUNTIFS(EXPEDIENTES!$J:$J,T38,EXPEDIENTES!O:O,"SI",EXPEDIENTES!$H:$H,"&gt;=10/07/2023",EXPEDIENTES!$H:$H,"&lt;=21/07/2023")</f>
        <v>0</v>
      </c>
      <c r="W38" s="544">
        <f ca="1">COUNTIFS(EXPEDIENTES!$J:$J,T38,EXPEDIENTES!O:O,"SI",EXPEDIENTES!$H:$H,"&gt;=01/01/2024",EXPEDIENTES!$H:$H,"&lt;=31/01/2024")</f>
        <v>0</v>
      </c>
      <c r="X38" s="544">
        <f t="shared" ca="1" si="2"/>
        <v>32</v>
      </c>
    </row>
    <row r="39" spans="4:24" ht="15" customHeight="1">
      <c r="D39" s="10"/>
      <c r="I39" s="691" t="s">
        <v>7235</v>
      </c>
      <c r="J39" s="593">
        <f ca="1">J38-J36</f>
        <v>36</v>
      </c>
      <c r="T39" s="539" t="s">
        <v>4746</v>
      </c>
      <c r="U39" s="473">
        <f ca="1">COUNTIFS(EXPEDIENTES!J:J,T39,EXPEDIENTES!O:O,"SI")</f>
        <v>69</v>
      </c>
      <c r="V39" s="544">
        <f ca="1">COUNTIFS(EXPEDIENTES!$J:$J,T39,EXPEDIENTES!O:O,"SI",EXPEDIENTES!$H:$H,"&gt;=10/07/2023",EXPEDIENTES!$H:$H,"&lt;=21/07/2023")</f>
        <v>0</v>
      </c>
      <c r="W39" s="544">
        <f ca="1">COUNTIFS(EXPEDIENTES!$J:$J,T39,EXPEDIENTES!O:O,"SI",EXPEDIENTES!$H:$H,"&gt;=01/01/2024",EXPEDIENTES!$H:$H,"&lt;=31/01/2024")</f>
        <v>29</v>
      </c>
      <c r="X39" s="544">
        <f t="shared" ca="1" si="2"/>
        <v>40</v>
      </c>
    </row>
    <row r="40" spans="4:24" ht="15" customHeight="1">
      <c r="I40" s="691" t="s">
        <v>7480</v>
      </c>
      <c r="J40" s="671">
        <f ca="1">J37-J38</f>
        <v>10</v>
      </c>
      <c r="T40" s="310" t="s">
        <v>4931</v>
      </c>
      <c r="U40" s="473">
        <f ca="1">COUNTIFS(EXPEDIENTES!J:J,T40,EXPEDIENTES!O:O,"SI")</f>
        <v>50</v>
      </c>
      <c r="V40" s="544">
        <f ca="1">COUNTIFS(EXPEDIENTES!$J:$J,T40,EXPEDIENTES!O:O,"SI",EXPEDIENTES!$H:$H,"&gt;=10/07/2023",EXPEDIENTES!$H:$H,"&lt;=21/07/2023")</f>
        <v>0</v>
      </c>
      <c r="W40" s="544">
        <f ca="1">COUNTIFS(EXPEDIENTES!$J:$J,T40,EXPEDIENTES!O:O,"SI",EXPEDIENTES!$H:$H,"&gt;=01/01/2024",EXPEDIENTES!$H:$H,"&lt;=31/01/2024")</f>
        <v>15</v>
      </c>
      <c r="X40" s="544">
        <f t="shared" ca="1" si="2"/>
        <v>35</v>
      </c>
    </row>
    <row r="41" spans="4:24" ht="15" customHeight="1">
      <c r="I41" s="691" t="s">
        <v>7476</v>
      </c>
      <c r="J41" s="671">
        <f>[3]ESTA_DISTI_K!$E$7+[3]ESTA_DISTI_K!$E$21</f>
        <v>132</v>
      </c>
      <c r="T41" s="473" t="s">
        <v>370</v>
      </c>
      <c r="U41" s="474">
        <f ca="1">SUM(U31:U40)</f>
        <v>381</v>
      </c>
      <c r="V41" s="559">
        <f ca="1">SUM(V31:V40)</f>
        <v>40</v>
      </c>
      <c r="W41" s="559">
        <f ca="1">SUM(W31:W40)</f>
        <v>61</v>
      </c>
      <c r="X41" s="559">
        <f ca="1">SUM(X31:X40)</f>
        <v>280</v>
      </c>
    </row>
    <row r="42" spans="4:24" ht="15" customHeight="1">
      <c r="D42" s="10"/>
      <c r="I42" s="691" t="s">
        <v>7477</v>
      </c>
      <c r="J42" s="593">
        <f>[3]ESTA_DISTI_K!$F$7+[3]ESTA_DISTI_K!$F$21</f>
        <v>26</v>
      </c>
    </row>
    <row r="43" spans="4:24" ht="15" customHeight="1">
      <c r="D43" s="10"/>
      <c r="J43" s="50"/>
    </row>
    <row r="44" spans="4:24" ht="15" customHeight="1">
      <c r="E44" s="50"/>
      <c r="F44" s="726" t="s">
        <v>6728</v>
      </c>
      <c r="G44" s="727"/>
      <c r="H44" s="727"/>
      <c r="I44" s="728"/>
      <c r="J44" s="50"/>
      <c r="K44" s="50"/>
    </row>
    <row r="45" spans="4:24" ht="15" customHeight="1">
      <c r="E45" s="546"/>
      <c r="F45" s="544" t="s">
        <v>7415</v>
      </c>
      <c r="G45" s="544" t="s">
        <v>6707</v>
      </c>
      <c r="H45" s="687" t="s">
        <v>6708</v>
      </c>
      <c r="I45" s="544" t="s">
        <v>6709</v>
      </c>
      <c r="J45" s="548" t="s">
        <v>370</v>
      </c>
      <c r="K45" s="688" t="s">
        <v>7422</v>
      </c>
    </row>
    <row r="46" spans="4:24" ht="15" customHeight="1">
      <c r="D46" s="10"/>
      <c r="E46" s="546">
        <v>3</v>
      </c>
      <c r="F46" s="544">
        <f>COUNTIFS(EXPEDIENTES!$F:$F,E46,EXPEDIENTES!$B:$B,"&gt;=15/02/2023",EXPEDIENTES!$B:$B,"&lt;=16/06/2023",EXPEDIENTES!$R:$R,"&lt;&gt;Suspendida")</f>
        <v>66</v>
      </c>
      <c r="G46" s="544">
        <f>COUNTIFS(EXPEDIENTES!$F:$F,E46,EXPEDIENTES!$B:$B,"&gt;=16/06/2023",EXPEDIENTES!$B:$B,"&lt;=15/10/2023",EXPEDIENTES!$R:$R,"&lt;&gt;Suspendida")</f>
        <v>60</v>
      </c>
      <c r="H46" s="687">
        <f>COUNTIFS(EXPEDIENTES!$F:$F,E46,EXPEDIENTES!$B:$B,"&gt;=16/10/2023",EXPEDIENTES!$B:$B,"&lt;=16/01/2024",EXPEDIENTES!$R:$R,"&lt;&gt;Suspendida")</f>
        <v>97</v>
      </c>
      <c r="I46" s="544">
        <f>COUNTIFS(EXPEDIENTES!$F:$F,E46,EXPEDIENTES!$B:$B,"&gt;=16/01/2024",EXPEDIENTES!$B:$B,"&lt;=15/05/2024",EXPEDIENTES!$R:$R,"&lt;&gt;Suspendida")</f>
        <v>119</v>
      </c>
      <c r="J46" s="548">
        <f>SUM(F46:I46)</f>
        <v>342</v>
      </c>
      <c r="K46" s="689">
        <f>AVERAGE(F46:I46)</f>
        <v>85.5</v>
      </c>
      <c r="T46" s="723" t="s">
        <v>5893</v>
      </c>
      <c r="U46" s="724"/>
    </row>
    <row r="47" spans="4:24" ht="15" customHeight="1">
      <c r="D47" s="10"/>
      <c r="E47" s="50"/>
      <c r="I47" s="691" t="s">
        <v>7478</v>
      </c>
      <c r="J47" s="671">
        <f ca="1">'Exp por Jueces'!C59</f>
        <v>245</v>
      </c>
      <c r="K47" s="643" t="s">
        <v>7425</v>
      </c>
      <c r="T47" s="12" t="s">
        <v>382</v>
      </c>
      <c r="U47" s="12" t="s">
        <v>362</v>
      </c>
      <c r="V47" s="558" t="s">
        <v>6734</v>
      </c>
      <c r="W47" s="558" t="s">
        <v>6735</v>
      </c>
      <c r="X47" s="558" t="s">
        <v>6736</v>
      </c>
    </row>
    <row r="48" spans="4:24" ht="15" customHeight="1">
      <c r="I48" s="691" t="s">
        <v>7479</v>
      </c>
      <c r="J48" s="593">
        <f ca="1">COUNTIFS(EXPEDIENTES!J:J,"Dr. Pastrana",EXPEDIENTES!O:O,"SI",EXPEDIENTES!R:R,"&lt;&gt;Suspendida")</f>
        <v>228</v>
      </c>
      <c r="T48" s="539" t="s">
        <v>1680</v>
      </c>
      <c r="U48" s="557">
        <f ca="1">COUNTIFS(EXPEDIENTES!J:J,T48,EXPEDIENTES!O:O,"SI")</f>
        <v>18</v>
      </c>
      <c r="V48" s="539">
        <f ca="1">COUNTIFS(EXPEDIENTES!$J:$J,T48,EXPEDIENTES!O:O,"SI",EXPEDIENTES!$H:$H,"&gt;=10/07/2023",EXPEDIENTES!$H:$H,"&lt;=21/07/2023")</f>
        <v>4</v>
      </c>
      <c r="W48" s="539">
        <f ca="1">COUNTIFS(EXPEDIENTES!$J:$J,T48,EXPEDIENTES!O:O,"SI",EXPEDIENTES!$H:$H,"&gt;=01/01/2024",EXPEDIENTES!$H:$H,"&lt;=31/01/2024")</f>
        <v>14</v>
      </c>
      <c r="X48" s="539">
        <f ca="1">U48-(V48+W48)</f>
        <v>0</v>
      </c>
    </row>
    <row r="49" spans="4:24" ht="15" customHeight="1">
      <c r="I49" s="691" t="s">
        <v>7235</v>
      </c>
      <c r="J49" s="593">
        <f ca="1">J48-J46</f>
        <v>-114</v>
      </c>
      <c r="T49" s="475" t="s">
        <v>370</v>
      </c>
      <c r="U49" s="476">
        <f ca="1">SUM(U48)</f>
        <v>18</v>
      </c>
      <c r="V49" s="557">
        <f ca="1">SUM(V48)</f>
        <v>4</v>
      </c>
      <c r="W49" s="557">
        <f ca="1">SUM(W48)</f>
        <v>14</v>
      </c>
      <c r="X49" s="557">
        <f ca="1">SUM(X48)</f>
        <v>0</v>
      </c>
    </row>
    <row r="50" spans="4:24" ht="15" customHeight="1">
      <c r="D50" s="10"/>
      <c r="I50" s="691" t="s">
        <v>7480</v>
      </c>
      <c r="J50" s="671">
        <f ca="1">J47-J48</f>
        <v>17</v>
      </c>
    </row>
    <row r="51" spans="4:24" ht="15" customHeight="1">
      <c r="D51" s="10"/>
      <c r="I51" s="691" t="s">
        <v>7476</v>
      </c>
      <c r="J51" s="671">
        <f>[3]ESTA_DISTI_K!$E$8+[3]ESTA_DISTI_K!$E$22</f>
        <v>175</v>
      </c>
    </row>
    <row r="52" spans="4:24" ht="15" customHeight="1">
      <c r="I52" s="691" t="s">
        <v>7477</v>
      </c>
      <c r="J52" s="593">
        <f>[3]ESTA_DISTI_K!$F$8+[3]ESTA_DISTI_K!$F$22</f>
        <v>24</v>
      </c>
      <c r="T52" s="713" t="s">
        <v>6241</v>
      </c>
      <c r="U52" s="713"/>
      <c r="V52" s="92">
        <f ca="1">U49+U41+U25</f>
        <v>1970</v>
      </c>
    </row>
    <row r="53" spans="4:24" ht="15" customHeight="1">
      <c r="J53" s="50"/>
    </row>
    <row r="54" spans="4:24" ht="15" customHeight="1">
      <c r="D54" s="10"/>
      <c r="E54" s="50"/>
      <c r="F54" s="716" t="s">
        <v>6726</v>
      </c>
      <c r="G54" s="717"/>
      <c r="H54" s="717"/>
      <c r="I54" s="718"/>
      <c r="J54" s="540"/>
      <c r="K54" s="50"/>
      <c r="T54" s="713" t="s">
        <v>6737</v>
      </c>
      <c r="U54" s="713"/>
      <c r="V54" s="92">
        <f ca="1">V49+V41+W25</f>
        <v>63</v>
      </c>
    </row>
    <row r="55" spans="4:24" ht="15" customHeight="1">
      <c r="E55" s="546"/>
      <c r="F55" s="544" t="s">
        <v>6710</v>
      </c>
      <c r="G55" s="544" t="s">
        <v>6711</v>
      </c>
      <c r="H55" s="687" t="s">
        <v>6712</v>
      </c>
      <c r="I55" s="544" t="s">
        <v>6713</v>
      </c>
      <c r="J55" s="548" t="s">
        <v>370</v>
      </c>
      <c r="K55" s="688" t="s">
        <v>7422</v>
      </c>
    </row>
    <row r="56" spans="4:24" ht="15" customHeight="1">
      <c r="E56" s="546">
        <v>4</v>
      </c>
      <c r="F56" s="544">
        <f>COUNTIFS(EXPEDIENTES!$F:$F,E56,EXPEDIENTES!$B:$B,"&gt;=01/03/2023",EXPEDIENTES!$B:$B,"&lt;=30/06/2023",EXPEDIENTES!$R:$R,"&lt;&gt;Suspendida")</f>
        <v>86</v>
      </c>
      <c r="G56" s="544">
        <f>COUNTIFS(EXPEDIENTES!$F:$F,E56,EXPEDIENTES!$B:$B,"&gt;=01/07/2023",EXPEDIENTES!$B:$B,"&lt;=31/10/2023",EXPEDIENTES!$R:$R,"&lt;&gt;Suspendida")</f>
        <v>74</v>
      </c>
      <c r="H56" s="687">
        <f>COUNTIFS(EXPEDIENTES!$F:$F,E56,EXPEDIENTES!$B:$B,"&gt;=01/11/2023",EXPEDIENTES!$B:$B,"&lt;=31/01/2024",EXPEDIENTES!$R:$R,"&lt;&gt;Suspendida")</f>
        <v>86</v>
      </c>
      <c r="I56" s="544">
        <f>COUNTIFS(EXPEDIENTES!$F:$F,E56,EXPEDIENTES!$B:$B,"&gt;=01/02/2024",EXPEDIENTES!$B:$B,"&lt;=31/05/2024",EXPEDIENTES!$R:$R,"&lt;&gt;Suspendida")</f>
        <v>83</v>
      </c>
      <c r="J56" s="548">
        <f>SUM(F56:I56)</f>
        <v>329</v>
      </c>
      <c r="K56" s="689">
        <f>AVERAGE(F56:I56)</f>
        <v>82.25</v>
      </c>
      <c r="T56" s="713" t="s">
        <v>6738</v>
      </c>
      <c r="U56" s="713"/>
      <c r="V56" s="92">
        <f ca="1">W49+W41+X25</f>
        <v>190</v>
      </c>
    </row>
    <row r="57" spans="4:24" ht="15" customHeight="1">
      <c r="E57" s="50"/>
      <c r="I57" s="691" t="s">
        <v>7478</v>
      </c>
      <c r="J57" s="671">
        <f ca="1">'Exp por Jueces'!C61</f>
        <v>276</v>
      </c>
      <c r="K57" s="643" t="s">
        <v>7425</v>
      </c>
    </row>
    <row r="58" spans="4:24" ht="15" customHeight="1">
      <c r="I58" s="691" t="s">
        <v>7479</v>
      </c>
      <c r="J58" s="593">
        <f ca="1">COUNTIFS(EXPEDIENTES!J:J,"Dr. Rodriguez Pipino",EXPEDIENTES!O:O,"SI",EXPEDIENTES!R:R,"&lt;&gt;Suspendida")</f>
        <v>262</v>
      </c>
      <c r="T58" s="712" t="s">
        <v>6742</v>
      </c>
      <c r="U58" s="712"/>
      <c r="V58" s="92">
        <f ca="1">X49+X41+Y25</f>
        <v>1717</v>
      </c>
    </row>
    <row r="59" spans="4:24" ht="15" customHeight="1">
      <c r="I59" s="691" t="s">
        <v>7235</v>
      </c>
      <c r="J59" s="593">
        <f ca="1">J58-J56</f>
        <v>-67</v>
      </c>
    </row>
    <row r="60" spans="4:24" ht="15" customHeight="1">
      <c r="I60" s="691" t="s">
        <v>7480</v>
      </c>
      <c r="J60" s="671">
        <f ca="1">J57-J58</f>
        <v>14</v>
      </c>
    </row>
    <row r="61" spans="4:24" ht="15" customHeight="1">
      <c r="I61" s="691" t="s">
        <v>7476</v>
      </c>
      <c r="J61" s="671">
        <f>[3]ESTA_DISTI_K!$E$9+[3]ESTA_DISTI_K!$E$23</f>
        <v>207</v>
      </c>
    </row>
    <row r="62" spans="4:24" ht="15" customHeight="1">
      <c r="I62" s="691" t="s">
        <v>7477</v>
      </c>
      <c r="J62" s="593">
        <f>[3]ESTA_DISTI_K!$F$9+[3]ESTA_DISTI_K!$F$23</f>
        <v>31</v>
      </c>
    </row>
    <row r="63" spans="4:24" ht="15" customHeight="1">
      <c r="J63" s="50"/>
    </row>
    <row r="64" spans="4:24" ht="15" customHeight="1">
      <c r="E64" s="50"/>
      <c r="F64" s="726" t="s">
        <v>7410</v>
      </c>
      <c r="G64" s="727"/>
      <c r="H64" s="727"/>
      <c r="I64" s="728"/>
      <c r="J64" s="540"/>
      <c r="K64" s="50"/>
    </row>
    <row r="65" spans="5:11" ht="15" customHeight="1">
      <c r="E65" s="546"/>
      <c r="F65" s="544" t="s">
        <v>7413</v>
      </c>
      <c r="G65" s="544" t="s">
        <v>6714</v>
      </c>
      <c r="H65" s="687" t="s">
        <v>6715</v>
      </c>
      <c r="I65" s="544" t="s">
        <v>6724</v>
      </c>
      <c r="J65" s="548" t="s">
        <v>370</v>
      </c>
      <c r="K65" s="688" t="s">
        <v>7422</v>
      </c>
    </row>
    <row r="66" spans="5:11" ht="15" customHeight="1">
      <c r="E66" s="546">
        <v>5</v>
      </c>
      <c r="F66" s="544">
        <f>COUNTIFS(EXPEDIENTES!$F:$F,E66,EXPEDIENTES!$B:$B,"&gt;=19/06/2023",EXPEDIENTES!$B:$B,"&lt;=15/07/2023",EXPEDIENTES!$R:$R,"&lt;&gt;Suspendida")</f>
        <v>0</v>
      </c>
      <c r="G66" s="544">
        <f>COUNTIFS(EXPEDIENTES!$F:$F,E66,EXPEDIENTES!$B:$B,"&gt;=16/07/2023",EXPEDIENTES!$B:$B,"&lt;=14/11/2023",EXPEDIENTES!$R:$R,"&lt;&gt;Suspendida")</f>
        <v>63</v>
      </c>
      <c r="H66" s="687">
        <f>COUNTIFS(EXPEDIENTES!$F:$F,E66,EXPEDIENTES!$B:$B,"&gt;=15/11/2023",EXPEDIENTES!$B:$B,"&lt;=15/02/2024",EXPEDIENTES!$R:$R,"&lt;&gt;Suspendida")</f>
        <v>78</v>
      </c>
      <c r="I66" s="544">
        <f>COUNTIFS(EXPEDIENTES!$F:$F,E66,EXPEDIENTES!$B:$B,"&gt;=16/02/2024",EXPEDIENTES!$B:$B,"&lt;=15/06/2024",EXPEDIENTES!$R:$R,"&lt;&gt;Suspendida")</f>
        <v>86</v>
      </c>
      <c r="J66" s="548">
        <f>SUM(F66:I66)</f>
        <v>227</v>
      </c>
      <c r="K66" s="689">
        <f>AVERAGE(F66:I66)</f>
        <v>56.75</v>
      </c>
    </row>
    <row r="67" spans="5:11" ht="15" customHeight="1">
      <c r="E67" s="50"/>
      <c r="I67" s="691" t="s">
        <v>7478</v>
      </c>
      <c r="J67" s="671"/>
      <c r="K67" s="643" t="s">
        <v>7424</v>
      </c>
    </row>
    <row r="68" spans="5:11" ht="15" customHeight="1">
      <c r="I68" s="691" t="s">
        <v>7479</v>
      </c>
      <c r="J68" s="593">
        <v>0</v>
      </c>
    </row>
    <row r="69" spans="5:11" ht="15" customHeight="1">
      <c r="I69" s="691" t="s">
        <v>7235</v>
      </c>
      <c r="J69" s="690">
        <f>0-J66</f>
        <v>-227</v>
      </c>
    </row>
    <row r="70" spans="5:11" ht="15" customHeight="1">
      <c r="I70" s="691" t="s">
        <v>7480</v>
      </c>
      <c r="J70" s="671"/>
    </row>
    <row r="71" spans="5:11" ht="15" customHeight="1">
      <c r="I71" s="691" t="s">
        <v>7476</v>
      </c>
      <c r="J71" s="671">
        <f>[3]ESTA_DISTI_K!$E$10+[3]ESTA_DISTI_K!$E$24</f>
        <v>106</v>
      </c>
    </row>
    <row r="72" spans="5:11" ht="15" customHeight="1">
      <c r="I72" s="691" t="s">
        <v>7477</v>
      </c>
      <c r="J72" s="593">
        <f>[3]ESTA_DISTI_K!$F$10+[3]ESTA_DISTI_K!$F$24</f>
        <v>20</v>
      </c>
    </row>
    <row r="73" spans="5:11" ht="15" customHeight="1">
      <c r="J73" s="50"/>
    </row>
    <row r="74" spans="5:11" ht="15" customHeight="1">
      <c r="E74" s="50"/>
      <c r="F74" s="716" t="s">
        <v>7412</v>
      </c>
      <c r="G74" s="717"/>
      <c r="H74" s="717"/>
      <c r="I74" s="718"/>
      <c r="J74" s="540"/>
      <c r="K74" s="50"/>
    </row>
    <row r="75" spans="5:11" ht="15" customHeight="1">
      <c r="E75" s="546"/>
      <c r="F75" s="544" t="s">
        <v>7413</v>
      </c>
      <c r="G75" s="544" t="s">
        <v>6716</v>
      </c>
      <c r="H75" s="687" t="s">
        <v>6717</v>
      </c>
      <c r="I75" s="544" t="s">
        <v>6718</v>
      </c>
      <c r="J75" s="548" t="s">
        <v>370</v>
      </c>
      <c r="K75" s="688" t="s">
        <v>7422</v>
      </c>
    </row>
    <row r="76" spans="5:11" ht="15" customHeight="1">
      <c r="E76" s="546">
        <v>6</v>
      </c>
      <c r="F76" s="544">
        <f>COUNTIFS(EXPEDIENTES!$F:$F,E76,EXPEDIENTES!$B:$B,"&gt;=19/06/2023",EXPEDIENTES!$B:$B,"&lt;=30/07/2023",EXPEDIENTES!$R:$R,"&lt;&gt;Suspendida")</f>
        <v>1</v>
      </c>
      <c r="G76" s="544">
        <f>COUNTIFS(EXPEDIENTES!$F:$F,E76,EXPEDIENTES!$B:$B,"&gt;=01/08/2023",EXPEDIENTES!$B:$B,"&lt;=30/11/2023",EXPEDIENTES!$R:$R,"&lt;&gt;Suspendida")</f>
        <v>56</v>
      </c>
      <c r="H76" s="687">
        <f>COUNTIFS(EXPEDIENTES!$F:$F,E76,EXPEDIENTES!$B:$B,"&gt;=01/12/2023",EXPEDIENTES!$B:$B,"&lt;=29/02/2024",EXPEDIENTES!$R:$R,"&lt;&gt;Suspendida")</f>
        <v>57</v>
      </c>
      <c r="I76" s="544">
        <f>COUNTIFS(EXPEDIENTES!$F:$F,E76,EXPEDIENTES!$B:$B,"&gt;=01/03/2024",EXPEDIENTES!$B:$B,"&lt;=30/06/2024",EXPEDIENTES!$R:$R,"&lt;&gt;Suspendida")</f>
        <v>62</v>
      </c>
      <c r="J76" s="548">
        <f>SUM(F76:I76)</f>
        <v>176</v>
      </c>
      <c r="K76" s="689">
        <f>AVERAGE(F76:I76)</f>
        <v>44</v>
      </c>
    </row>
    <row r="77" spans="5:11" ht="15" customHeight="1">
      <c r="E77" s="50"/>
      <c r="I77" s="691" t="s">
        <v>7478</v>
      </c>
      <c r="J77" s="671">
        <f ca="1">'Exp por Jueces'!C64</f>
        <v>73</v>
      </c>
      <c r="K77" s="643" t="s">
        <v>7424</v>
      </c>
    </row>
    <row r="78" spans="5:11" ht="15" customHeight="1">
      <c r="I78" s="691" t="s">
        <v>7479</v>
      </c>
      <c r="J78" s="593">
        <f ca="1">COUNTIFS(EXPEDIENTES!J:J,"Dra. Espeche",EXPEDIENTES!O:O,"SI",EXPEDIENTES!R:R,"&lt;&gt;Suspendida")</f>
        <v>68</v>
      </c>
    </row>
    <row r="79" spans="5:11" ht="15" customHeight="1">
      <c r="I79" s="691" t="s">
        <v>7235</v>
      </c>
      <c r="J79" s="593">
        <f ca="1">J78-J76</f>
        <v>-108</v>
      </c>
    </row>
    <row r="80" spans="5:11" ht="15" customHeight="1">
      <c r="I80" s="691" t="s">
        <v>7480</v>
      </c>
      <c r="J80" s="671">
        <f ca="1">J77-J78</f>
        <v>5</v>
      </c>
    </row>
    <row r="81" spans="5:11" ht="15" customHeight="1">
      <c r="I81" s="691" t="s">
        <v>7476</v>
      </c>
      <c r="J81" s="671">
        <f>[3]ESTA_DISTI_K!$E$11+[3]ESTA_DISTI_K!$E$25</f>
        <v>186</v>
      </c>
    </row>
    <row r="82" spans="5:11" ht="15" customHeight="1">
      <c r="I82" s="691" t="s">
        <v>7477</v>
      </c>
      <c r="J82" s="593">
        <f>[3]ESTA_DISTI_K!$F$11+[3]ESTA_DISTI_K!$F$25</f>
        <v>27</v>
      </c>
    </row>
    <row r="83" spans="5:11" ht="15" customHeight="1">
      <c r="J83" s="50"/>
    </row>
    <row r="84" spans="5:11" ht="15" customHeight="1">
      <c r="E84" s="50"/>
      <c r="F84" s="726" t="s">
        <v>7411</v>
      </c>
      <c r="G84" s="727"/>
      <c r="H84" s="727"/>
      <c r="I84" s="728"/>
      <c r="J84" s="540"/>
      <c r="K84" s="50"/>
    </row>
    <row r="85" spans="5:11" ht="15" customHeight="1">
      <c r="E85" s="546"/>
      <c r="F85" s="544" t="s">
        <v>7413</v>
      </c>
      <c r="G85" s="544" t="s">
        <v>6719</v>
      </c>
      <c r="H85" s="687" t="s">
        <v>6720</v>
      </c>
      <c r="I85" s="544" t="s">
        <v>6721</v>
      </c>
      <c r="J85" s="548" t="s">
        <v>370</v>
      </c>
      <c r="K85" s="688" t="s">
        <v>7422</v>
      </c>
    </row>
    <row r="86" spans="5:11" ht="15" customHeight="1">
      <c r="E86" s="546">
        <v>7</v>
      </c>
      <c r="F86" s="544">
        <f>COUNTIFS(EXPEDIENTES!$F:$F,E86,EXPEDIENTES!$B:$B,"&gt;=19/06/2023",EXPEDIENTES!$B:$B,"&lt;=15/08/2023",EXPEDIENTES!$R:$R,"&lt;&gt;Suspendida")</f>
        <v>5</v>
      </c>
      <c r="G86" s="544">
        <f>COUNTIFS(EXPEDIENTES!$F:$F,E86,EXPEDIENTES!$B:$B,"&gt;=16/08/2023",EXPEDIENTES!$B:$B,"&lt;=14/12/2023",EXPEDIENTES!$R:$R,"&lt;&gt;Suspendida")</f>
        <v>88</v>
      </c>
      <c r="H86" s="687">
        <f>COUNTIFS(EXPEDIENTES!$F:$F,E86,EXPEDIENTES!$B:$B,"&gt;=16/12/2023",EXPEDIENTES!$B:$B,"&lt;=15/03/2024",EXPEDIENTES!$R:$R,"&lt;&gt;Suspendida")</f>
        <v>93</v>
      </c>
      <c r="I86" s="544">
        <f>COUNTIFS(EXPEDIENTES!$F:$F,E86,EXPEDIENTES!$B:$B,"&gt;=16/03/2024",EXPEDIENTES!$B:$B,"&lt;=15/07/2024",EXPEDIENTES!$R:$R,"&lt;&gt;Suspendida")</f>
        <v>79</v>
      </c>
      <c r="J86" s="548">
        <f>SUM(F86:I86)</f>
        <v>265</v>
      </c>
      <c r="K86" s="689">
        <f>AVERAGE(F86:I86)</f>
        <v>66.25</v>
      </c>
    </row>
    <row r="87" spans="5:11" ht="15" customHeight="1">
      <c r="E87" s="50"/>
      <c r="I87" s="691" t="s">
        <v>7478</v>
      </c>
      <c r="J87" s="671">
        <f ca="1">'Exp por Jueces'!C65</f>
        <v>223</v>
      </c>
      <c r="K87" s="643" t="s">
        <v>7426</v>
      </c>
    </row>
    <row r="88" spans="5:11" ht="15" customHeight="1">
      <c r="I88" s="691" t="s">
        <v>7479</v>
      </c>
      <c r="J88" s="593">
        <f ca="1">COUNTIFS(EXPEDIENTES!J:J,"Dr. Zerdan",EXPEDIENTES!O:O,"SI",EXPEDIENTES!R:R,"&lt;&gt;Suspendida")</f>
        <v>206</v>
      </c>
    </row>
    <row r="89" spans="5:11" ht="15" customHeight="1">
      <c r="I89" s="691" t="s">
        <v>7235</v>
      </c>
      <c r="J89" s="593">
        <f ca="1">J88-J86</f>
        <v>-59</v>
      </c>
    </row>
    <row r="90" spans="5:11" ht="15" customHeight="1">
      <c r="I90" s="691" t="s">
        <v>7480</v>
      </c>
      <c r="J90" s="671">
        <f ca="1">J87-J88</f>
        <v>17</v>
      </c>
    </row>
    <row r="91" spans="5:11" ht="15" customHeight="1">
      <c r="I91" s="691" t="s">
        <v>7476</v>
      </c>
      <c r="J91" s="671">
        <f>[3]ESTA_DISTI_K!$E$12+[3]ESTA_DISTI_K!$E$26</f>
        <v>120</v>
      </c>
    </row>
    <row r="92" spans="5:11" ht="15" customHeight="1">
      <c r="I92" s="691" t="s">
        <v>7477</v>
      </c>
      <c r="J92" s="593">
        <f>[3]ESTA_DISTI_K!$F$12+[3]ESTA_DISTI_K!$F$26</f>
        <v>30</v>
      </c>
    </row>
    <row r="93" spans="5:11" ht="15" customHeight="1">
      <c r="J93" s="50"/>
    </row>
    <row r="94" spans="5:11" ht="15" customHeight="1">
      <c r="E94" s="50"/>
      <c r="F94" s="716" t="s">
        <v>6727</v>
      </c>
      <c r="G94" s="717"/>
      <c r="H94" s="717"/>
      <c r="I94" s="718"/>
      <c r="J94" s="540"/>
      <c r="K94" s="50"/>
    </row>
    <row r="95" spans="5:11" ht="15" customHeight="1">
      <c r="E95" s="546"/>
      <c r="F95" s="544" t="s">
        <v>7413</v>
      </c>
      <c r="G95" s="544" t="s">
        <v>6722</v>
      </c>
      <c r="H95" s="687" t="s">
        <v>6723</v>
      </c>
      <c r="I95" s="544" t="s">
        <v>7407</v>
      </c>
      <c r="J95" s="548" t="s">
        <v>370</v>
      </c>
      <c r="K95" s="688" t="s">
        <v>7422</v>
      </c>
    </row>
    <row r="96" spans="5:11" ht="15" customHeight="1">
      <c r="E96" s="546">
        <v>8</v>
      </c>
      <c r="F96" s="544">
        <f>COUNTIFS(EXPEDIENTES!$F:$F,E96,EXPEDIENTES!$B:$B,"&gt;=15/02/2023",EXPEDIENTES!$B:$B,"&lt;=30/04/2023",EXPEDIENTES!$R:$R,"&lt;&gt;Suspendida")</f>
        <v>0</v>
      </c>
      <c r="G96" s="544">
        <f>COUNTIFS(EXPEDIENTES!$F:$F,E96,EXPEDIENTES!$B:$B,"&gt;=01/05/2023",EXPEDIENTES!$B:$B,"&lt;=31/08/2023",EXPEDIENTES!$R:$R,"&lt;&gt;Suspendida")</f>
        <v>63</v>
      </c>
      <c r="H96" s="687">
        <f>COUNTIFS(EXPEDIENTES!$F:$F,E96,EXPEDIENTES!$B:$B,"&gt;=01/09/2023",EXPEDIENTES!$B:$B,"&lt;=31/03/2024",EXPEDIENTES!$R:$R,"&lt;&gt;Suspendida")</f>
        <v>99</v>
      </c>
      <c r="I96" s="544">
        <f>COUNTIFS(EXPEDIENTES!$F:$F,E96,EXPEDIENTES!$B:$B,"&gt;=01/04/2024",EXPEDIENTES!$B:$B,"&lt;=31/07/2024",EXPEDIENTES!$R:$R,"&lt;&gt;Suspendida")</f>
        <v>77</v>
      </c>
      <c r="J96" s="548">
        <f>SUM(F96:I96)</f>
        <v>239</v>
      </c>
      <c r="K96" s="689">
        <f>AVERAGE(F96:I96)</f>
        <v>59.75</v>
      </c>
    </row>
    <row r="97" spans="6:11" ht="15" customHeight="1">
      <c r="I97" s="691" t="s">
        <v>7478</v>
      </c>
      <c r="J97" s="671">
        <f ca="1">'Exp por Jueces'!C62</f>
        <v>280</v>
      </c>
      <c r="K97" s="643" t="s">
        <v>7424</v>
      </c>
    </row>
    <row r="98" spans="6:11" ht="15" customHeight="1">
      <c r="I98" s="691" t="s">
        <v>7479</v>
      </c>
      <c r="J98" s="593">
        <f ca="1">COUNTIFS(EXPEDIENTES!J:J,"Dra. Puertas",EXPEDIENTES!O:O,"SI",EXPEDIENTES!R:R,"&lt;&gt;Suspendida")</f>
        <v>254</v>
      </c>
    </row>
    <row r="99" spans="6:11" ht="15" customHeight="1">
      <c r="I99" s="691" t="s">
        <v>7235</v>
      </c>
      <c r="J99" s="593">
        <f ca="1">J98-J96</f>
        <v>15</v>
      </c>
    </row>
    <row r="100" spans="6:11" ht="15" customHeight="1">
      <c r="I100" s="691" t="s">
        <v>7480</v>
      </c>
      <c r="J100" s="671">
        <f ca="1">J97-J98</f>
        <v>26</v>
      </c>
    </row>
    <row r="101" spans="6:11" ht="15" customHeight="1">
      <c r="I101" s="691" t="s">
        <v>7476</v>
      </c>
      <c r="J101" s="671">
        <f>[3]ESTA_DISTI_K!$E$13+[3]ESTA_DISTI_K!$E$27</f>
        <v>7</v>
      </c>
    </row>
    <row r="102" spans="6:11" ht="15" customHeight="1">
      <c r="I102" s="691" t="s">
        <v>7477</v>
      </c>
      <c r="J102" s="593">
        <f>[3]ESTA_DISTI_K!$F$13+[3]ESTA_DISTI_K!$F$27</f>
        <v>1</v>
      </c>
    </row>
    <row r="103" spans="6:11" ht="15" customHeight="1">
      <c r="J103" s="50"/>
    </row>
    <row r="104" spans="6:11" ht="15" customHeight="1">
      <c r="F104" s="732" t="s">
        <v>7485</v>
      </c>
      <c r="G104" s="732"/>
      <c r="I104" s="682" t="s">
        <v>7481</v>
      </c>
      <c r="J104" s="641">
        <f>SUM(J26,J96,J86,J76,J66,J56,J46,J36)</f>
        <v>1954</v>
      </c>
    </row>
    <row r="105" spans="6:11" ht="15" customHeight="1">
      <c r="F105" s="685" t="s">
        <v>7478</v>
      </c>
      <c r="G105" s="686">
        <f ca="1">'Exp por Jueces'!F69+'Exp por Jueces'!I60</f>
        <v>399</v>
      </c>
      <c r="I105" s="691" t="s">
        <v>7482</v>
      </c>
      <c r="J105" s="593">
        <f ca="1">SUM(J98,J88,J78,J58,J48,J38,J28)</f>
        <v>1468</v>
      </c>
    </row>
    <row r="106" spans="6:11" ht="15" customHeight="1">
      <c r="F106" s="685" t="s">
        <v>7479</v>
      </c>
      <c r="G106" s="686">
        <f ca="1">ESTADISTICAS!G105-('Graficos Estadisticos'!AP71-(ESTADISTICAS!J100+ESTADISTICAS!J90+ESTADISTICAS!J80+ESTADISTICAS!J60+ESTADISTICAS!J50+ESTADISTICAS!J40+ESTADISTICAS!J30))</f>
        <v>376</v>
      </c>
      <c r="I106" s="692" t="s">
        <v>7483</v>
      </c>
      <c r="J106" s="593">
        <f>SUM(J101,J91,J81,J71,J61,J51,J41,J31,)</f>
        <v>997</v>
      </c>
    </row>
    <row r="107" spans="6:11" ht="15" customHeight="1">
      <c r="F107" s="685" t="s">
        <v>7480</v>
      </c>
      <c r="G107" s="686">
        <f ca="1">G105-G106</f>
        <v>23</v>
      </c>
      <c r="I107" s="692" t="s">
        <v>7484</v>
      </c>
      <c r="J107" s="593">
        <f>SUM(J102,J92,J82,J72,J62,J52,J42,J32)</f>
        <v>191</v>
      </c>
    </row>
    <row r="108" spans="6:11" ht="15" customHeight="1">
      <c r="I108" s="691" t="s">
        <v>7487</v>
      </c>
      <c r="J108" s="593">
        <f ca="1">-SUM(J99,J89,J79,J59,J49,J39,J29,J69)</f>
        <v>486</v>
      </c>
      <c r="K108" s="684" t="s">
        <v>7488</v>
      </c>
    </row>
    <row r="109" spans="6:11" ht="15" customHeight="1">
      <c r="I109" s="691" t="s">
        <v>7486</v>
      </c>
      <c r="J109" s="593">
        <f ca="1">-SUM(J99,J89,J79,J59,J49,J39,J29,J69)-G106+COUNTIF(EXPEDIENTES!$H:$H,TODAY())</f>
        <v>122</v>
      </c>
    </row>
    <row r="110" spans="6:11" ht="15" customHeight="1"/>
    <row r="112" spans="6:11">
      <c r="I112" s="683"/>
    </row>
    <row r="115" spans="1:6">
      <c r="B115" s="10" t="s">
        <v>7490</v>
      </c>
      <c r="C115" s="10" t="s">
        <v>7491</v>
      </c>
      <c r="D115" s="10" t="s">
        <v>7492</v>
      </c>
      <c r="E115" s="10" t="s">
        <v>7493</v>
      </c>
      <c r="F115" s="10" t="s">
        <v>7494</v>
      </c>
    </row>
    <row r="116" spans="1:6">
      <c r="A116" s="10" t="s">
        <v>1341</v>
      </c>
      <c r="B116" s="90">
        <f>K26</f>
        <v>49.333333333333336</v>
      </c>
      <c r="C116">
        <f>J26</f>
        <v>148</v>
      </c>
      <c r="D116">
        <f ca="1">J28</f>
        <v>186</v>
      </c>
      <c r="E116">
        <f>J31</f>
        <v>64</v>
      </c>
      <c r="F116">
        <f>J32</f>
        <v>32</v>
      </c>
    </row>
    <row r="117" spans="1:6">
      <c r="A117" s="10" t="s">
        <v>1512</v>
      </c>
      <c r="B117" s="90">
        <f>K36</f>
        <v>57</v>
      </c>
      <c r="C117">
        <f>J36</f>
        <v>228</v>
      </c>
      <c r="D117">
        <f ca="1">J38</f>
        <v>264</v>
      </c>
      <c r="E117">
        <f>J41</f>
        <v>132</v>
      </c>
      <c r="F117">
        <f>J42</f>
        <v>26</v>
      </c>
    </row>
    <row r="118" spans="1:6">
      <c r="A118" s="10" t="s">
        <v>1321</v>
      </c>
      <c r="B118" s="90">
        <f>K56</f>
        <v>82.25</v>
      </c>
      <c r="C118">
        <f>J46</f>
        <v>342</v>
      </c>
      <c r="D118">
        <f ca="1">J48</f>
        <v>228</v>
      </c>
      <c r="E118">
        <f>J51</f>
        <v>175</v>
      </c>
      <c r="F118">
        <f>J52</f>
        <v>24</v>
      </c>
    </row>
    <row r="119" spans="1:6">
      <c r="A119" s="10" t="s">
        <v>2285</v>
      </c>
      <c r="B119" s="90">
        <f>K56</f>
        <v>82.25</v>
      </c>
      <c r="C119">
        <f>J56</f>
        <v>329</v>
      </c>
      <c r="D119">
        <f ca="1">J58</f>
        <v>262</v>
      </c>
      <c r="E119">
        <f>J61</f>
        <v>207</v>
      </c>
      <c r="F119">
        <f>J62</f>
        <v>31</v>
      </c>
    </row>
    <row r="120" spans="1:6">
      <c r="A120" s="10" t="s">
        <v>1916</v>
      </c>
      <c r="B120" s="90">
        <f>K66</f>
        <v>56.75</v>
      </c>
      <c r="C120">
        <f>J66</f>
        <v>227</v>
      </c>
      <c r="D120">
        <f>J68</f>
        <v>0</v>
      </c>
      <c r="E120">
        <f>J71</f>
        <v>106</v>
      </c>
      <c r="F120">
        <f>J72</f>
        <v>20</v>
      </c>
    </row>
    <row r="121" spans="1:6">
      <c r="A121" s="10" t="s">
        <v>2375</v>
      </c>
      <c r="B121" s="90">
        <f>K76</f>
        <v>44</v>
      </c>
      <c r="C121">
        <f>J76</f>
        <v>176</v>
      </c>
      <c r="D121">
        <f ca="1">J78</f>
        <v>68</v>
      </c>
      <c r="E121">
        <f>J81</f>
        <v>186</v>
      </c>
      <c r="F121">
        <f>J82</f>
        <v>27</v>
      </c>
    </row>
    <row r="122" spans="1:6">
      <c r="A122" s="10" t="s">
        <v>4118</v>
      </c>
      <c r="B122" s="90">
        <f>K86</f>
        <v>66.25</v>
      </c>
      <c r="C122">
        <f>J86</f>
        <v>265</v>
      </c>
      <c r="D122">
        <f ca="1">J88</f>
        <v>206</v>
      </c>
      <c r="E122">
        <f>J91</f>
        <v>120</v>
      </c>
      <c r="F122">
        <f>J92</f>
        <v>30</v>
      </c>
    </row>
    <row r="123" spans="1:6">
      <c r="A123" s="10" t="s">
        <v>2324</v>
      </c>
      <c r="B123" s="90">
        <f>K96</f>
        <v>59.75</v>
      </c>
      <c r="C123">
        <f>J96</f>
        <v>239</v>
      </c>
      <c r="D123">
        <f ca="1">J98</f>
        <v>254</v>
      </c>
      <c r="E123">
        <f>J101</f>
        <v>7</v>
      </c>
      <c r="F123">
        <f>J102</f>
        <v>1</v>
      </c>
    </row>
  </sheetData>
  <mergeCells count="21">
    <mergeCell ref="F64:I64"/>
    <mergeCell ref="F74:I74"/>
    <mergeCell ref="F84:I84"/>
    <mergeCell ref="F94:I94"/>
    <mergeCell ref="F104:G104"/>
    <mergeCell ref="D9:H10"/>
    <mergeCell ref="T14:V14"/>
    <mergeCell ref="T29:U29"/>
    <mergeCell ref="T46:U46"/>
    <mergeCell ref="T12:V12"/>
    <mergeCell ref="F44:I44"/>
    <mergeCell ref="F24:I24"/>
    <mergeCell ref="M10:M11"/>
    <mergeCell ref="N10:N11"/>
    <mergeCell ref="F34:I34"/>
    <mergeCell ref="T58:U58"/>
    <mergeCell ref="T52:U52"/>
    <mergeCell ref="T54:U54"/>
    <mergeCell ref="T56:U56"/>
    <mergeCell ref="D11:E11"/>
    <mergeCell ref="F54:I54"/>
  </mergeCells>
  <conditionalFormatting sqref="J39 J29 J49 J59 J79 J89 J99">
    <cfRule type="colorScale" priority="1">
      <colorScale>
        <cfvo type="num" val="-1"/>
        <cfvo type="formula" val="$J$26:$J$102&gt;=0"/>
        <color rgb="FFFF0000"/>
        <color rgb="FF00B050"/>
      </colorScale>
    </cfRule>
  </conditionalFormatting>
  <pageMargins left="0.70866141732283472" right="0.70866141732283472" top="0.74803149606299213" bottom="0.74803149606299213" header="0.31496062992125984" footer="0.31496062992125984"/>
  <pageSetup paperSize="5" orientation="portrait" horizontalDpi="4294967294" verticalDpi="4294967294" r:id="rId1"/>
  <drawing r:id="rId2"/>
</worksheet>
</file>

<file path=xl/worksheets/sheet4.xml><?xml version="1.0" encoding="utf-8"?>
<worksheet xmlns="http://schemas.openxmlformats.org/spreadsheetml/2006/main" xmlns:r="http://schemas.openxmlformats.org/officeDocument/2006/relationships">
  <sheetPr codeName="Hoja20"/>
  <dimension ref="A5:T1192"/>
  <sheetViews>
    <sheetView workbookViewId="0">
      <selection activeCell="E9" sqref="E9"/>
    </sheetView>
  </sheetViews>
  <sheetFormatPr baseColWidth="10" defaultRowHeight="13.2"/>
  <cols>
    <col min="1" max="1" width="25" customWidth="1"/>
    <col min="2" max="2" width="17.6640625" customWidth="1"/>
    <col min="3" max="3" width="1.88671875" customWidth="1"/>
    <col min="4" max="4" width="26.33203125" customWidth="1"/>
    <col min="5" max="5" width="17.6640625" customWidth="1"/>
    <col min="6" max="6" width="2.109375" customWidth="1"/>
    <col min="7" max="7" width="26.33203125" customWidth="1"/>
    <col min="8" max="8" width="17.6640625" customWidth="1"/>
    <col min="9" max="9" width="2.33203125" customWidth="1"/>
    <col min="10" max="10" width="26.33203125" customWidth="1"/>
    <col min="11" max="11" width="17.6640625" customWidth="1"/>
    <col min="12" max="12" width="3" customWidth="1"/>
    <col min="13" max="13" width="26.33203125" customWidth="1"/>
    <col min="14" max="14" width="17.88671875" bestFit="1" customWidth="1"/>
    <col min="15" max="15" width="2.6640625" customWidth="1"/>
    <col min="16" max="16" width="26.33203125" bestFit="1" customWidth="1"/>
    <col min="17" max="17" width="9.44140625" bestFit="1" customWidth="1"/>
  </cols>
  <sheetData>
    <row r="5" spans="1:19">
      <c r="A5" s="612" t="s">
        <v>5</v>
      </c>
      <c r="B5" s="613">
        <v>45407</v>
      </c>
      <c r="D5" s="103" t="s">
        <v>5</v>
      </c>
      <c r="E5" s="175">
        <v>45408</v>
      </c>
      <c r="G5" s="103" t="s">
        <v>5</v>
      </c>
      <c r="H5" s="175">
        <v>45411</v>
      </c>
      <c r="J5" s="103" t="s">
        <v>5</v>
      </c>
      <c r="K5" s="175">
        <v>45412</v>
      </c>
      <c r="L5" s="175"/>
      <c r="M5" s="103" t="s">
        <v>5</v>
      </c>
      <c r="N5" s="175">
        <v>45394</v>
      </c>
      <c r="P5" s="103" t="s">
        <v>5</v>
      </c>
      <c r="Q5" t="s">
        <v>5707</v>
      </c>
      <c r="S5" s="10" t="s">
        <v>3643</v>
      </c>
    </row>
    <row r="6" spans="1:19">
      <c r="A6" s="10"/>
      <c r="B6" s="10"/>
      <c r="H6" s="10" t="s">
        <v>6127</v>
      </c>
      <c r="K6" t="s">
        <v>6127</v>
      </c>
      <c r="N6" t="s">
        <v>6127</v>
      </c>
      <c r="S6" s="10" t="s">
        <v>3644</v>
      </c>
    </row>
    <row r="7" spans="1:19" ht="13.8">
      <c r="A7" s="617" t="s">
        <v>1476</v>
      </c>
      <c r="D7" s="103" t="s">
        <v>1476</v>
      </c>
      <c r="G7" s="103" t="s">
        <v>1476</v>
      </c>
      <c r="H7" s="10" t="s">
        <v>2815</v>
      </c>
      <c r="J7" s="103" t="s">
        <v>1476</v>
      </c>
      <c r="K7" t="s">
        <v>2815</v>
      </c>
      <c r="M7" s="103" t="s">
        <v>1476</v>
      </c>
      <c r="N7" t="s">
        <v>1614</v>
      </c>
      <c r="P7" s="103" t="s">
        <v>1476</v>
      </c>
      <c r="S7" s="10" t="s">
        <v>3645</v>
      </c>
    </row>
    <row r="8" spans="1:19" ht="13.8">
      <c r="A8" s="611" t="s">
        <v>31</v>
      </c>
      <c r="B8" s="10"/>
      <c r="D8" s="611" t="s">
        <v>31</v>
      </c>
      <c r="E8" s="10"/>
      <c r="G8" s="611" t="s">
        <v>31</v>
      </c>
      <c r="J8" s="611" t="s">
        <v>31</v>
      </c>
      <c r="M8" s="611" t="s">
        <v>35</v>
      </c>
      <c r="P8" s="611" t="s">
        <v>31</v>
      </c>
    </row>
    <row r="9" spans="1:19">
      <c r="A9" s="615" t="s">
        <v>1433</v>
      </c>
      <c r="D9" s="104" t="s">
        <v>2766</v>
      </c>
      <c r="G9" s="104" t="s">
        <v>568</v>
      </c>
      <c r="J9" s="104" t="s">
        <v>2815</v>
      </c>
      <c r="M9" s="104" t="s">
        <v>3871</v>
      </c>
      <c r="P9" s="104" t="s">
        <v>29</v>
      </c>
      <c r="S9" s="10" t="s">
        <v>3646</v>
      </c>
    </row>
    <row r="10" spans="1:19">
      <c r="A10" s="616" t="s">
        <v>76</v>
      </c>
      <c r="D10" s="105" t="s">
        <v>76</v>
      </c>
      <c r="G10" s="105" t="s">
        <v>73</v>
      </c>
      <c r="J10" s="105" t="s">
        <v>73</v>
      </c>
      <c r="M10" s="105" t="s">
        <v>686</v>
      </c>
      <c r="P10" s="105" t="s">
        <v>73</v>
      </c>
      <c r="S10" s="10" t="s">
        <v>3647</v>
      </c>
    </row>
    <row r="11" spans="1:19">
      <c r="A11" s="615" t="s">
        <v>3791</v>
      </c>
      <c r="D11" s="104" t="s">
        <v>3324</v>
      </c>
      <c r="G11" s="104" t="s">
        <v>1433</v>
      </c>
      <c r="J11" s="104" t="s">
        <v>3791</v>
      </c>
      <c r="M11" s="18" t="s">
        <v>33</v>
      </c>
      <c r="P11" s="105" t="s">
        <v>686</v>
      </c>
    </row>
    <row r="12" spans="1:19">
      <c r="A12" s="616" t="s">
        <v>73</v>
      </c>
      <c r="D12" s="105" t="s">
        <v>73</v>
      </c>
      <c r="G12" s="105" t="s">
        <v>76</v>
      </c>
      <c r="J12" s="105" t="s">
        <v>76</v>
      </c>
      <c r="M12" s="104" t="s">
        <v>29</v>
      </c>
      <c r="P12" s="105" t="s">
        <v>1083</v>
      </c>
      <c r="S12" s="10" t="s">
        <v>3648</v>
      </c>
    </row>
    <row r="13" spans="1:19" ht="13.8">
      <c r="A13" s="611" t="s">
        <v>35</v>
      </c>
      <c r="B13" s="295"/>
      <c r="D13" s="611" t="s">
        <v>35</v>
      </c>
      <c r="E13" s="295"/>
      <c r="G13" s="611" t="s">
        <v>35</v>
      </c>
      <c r="H13" s="295"/>
      <c r="J13" s="611" t="s">
        <v>35</v>
      </c>
      <c r="K13" s="295"/>
      <c r="L13" s="295"/>
      <c r="M13" s="105" t="s">
        <v>75</v>
      </c>
      <c r="N13" s="295"/>
      <c r="P13" s="105" t="s">
        <v>76</v>
      </c>
      <c r="Q13" s="295"/>
      <c r="S13" s="10" t="s">
        <v>3649</v>
      </c>
    </row>
    <row r="14" spans="1:19">
      <c r="A14" s="615" t="s">
        <v>2766</v>
      </c>
      <c r="B14" s="372"/>
      <c r="D14" s="104" t="s">
        <v>1433</v>
      </c>
      <c r="E14" s="295"/>
      <c r="G14" s="104" t="s">
        <v>29</v>
      </c>
      <c r="H14" s="295"/>
      <c r="J14" s="104" t="s">
        <v>1435</v>
      </c>
      <c r="K14" s="295"/>
      <c r="L14" s="295"/>
      <c r="M14" s="104" t="s">
        <v>568</v>
      </c>
      <c r="N14" s="295"/>
      <c r="P14" s="105" t="s">
        <v>77</v>
      </c>
      <c r="Q14" s="295"/>
    </row>
    <row r="15" spans="1:19">
      <c r="A15" s="616" t="s">
        <v>73</v>
      </c>
      <c r="B15" s="372"/>
      <c r="D15" s="105" t="s">
        <v>76</v>
      </c>
      <c r="E15" s="295"/>
      <c r="G15" s="105" t="s">
        <v>73</v>
      </c>
      <c r="H15" s="295"/>
      <c r="J15" s="105" t="s">
        <v>76</v>
      </c>
      <c r="K15" s="295"/>
      <c r="L15" s="295"/>
      <c r="M15" s="105" t="s">
        <v>77</v>
      </c>
      <c r="N15" s="295"/>
      <c r="P15" s="105" t="s">
        <v>228</v>
      </c>
      <c r="Q15" s="295"/>
      <c r="S15" s="10" t="s">
        <v>3650</v>
      </c>
    </row>
    <row r="16" spans="1:19">
      <c r="A16" s="615" t="s">
        <v>2815</v>
      </c>
      <c r="B16" s="372" t="s">
        <v>3013</v>
      </c>
      <c r="D16" s="104" t="s">
        <v>5710</v>
      </c>
      <c r="E16" s="295" t="s">
        <v>3013</v>
      </c>
      <c r="G16" s="104" t="s">
        <v>2766</v>
      </c>
      <c r="H16" s="295" t="s">
        <v>3013</v>
      </c>
      <c r="J16" s="18" t="s">
        <v>33</v>
      </c>
      <c r="K16" s="295" t="s">
        <v>3013</v>
      </c>
      <c r="L16" s="295"/>
      <c r="M16" s="18" t="s">
        <v>1216</v>
      </c>
      <c r="N16" s="295" t="s">
        <v>3013</v>
      </c>
      <c r="P16" s="105" t="s">
        <v>3171</v>
      </c>
      <c r="Q16" s="295" t="s">
        <v>3013</v>
      </c>
      <c r="S16" s="10" t="s">
        <v>3651</v>
      </c>
    </row>
    <row r="17" spans="1:20">
      <c r="A17" s="616" t="s">
        <v>75</v>
      </c>
      <c r="B17" s="372" t="s">
        <v>3012</v>
      </c>
      <c r="D17" s="105" t="s">
        <v>73</v>
      </c>
      <c r="E17" s="295" t="s">
        <v>3012</v>
      </c>
      <c r="G17" s="105" t="s">
        <v>76</v>
      </c>
      <c r="H17" s="295" t="s">
        <v>3012</v>
      </c>
      <c r="J17" s="104" t="s">
        <v>29</v>
      </c>
      <c r="K17" s="295" t="s">
        <v>3012</v>
      </c>
      <c r="L17" s="295"/>
      <c r="M17" s="104" t="s">
        <v>1434</v>
      </c>
      <c r="N17" s="295" t="s">
        <v>3012</v>
      </c>
      <c r="P17" s="104" t="s">
        <v>34</v>
      </c>
      <c r="Q17" s="295" t="s">
        <v>3012</v>
      </c>
    </row>
    <row r="18" spans="1:20">
      <c r="A18" s="614" t="s">
        <v>33</v>
      </c>
      <c r="B18" s="372" t="s">
        <v>3011</v>
      </c>
      <c r="D18" s="18" t="s">
        <v>33</v>
      </c>
      <c r="E18" s="295" t="s">
        <v>3011</v>
      </c>
      <c r="G18" s="18" t="s">
        <v>33</v>
      </c>
      <c r="H18" s="295" t="s">
        <v>3011</v>
      </c>
      <c r="J18" s="105" t="s">
        <v>73</v>
      </c>
      <c r="K18" s="295" t="s">
        <v>3011</v>
      </c>
      <c r="L18" s="295"/>
      <c r="M18" s="105" t="s">
        <v>76</v>
      </c>
      <c r="N18" s="295" t="s">
        <v>3011</v>
      </c>
      <c r="P18" s="105" t="s">
        <v>73</v>
      </c>
      <c r="Q18" s="295" t="s">
        <v>3011</v>
      </c>
      <c r="S18" s="10" t="s">
        <v>3652</v>
      </c>
    </row>
    <row r="19" spans="1:20">
      <c r="A19" s="615" t="s">
        <v>1435</v>
      </c>
      <c r="B19" s="372" t="s">
        <v>3016</v>
      </c>
      <c r="D19" s="104" t="s">
        <v>568</v>
      </c>
      <c r="E19" s="295" t="s">
        <v>3016</v>
      </c>
      <c r="G19" s="104" t="s">
        <v>283</v>
      </c>
      <c r="H19" s="295" t="s">
        <v>3016</v>
      </c>
      <c r="J19" s="104" t="s">
        <v>5710</v>
      </c>
      <c r="K19" s="295" t="s">
        <v>3016</v>
      </c>
      <c r="L19" s="295"/>
      <c r="M19" s="104" t="s">
        <v>1433</v>
      </c>
      <c r="N19" s="295" t="s">
        <v>3016</v>
      </c>
      <c r="P19" s="105" t="s">
        <v>76</v>
      </c>
      <c r="Q19" s="295" t="s">
        <v>3016</v>
      </c>
      <c r="S19" s="10" t="s">
        <v>743</v>
      </c>
    </row>
    <row r="20" spans="1:20">
      <c r="A20" s="616" t="s">
        <v>73</v>
      </c>
      <c r="B20" s="372" t="s">
        <v>3017</v>
      </c>
      <c r="D20" s="105" t="s">
        <v>73</v>
      </c>
      <c r="E20" s="295" t="s">
        <v>3017</v>
      </c>
      <c r="G20" s="105" t="s">
        <v>228</v>
      </c>
      <c r="H20" s="295" t="s">
        <v>3017</v>
      </c>
      <c r="J20" s="105" t="s">
        <v>76</v>
      </c>
      <c r="K20" s="295" t="s">
        <v>3017</v>
      </c>
      <c r="L20" s="295"/>
      <c r="M20" s="105" t="s">
        <v>75</v>
      </c>
      <c r="N20" s="295" t="s">
        <v>3017</v>
      </c>
      <c r="P20" s="105" t="s">
        <v>75</v>
      </c>
      <c r="Q20" s="295" t="s">
        <v>3017</v>
      </c>
    </row>
    <row r="21" spans="1:20">
      <c r="A21" s="615" t="s">
        <v>568</v>
      </c>
      <c r="B21" s="372" t="s">
        <v>3019</v>
      </c>
      <c r="D21" s="18" t="s">
        <v>1217</v>
      </c>
      <c r="E21" s="295" t="s">
        <v>3019</v>
      </c>
      <c r="G21" s="104" t="s">
        <v>5709</v>
      </c>
      <c r="H21" s="295" t="s">
        <v>3019</v>
      </c>
      <c r="J21" s="18" t="s">
        <v>1217</v>
      </c>
      <c r="K21" s="295" t="s">
        <v>3019</v>
      </c>
      <c r="L21" s="295"/>
      <c r="M21" s="18" t="s">
        <v>1221</v>
      </c>
      <c r="N21" s="295" t="s">
        <v>3019</v>
      </c>
      <c r="P21" s="105" t="s">
        <v>228</v>
      </c>
      <c r="Q21" s="295" t="s">
        <v>3019</v>
      </c>
    </row>
    <row r="22" spans="1:20">
      <c r="A22" s="616" t="s">
        <v>76</v>
      </c>
      <c r="B22" s="372" t="s">
        <v>3021</v>
      </c>
      <c r="D22" s="104" t="s">
        <v>3323</v>
      </c>
      <c r="E22" s="295" t="s">
        <v>3021</v>
      </c>
      <c r="G22" s="105" t="s">
        <v>77</v>
      </c>
      <c r="H22" s="295" t="s">
        <v>3021</v>
      </c>
      <c r="J22" s="104" t="s">
        <v>568</v>
      </c>
      <c r="K22" s="295" t="s">
        <v>3021</v>
      </c>
      <c r="L22" s="295"/>
      <c r="M22" s="104" t="s">
        <v>283</v>
      </c>
      <c r="N22" s="295" t="s">
        <v>3021</v>
      </c>
      <c r="P22" s="104" t="s">
        <v>1435</v>
      </c>
      <c r="Q22" s="295" t="s">
        <v>3021</v>
      </c>
    </row>
    <row r="23" spans="1:20">
      <c r="A23" s="614" t="s">
        <v>1217</v>
      </c>
      <c r="B23" s="372" t="s">
        <v>3022</v>
      </c>
      <c r="D23" s="105" t="s">
        <v>73</v>
      </c>
      <c r="E23" s="295" t="s">
        <v>3022</v>
      </c>
      <c r="G23" s="18" t="s">
        <v>1217</v>
      </c>
      <c r="H23" s="295" t="s">
        <v>3022</v>
      </c>
      <c r="J23" s="105" t="s">
        <v>73</v>
      </c>
      <c r="K23" s="295" t="s">
        <v>3022</v>
      </c>
      <c r="L23" s="295"/>
      <c r="M23" s="105" t="s">
        <v>77</v>
      </c>
      <c r="N23" s="295" t="s">
        <v>3022</v>
      </c>
      <c r="P23" s="105" t="s">
        <v>73</v>
      </c>
      <c r="Q23" s="295" t="s">
        <v>3022</v>
      </c>
    </row>
    <row r="24" spans="1:20">
      <c r="A24" s="615" t="s">
        <v>3324</v>
      </c>
      <c r="B24" s="372" t="s">
        <v>3380</v>
      </c>
      <c r="D24" s="104" t="s">
        <v>3791</v>
      </c>
      <c r="E24" s="295" t="s">
        <v>3380</v>
      </c>
      <c r="G24" s="104" t="s">
        <v>1434</v>
      </c>
      <c r="H24" s="295" t="s">
        <v>3380</v>
      </c>
      <c r="J24" s="104" t="s">
        <v>2766</v>
      </c>
      <c r="K24" s="295" t="s">
        <v>3380</v>
      </c>
      <c r="M24" s="104" t="s">
        <v>2766</v>
      </c>
      <c r="N24" s="295" t="s">
        <v>3380</v>
      </c>
      <c r="P24" s="105" t="s">
        <v>1083</v>
      </c>
      <c r="Q24" s="295" t="s">
        <v>3380</v>
      </c>
    </row>
    <row r="25" spans="1:20">
      <c r="A25" s="616" t="s">
        <v>76</v>
      </c>
      <c r="B25" s="372" t="s">
        <v>3369</v>
      </c>
      <c r="D25" s="105" t="s">
        <v>77</v>
      </c>
      <c r="E25" s="295" t="s">
        <v>3369</v>
      </c>
      <c r="G25" s="105" t="s">
        <v>73</v>
      </c>
      <c r="H25" s="295" t="s">
        <v>3369</v>
      </c>
      <c r="J25" s="105" t="s">
        <v>76</v>
      </c>
      <c r="K25" s="295" t="s">
        <v>3369</v>
      </c>
      <c r="M25" s="105" t="s">
        <v>749</v>
      </c>
      <c r="N25" s="295" t="s">
        <v>3369</v>
      </c>
      <c r="P25" s="105" t="s">
        <v>76</v>
      </c>
      <c r="Q25" s="295" t="s">
        <v>3369</v>
      </c>
    </row>
    <row r="26" spans="1:20">
      <c r="A26" s="614" t="s">
        <v>78</v>
      </c>
      <c r="B26" s="372" t="s">
        <v>4420</v>
      </c>
      <c r="D26" s="18" t="s">
        <v>78</v>
      </c>
      <c r="E26" s="295" t="s">
        <v>4420</v>
      </c>
      <c r="G26" s="18" t="s">
        <v>78</v>
      </c>
      <c r="H26" s="295" t="s">
        <v>4420</v>
      </c>
      <c r="J26" s="18" t="s">
        <v>78</v>
      </c>
      <c r="K26" s="295" t="s">
        <v>4420</v>
      </c>
      <c r="M26" s="104" t="s">
        <v>5710</v>
      </c>
      <c r="N26" s="295" t="s">
        <v>4420</v>
      </c>
      <c r="P26" s="105" t="s">
        <v>1442</v>
      </c>
      <c r="Q26" s="295" t="s">
        <v>4420</v>
      </c>
      <c r="T26" s="10" t="s">
        <v>5092</v>
      </c>
    </row>
    <row r="27" spans="1:20">
      <c r="A27" s="615" t="s">
        <v>29</v>
      </c>
      <c r="B27" s="372" t="s">
        <v>3014</v>
      </c>
      <c r="D27" s="104" t="s">
        <v>283</v>
      </c>
      <c r="E27" s="372" t="s">
        <v>3014</v>
      </c>
      <c r="G27" s="104" t="s">
        <v>1435</v>
      </c>
      <c r="H27" s="372" t="s">
        <v>3014</v>
      </c>
      <c r="J27" s="104" t="s">
        <v>1433</v>
      </c>
      <c r="K27" s="372" t="s">
        <v>3014</v>
      </c>
      <c r="M27" s="105" t="s">
        <v>76</v>
      </c>
      <c r="N27" s="372" t="s">
        <v>3014</v>
      </c>
      <c r="P27" s="105" t="s">
        <v>547</v>
      </c>
      <c r="Q27" s="372" t="s">
        <v>3014</v>
      </c>
      <c r="S27" s="295" t="s">
        <v>3015</v>
      </c>
      <c r="T27" s="295" t="s">
        <v>4420</v>
      </c>
    </row>
    <row r="28" spans="1:20">
      <c r="A28" s="616" t="s">
        <v>73</v>
      </c>
      <c r="B28" s="372" t="s">
        <v>5826</v>
      </c>
      <c r="D28" s="105" t="s">
        <v>228</v>
      </c>
      <c r="E28" s="372" t="s">
        <v>5826</v>
      </c>
      <c r="G28" s="105" t="s">
        <v>73</v>
      </c>
      <c r="H28" s="372" t="s">
        <v>5826</v>
      </c>
      <c r="J28" s="105" t="s">
        <v>75</v>
      </c>
      <c r="K28" s="372" t="s">
        <v>5826</v>
      </c>
      <c r="M28" s="18" t="s">
        <v>4931</v>
      </c>
      <c r="N28" s="295" t="s">
        <v>5825</v>
      </c>
      <c r="P28" s="105" t="s">
        <v>77</v>
      </c>
      <c r="Q28" s="295" t="s">
        <v>5825</v>
      </c>
      <c r="S28" s="295" t="s">
        <v>3014</v>
      </c>
      <c r="T28" s="418" t="s">
        <v>3012</v>
      </c>
    </row>
    <row r="29" spans="1:20">
      <c r="A29" s="614" t="s">
        <v>1221</v>
      </c>
      <c r="B29" s="372"/>
      <c r="D29" s="104" t="s">
        <v>2815</v>
      </c>
      <c r="E29" s="295"/>
      <c r="G29" s="104" t="s">
        <v>3323</v>
      </c>
      <c r="H29" s="295"/>
      <c r="J29" s="104" t="s">
        <v>3324</v>
      </c>
      <c r="K29" s="295"/>
      <c r="M29" s="104" t="s">
        <v>3324</v>
      </c>
      <c r="N29" s="295" t="s">
        <v>5826</v>
      </c>
      <c r="P29" s="104" t="s">
        <v>32</v>
      </c>
      <c r="Q29" s="295" t="s">
        <v>5826</v>
      </c>
      <c r="S29" s="295" t="s">
        <v>3013</v>
      </c>
      <c r="T29" s="418" t="s">
        <v>5093</v>
      </c>
    </row>
    <row r="30" spans="1:20">
      <c r="A30" s="615" t="s">
        <v>5710</v>
      </c>
      <c r="D30" s="105" t="s">
        <v>75</v>
      </c>
      <c r="G30" s="105" t="s">
        <v>76</v>
      </c>
      <c r="J30" s="105" t="s">
        <v>76</v>
      </c>
      <c r="K30" s="295"/>
      <c r="M30" s="105" t="s">
        <v>73</v>
      </c>
      <c r="P30" s="105" t="s">
        <v>360</v>
      </c>
      <c r="S30" s="295" t="s">
        <v>3012</v>
      </c>
      <c r="T30" s="418" t="s">
        <v>5094</v>
      </c>
    </row>
    <row r="31" spans="1:20">
      <c r="A31" s="616" t="s">
        <v>749</v>
      </c>
      <c r="D31" s="104" t="s">
        <v>5710</v>
      </c>
      <c r="G31" s="18" t="s">
        <v>1221</v>
      </c>
      <c r="J31" s="18" t="s">
        <v>1221</v>
      </c>
      <c r="M31" s="18" t="s">
        <v>4746</v>
      </c>
      <c r="P31" s="105" t="s">
        <v>73</v>
      </c>
      <c r="S31" s="295" t="s">
        <v>3011</v>
      </c>
      <c r="T31" s="418" t="s">
        <v>5095</v>
      </c>
    </row>
    <row r="32" spans="1:20">
      <c r="A32" s="614" t="s">
        <v>1477</v>
      </c>
      <c r="D32" s="105" t="s">
        <v>73</v>
      </c>
      <c r="G32" s="104" t="s">
        <v>3791</v>
      </c>
      <c r="J32" s="104" t="s">
        <v>2752</v>
      </c>
      <c r="M32" s="104" t="s">
        <v>3323</v>
      </c>
      <c r="P32" s="105" t="s">
        <v>686</v>
      </c>
      <c r="S32" s="295" t="s">
        <v>3016</v>
      </c>
      <c r="T32" s="418" t="s">
        <v>5096</v>
      </c>
    </row>
    <row r="33" spans="4:20">
      <c r="D33" s="18" t="s">
        <v>1221</v>
      </c>
      <c r="G33" s="105" t="s">
        <v>75</v>
      </c>
      <c r="J33" s="105" t="s">
        <v>73</v>
      </c>
      <c r="M33" s="105" t="s">
        <v>73</v>
      </c>
      <c r="P33" s="105" t="s">
        <v>76</v>
      </c>
      <c r="S33" s="295" t="s">
        <v>3017</v>
      </c>
      <c r="T33" s="418" t="s">
        <v>3015</v>
      </c>
    </row>
    <row r="34" spans="4:20">
      <c r="D34" s="104" t="s">
        <v>1435</v>
      </c>
      <c r="G34" s="18" t="s">
        <v>1477</v>
      </c>
      <c r="J34" s="104" t="s">
        <v>3323</v>
      </c>
      <c r="M34" s="18" t="s">
        <v>4932</v>
      </c>
      <c r="P34" s="105" t="s">
        <v>1442</v>
      </c>
      <c r="S34" s="295" t="s">
        <v>3018</v>
      </c>
      <c r="T34" s="418" t="s">
        <v>5097</v>
      </c>
    </row>
    <row r="35" spans="4:20">
      <c r="D35" s="105" t="s">
        <v>749</v>
      </c>
      <c r="J35" s="105" t="s">
        <v>75</v>
      </c>
      <c r="M35" s="104" t="s">
        <v>1435</v>
      </c>
      <c r="P35" s="104" t="s">
        <v>568</v>
      </c>
      <c r="S35" s="295" t="s">
        <v>3019</v>
      </c>
      <c r="T35" s="418" t="s">
        <v>1434</v>
      </c>
    </row>
    <row r="36" spans="4:20">
      <c r="D36" s="18" t="s">
        <v>1477</v>
      </c>
      <c r="J36" s="18" t="s">
        <v>1477</v>
      </c>
      <c r="M36" s="105" t="s">
        <v>73</v>
      </c>
      <c r="P36" s="105" t="s">
        <v>73</v>
      </c>
      <c r="S36" s="295" t="s">
        <v>3020</v>
      </c>
    </row>
    <row r="37" spans="4:20">
      <c r="M37" s="18" t="s">
        <v>1477</v>
      </c>
      <c r="P37" s="105" t="s">
        <v>1083</v>
      </c>
      <c r="S37" s="295" t="s">
        <v>3021</v>
      </c>
    </row>
    <row r="38" spans="4:20">
      <c r="P38" s="105" t="s">
        <v>76</v>
      </c>
      <c r="S38" s="295" t="s">
        <v>3022</v>
      </c>
    </row>
    <row r="39" spans="4:20">
      <c r="P39" s="105" t="s">
        <v>547</v>
      </c>
      <c r="S39" s="295" t="s">
        <v>3380</v>
      </c>
    </row>
    <row r="40" spans="4:20">
      <c r="P40" s="105" t="s">
        <v>987</v>
      </c>
      <c r="S40" s="295" t="s">
        <v>3369</v>
      </c>
    </row>
    <row r="41" spans="4:20">
      <c r="P41" s="105" t="s">
        <v>2011</v>
      </c>
    </row>
    <row r="42" spans="4:20">
      <c r="P42" s="104" t="s">
        <v>43</v>
      </c>
    </row>
    <row r="43" spans="4:20">
      <c r="P43" s="105" t="s">
        <v>73</v>
      </c>
    </row>
    <row r="44" spans="4:20">
      <c r="P44" s="105" t="s">
        <v>686</v>
      </c>
    </row>
    <row r="45" spans="4:20">
      <c r="P45" s="105" t="s">
        <v>1083</v>
      </c>
    </row>
    <row r="46" spans="4:20">
      <c r="P46" s="105" t="s">
        <v>76</v>
      </c>
    </row>
    <row r="47" spans="4:20">
      <c r="P47" s="104" t="s">
        <v>283</v>
      </c>
    </row>
    <row r="48" spans="4:20">
      <c r="P48" s="105" t="s">
        <v>73</v>
      </c>
    </row>
    <row r="49" spans="16:16">
      <c r="P49" s="105" t="s">
        <v>1083</v>
      </c>
    </row>
    <row r="50" spans="16:16">
      <c r="P50" s="105" t="s">
        <v>76</v>
      </c>
    </row>
    <row r="51" spans="16:16">
      <c r="P51" s="105" t="s">
        <v>1206</v>
      </c>
    </row>
    <row r="52" spans="16:16">
      <c r="P52" s="105" t="s">
        <v>1442</v>
      </c>
    </row>
    <row r="53" spans="16:16">
      <c r="P53" s="105" t="s">
        <v>75</v>
      </c>
    </row>
    <row r="54" spans="16:16">
      <c r="P54" s="105" t="s">
        <v>547</v>
      </c>
    </row>
    <row r="55" spans="16:16">
      <c r="P55" s="105" t="s">
        <v>1146</v>
      </c>
    </row>
    <row r="56" spans="16:16">
      <c r="P56" s="104" t="s">
        <v>1434</v>
      </c>
    </row>
    <row r="57" spans="16:16">
      <c r="P57" s="105" t="s">
        <v>73</v>
      </c>
    </row>
    <row r="58" spans="16:16">
      <c r="P58" s="105" t="s">
        <v>1083</v>
      </c>
    </row>
    <row r="59" spans="16:16">
      <c r="P59" s="105" t="s">
        <v>76</v>
      </c>
    </row>
    <row r="60" spans="16:16">
      <c r="P60" s="105" t="s">
        <v>1206</v>
      </c>
    </row>
    <row r="61" spans="16:16">
      <c r="P61" s="105" t="s">
        <v>75</v>
      </c>
    </row>
    <row r="62" spans="16:16">
      <c r="P62" s="105" t="s">
        <v>547</v>
      </c>
    </row>
    <row r="63" spans="16:16">
      <c r="P63" s="105" t="s">
        <v>987</v>
      </c>
    </row>
    <row r="64" spans="16:16">
      <c r="P64" s="105" t="s">
        <v>228</v>
      </c>
    </row>
    <row r="65" spans="16:16">
      <c r="P65" s="105" t="s">
        <v>3171</v>
      </c>
    </row>
    <row r="66" spans="16:16">
      <c r="P66" s="104" t="s">
        <v>1433</v>
      </c>
    </row>
    <row r="67" spans="16:16">
      <c r="P67" s="105" t="s">
        <v>73</v>
      </c>
    </row>
    <row r="68" spans="16:16">
      <c r="P68" s="105" t="s">
        <v>1083</v>
      </c>
    </row>
    <row r="69" spans="16:16">
      <c r="P69" s="105" t="s">
        <v>76</v>
      </c>
    </row>
    <row r="70" spans="16:16">
      <c r="P70" s="105" t="s">
        <v>1206</v>
      </c>
    </row>
    <row r="71" spans="16:16">
      <c r="P71" s="105" t="s">
        <v>1442</v>
      </c>
    </row>
    <row r="72" spans="16:16">
      <c r="P72" s="105" t="s">
        <v>547</v>
      </c>
    </row>
    <row r="73" spans="16:16">
      <c r="P73" s="105" t="s">
        <v>77</v>
      </c>
    </row>
    <row r="74" spans="16:16">
      <c r="P74" s="105" t="s">
        <v>987</v>
      </c>
    </row>
    <row r="75" spans="16:16">
      <c r="P75" s="105" t="s">
        <v>1146</v>
      </c>
    </row>
    <row r="76" spans="16:16">
      <c r="P76" s="105" t="s">
        <v>228</v>
      </c>
    </row>
    <row r="77" spans="16:16">
      <c r="P77" s="105" t="s">
        <v>2011</v>
      </c>
    </row>
    <row r="78" spans="16:16">
      <c r="P78" s="105" t="s">
        <v>3171</v>
      </c>
    </row>
    <row r="79" spans="16:16">
      <c r="P79" s="104" t="s">
        <v>1654</v>
      </c>
    </row>
    <row r="80" spans="16:16">
      <c r="P80" s="105" t="s">
        <v>76</v>
      </c>
    </row>
    <row r="81" spans="16:16">
      <c r="P81" s="104" t="s">
        <v>1733</v>
      </c>
    </row>
    <row r="82" spans="16:16">
      <c r="P82" s="105" t="s">
        <v>1442</v>
      </c>
    </row>
    <row r="83" spans="16:16">
      <c r="P83" s="105" t="s">
        <v>547</v>
      </c>
    </row>
    <row r="84" spans="16:16">
      <c r="P84" s="104" t="s">
        <v>2766</v>
      </c>
    </row>
    <row r="85" spans="16:16">
      <c r="P85" s="105" t="s">
        <v>73</v>
      </c>
    </row>
    <row r="86" spans="16:16">
      <c r="P86" s="105" t="s">
        <v>1083</v>
      </c>
    </row>
    <row r="87" spans="16:16">
      <c r="P87" s="105" t="s">
        <v>76</v>
      </c>
    </row>
    <row r="88" spans="16:16">
      <c r="P88" s="104" t="s">
        <v>2753</v>
      </c>
    </row>
    <row r="89" spans="16:16">
      <c r="P89" s="105" t="s">
        <v>73</v>
      </c>
    </row>
    <row r="90" spans="16:16">
      <c r="P90" s="105" t="s">
        <v>228</v>
      </c>
    </row>
    <row r="91" spans="16:16">
      <c r="P91" s="105" t="s">
        <v>1601</v>
      </c>
    </row>
    <row r="92" spans="16:16">
      <c r="P92" s="104" t="s">
        <v>2751</v>
      </c>
    </row>
    <row r="93" spans="16:16">
      <c r="P93" s="105" t="s">
        <v>3171</v>
      </c>
    </row>
    <row r="94" spans="16:16">
      <c r="P94" s="104" t="s">
        <v>2752</v>
      </c>
    </row>
    <row r="95" spans="16:16">
      <c r="P95" s="105" t="s">
        <v>73</v>
      </c>
    </row>
    <row r="96" spans="16:16">
      <c r="P96" s="105" t="s">
        <v>1083</v>
      </c>
    </row>
    <row r="97" spans="16:16">
      <c r="P97" s="105" t="s">
        <v>75</v>
      </c>
    </row>
    <row r="98" spans="16:16">
      <c r="P98" s="105" t="s">
        <v>987</v>
      </c>
    </row>
    <row r="99" spans="16:16">
      <c r="P99" s="104" t="s">
        <v>2815</v>
      </c>
    </row>
    <row r="100" spans="16:16">
      <c r="P100" s="105" t="s">
        <v>73</v>
      </c>
    </row>
    <row r="101" spans="16:16">
      <c r="P101" s="105" t="s">
        <v>1083</v>
      </c>
    </row>
    <row r="102" spans="16:16">
      <c r="P102" s="105" t="s">
        <v>1206</v>
      </c>
    </row>
    <row r="103" spans="16:16">
      <c r="P103" s="105" t="s">
        <v>77</v>
      </c>
    </row>
    <row r="104" spans="16:16">
      <c r="P104" s="105" t="s">
        <v>228</v>
      </c>
    </row>
    <row r="105" spans="16:16">
      <c r="P105" s="104" t="s">
        <v>3323</v>
      </c>
    </row>
    <row r="106" spans="16:16">
      <c r="P106" s="105" t="s">
        <v>73</v>
      </c>
    </row>
    <row r="107" spans="16:16">
      <c r="P107" s="105" t="s">
        <v>1083</v>
      </c>
    </row>
    <row r="108" spans="16:16">
      <c r="P108" s="105" t="s">
        <v>1206</v>
      </c>
    </row>
    <row r="109" spans="16:16">
      <c r="P109" s="105" t="s">
        <v>987</v>
      </c>
    </row>
    <row r="110" spans="16:16">
      <c r="P110" s="105" t="s">
        <v>228</v>
      </c>
    </row>
    <row r="111" spans="16:16">
      <c r="P111" s="105" t="s">
        <v>997</v>
      </c>
    </row>
    <row r="112" spans="16:16">
      <c r="P112" s="104" t="s">
        <v>3324</v>
      </c>
    </row>
    <row r="113" spans="16:16">
      <c r="P113" s="105" t="s">
        <v>73</v>
      </c>
    </row>
    <row r="114" spans="16:16">
      <c r="P114" s="105" t="s">
        <v>1083</v>
      </c>
    </row>
    <row r="115" spans="16:16">
      <c r="P115" s="105" t="s">
        <v>76</v>
      </c>
    </row>
    <row r="116" spans="16:16">
      <c r="P116" s="105" t="s">
        <v>1206</v>
      </c>
    </row>
    <row r="117" spans="16:16">
      <c r="P117" s="105" t="s">
        <v>75</v>
      </c>
    </row>
    <row r="118" spans="16:16">
      <c r="P118" s="105" t="s">
        <v>987</v>
      </c>
    </row>
    <row r="119" spans="16:16">
      <c r="P119" s="104" t="s">
        <v>3639</v>
      </c>
    </row>
    <row r="120" spans="16:16">
      <c r="P120" s="105" t="s">
        <v>73</v>
      </c>
    </row>
    <row r="121" spans="16:16">
      <c r="P121" s="105" t="s">
        <v>3171</v>
      </c>
    </row>
    <row r="122" spans="16:16">
      <c r="P122" s="104" t="s">
        <v>3791</v>
      </c>
    </row>
    <row r="123" spans="16:16">
      <c r="P123" s="105" t="s">
        <v>73</v>
      </c>
    </row>
    <row r="124" spans="16:16">
      <c r="P124" s="105" t="s">
        <v>1083</v>
      </c>
    </row>
    <row r="125" spans="16:16">
      <c r="P125" s="105" t="s">
        <v>76</v>
      </c>
    </row>
    <row r="126" spans="16:16">
      <c r="P126" s="105" t="s">
        <v>77</v>
      </c>
    </row>
    <row r="127" spans="16:16">
      <c r="P127" s="105" t="s">
        <v>228</v>
      </c>
    </row>
    <row r="128" spans="16:16">
      <c r="P128" s="105" t="s">
        <v>2011</v>
      </c>
    </row>
    <row r="129" spans="16:16">
      <c r="P129" s="104" t="s">
        <v>4749</v>
      </c>
    </row>
    <row r="130" spans="16:16">
      <c r="P130" s="105" t="s">
        <v>228</v>
      </c>
    </row>
    <row r="131" spans="16:16">
      <c r="P131" s="104" t="s">
        <v>5709</v>
      </c>
    </row>
    <row r="132" spans="16:16">
      <c r="P132" s="105" t="s">
        <v>1083</v>
      </c>
    </row>
    <row r="133" spans="16:16">
      <c r="P133" s="104" t="s">
        <v>5710</v>
      </c>
    </row>
    <row r="134" spans="16:16">
      <c r="P134" s="105" t="s">
        <v>73</v>
      </c>
    </row>
    <row r="135" spans="16:16">
      <c r="P135" s="105" t="s">
        <v>1206</v>
      </c>
    </row>
    <row r="136" spans="16:16">
      <c r="P136" s="18" t="s">
        <v>1218</v>
      </c>
    </row>
    <row r="137" spans="16:16">
      <c r="P137" s="104" t="s">
        <v>29</v>
      </c>
    </row>
    <row r="138" spans="16:16">
      <c r="P138" s="105" t="s">
        <v>73</v>
      </c>
    </row>
    <row r="139" spans="16:16">
      <c r="P139" s="105" t="s">
        <v>1083</v>
      </c>
    </row>
    <row r="140" spans="16:16">
      <c r="P140" s="104" t="s">
        <v>1435</v>
      </c>
    </row>
    <row r="141" spans="16:16">
      <c r="P141" s="105" t="s">
        <v>73</v>
      </c>
    </row>
    <row r="142" spans="16:16">
      <c r="P142" s="105" t="s">
        <v>1083</v>
      </c>
    </row>
    <row r="143" spans="16:16">
      <c r="P143" s="104" t="s">
        <v>32</v>
      </c>
    </row>
    <row r="144" spans="16:16">
      <c r="P144" s="105" t="s">
        <v>73</v>
      </c>
    </row>
    <row r="145" spans="16:16">
      <c r="P145" s="105" t="s">
        <v>1083</v>
      </c>
    </row>
    <row r="146" spans="16:16">
      <c r="P146" s="104" t="s">
        <v>568</v>
      </c>
    </row>
    <row r="147" spans="16:16">
      <c r="P147" s="105" t="s">
        <v>73</v>
      </c>
    </row>
    <row r="148" spans="16:16">
      <c r="P148" s="104" t="s">
        <v>43</v>
      </c>
    </row>
    <row r="149" spans="16:16">
      <c r="P149" s="105" t="s">
        <v>73</v>
      </c>
    </row>
    <row r="150" spans="16:16">
      <c r="P150" s="105" t="s">
        <v>1083</v>
      </c>
    </row>
    <row r="151" spans="16:16">
      <c r="P151" s="104" t="s">
        <v>283</v>
      </c>
    </row>
    <row r="152" spans="16:16">
      <c r="P152" s="105" t="s">
        <v>73</v>
      </c>
    </row>
    <row r="153" spans="16:16">
      <c r="P153" s="105" t="s">
        <v>1083</v>
      </c>
    </row>
    <row r="154" spans="16:16">
      <c r="P154" s="104" t="s">
        <v>1434</v>
      </c>
    </row>
    <row r="155" spans="16:16">
      <c r="P155" s="105" t="s">
        <v>73</v>
      </c>
    </row>
    <row r="156" spans="16:16">
      <c r="P156" s="104" t="s">
        <v>1433</v>
      </c>
    </row>
    <row r="157" spans="16:16">
      <c r="P157" s="105" t="s">
        <v>73</v>
      </c>
    </row>
    <row r="158" spans="16:16">
      <c r="P158" s="105" t="s">
        <v>1083</v>
      </c>
    </row>
    <row r="159" spans="16:16">
      <c r="P159" s="105" t="s">
        <v>749</v>
      </c>
    </row>
    <row r="160" spans="16:16" ht="13.8">
      <c r="P160" s="611" t="s">
        <v>35</v>
      </c>
    </row>
    <row r="161" spans="16:16">
      <c r="P161" s="104" t="s">
        <v>29</v>
      </c>
    </row>
    <row r="162" spans="16:16">
      <c r="P162" s="105" t="s">
        <v>73</v>
      </c>
    </row>
    <row r="163" spans="16:16">
      <c r="P163" s="105" t="s">
        <v>1083</v>
      </c>
    </row>
    <row r="164" spans="16:16">
      <c r="P164" s="105" t="s">
        <v>76</v>
      </c>
    </row>
    <row r="165" spans="16:16">
      <c r="P165" s="105" t="s">
        <v>1206</v>
      </c>
    </row>
    <row r="166" spans="16:16">
      <c r="P166" s="105" t="s">
        <v>75</v>
      </c>
    </row>
    <row r="167" spans="16:16">
      <c r="P167" s="105" t="s">
        <v>547</v>
      </c>
    </row>
    <row r="168" spans="16:16">
      <c r="P168" s="104" t="s">
        <v>34</v>
      </c>
    </row>
    <row r="169" spans="16:16">
      <c r="P169" s="105" t="s">
        <v>73</v>
      </c>
    </row>
    <row r="170" spans="16:16">
      <c r="P170" s="105" t="s">
        <v>686</v>
      </c>
    </row>
    <row r="171" spans="16:16">
      <c r="P171" s="105" t="s">
        <v>76</v>
      </c>
    </row>
    <row r="172" spans="16:16">
      <c r="P172" s="104" t="s">
        <v>1435</v>
      </c>
    </row>
    <row r="173" spans="16:16">
      <c r="P173" s="105" t="s">
        <v>73</v>
      </c>
    </row>
    <row r="174" spans="16:16">
      <c r="P174" s="105" t="s">
        <v>1083</v>
      </c>
    </row>
    <row r="175" spans="16:16">
      <c r="P175" s="105" t="s">
        <v>76</v>
      </c>
    </row>
    <row r="176" spans="16:16">
      <c r="P176" s="105" t="s">
        <v>1554</v>
      </c>
    </row>
    <row r="177" spans="16:16">
      <c r="P177" s="104" t="s">
        <v>32</v>
      </c>
    </row>
    <row r="178" spans="16:16">
      <c r="P178" s="105" t="s">
        <v>73</v>
      </c>
    </row>
    <row r="179" spans="16:16">
      <c r="P179" s="105" t="s">
        <v>1083</v>
      </c>
    </row>
    <row r="180" spans="16:16">
      <c r="P180" s="105" t="s">
        <v>76</v>
      </c>
    </row>
    <row r="181" spans="16:16">
      <c r="P181" s="105" t="s">
        <v>547</v>
      </c>
    </row>
    <row r="182" spans="16:16">
      <c r="P182" s="104" t="s">
        <v>568</v>
      </c>
    </row>
    <row r="183" spans="16:16">
      <c r="P183" s="105" t="s">
        <v>73</v>
      </c>
    </row>
    <row r="184" spans="16:16">
      <c r="P184" s="105" t="s">
        <v>1083</v>
      </c>
    </row>
    <row r="185" spans="16:16">
      <c r="P185" s="105" t="s">
        <v>76</v>
      </c>
    </row>
    <row r="186" spans="16:16">
      <c r="P186" s="105" t="s">
        <v>1442</v>
      </c>
    </row>
    <row r="187" spans="16:16">
      <c r="P187" s="105" t="s">
        <v>547</v>
      </c>
    </row>
    <row r="188" spans="16:16">
      <c r="P188" s="104" t="s">
        <v>43</v>
      </c>
    </row>
    <row r="189" spans="16:16">
      <c r="P189" s="105" t="s">
        <v>73</v>
      </c>
    </row>
    <row r="190" spans="16:16">
      <c r="P190" s="105" t="s">
        <v>686</v>
      </c>
    </row>
    <row r="191" spans="16:16">
      <c r="P191" s="105" t="s">
        <v>1083</v>
      </c>
    </row>
    <row r="192" spans="16:16">
      <c r="P192" s="105" t="s">
        <v>76</v>
      </c>
    </row>
    <row r="193" spans="16:16">
      <c r="P193" s="105" t="s">
        <v>75</v>
      </c>
    </row>
    <row r="194" spans="16:16">
      <c r="P194" s="105" t="s">
        <v>987</v>
      </c>
    </row>
    <row r="195" spans="16:16">
      <c r="P195" s="104" t="s">
        <v>283</v>
      </c>
    </row>
    <row r="196" spans="16:16">
      <c r="P196" s="105" t="s">
        <v>511</v>
      </c>
    </row>
    <row r="197" spans="16:16">
      <c r="P197" s="105" t="s">
        <v>73</v>
      </c>
    </row>
    <row r="198" spans="16:16">
      <c r="P198" s="105" t="s">
        <v>686</v>
      </c>
    </row>
    <row r="199" spans="16:16">
      <c r="P199" s="105" t="s">
        <v>1083</v>
      </c>
    </row>
    <row r="200" spans="16:16">
      <c r="P200" s="105" t="s">
        <v>76</v>
      </c>
    </row>
    <row r="201" spans="16:16">
      <c r="P201" s="105" t="s">
        <v>1442</v>
      </c>
    </row>
    <row r="202" spans="16:16">
      <c r="P202" s="105" t="s">
        <v>228</v>
      </c>
    </row>
    <row r="203" spans="16:16">
      <c r="P203" s="104" t="s">
        <v>1434</v>
      </c>
    </row>
    <row r="204" spans="16:16">
      <c r="P204" s="105" t="s">
        <v>73</v>
      </c>
    </row>
    <row r="205" spans="16:16">
      <c r="P205" s="105" t="s">
        <v>1083</v>
      </c>
    </row>
    <row r="206" spans="16:16">
      <c r="P206" s="105" t="s">
        <v>76</v>
      </c>
    </row>
    <row r="207" spans="16:16">
      <c r="P207" s="105" t="s">
        <v>547</v>
      </c>
    </row>
    <row r="208" spans="16:16">
      <c r="P208" s="105" t="s">
        <v>77</v>
      </c>
    </row>
    <row r="209" spans="16:16">
      <c r="P209" s="104" t="s">
        <v>1433</v>
      </c>
    </row>
    <row r="210" spans="16:16">
      <c r="P210" s="105" t="s">
        <v>73</v>
      </c>
    </row>
    <row r="211" spans="16:16">
      <c r="P211" s="105" t="s">
        <v>686</v>
      </c>
    </row>
    <row r="212" spans="16:16">
      <c r="P212" s="105" t="s">
        <v>1083</v>
      </c>
    </row>
    <row r="213" spans="16:16">
      <c r="P213" s="105" t="s">
        <v>76</v>
      </c>
    </row>
    <row r="214" spans="16:16">
      <c r="P214" s="105" t="s">
        <v>2011</v>
      </c>
    </row>
    <row r="215" spans="16:16">
      <c r="P215" s="104" t="s">
        <v>2766</v>
      </c>
    </row>
    <row r="216" spans="16:16">
      <c r="P216" s="105" t="s">
        <v>73</v>
      </c>
    </row>
    <row r="217" spans="16:16">
      <c r="P217" s="105" t="s">
        <v>686</v>
      </c>
    </row>
    <row r="218" spans="16:16">
      <c r="P218" s="105" t="s">
        <v>1083</v>
      </c>
    </row>
    <row r="219" spans="16:16">
      <c r="P219" s="105" t="s">
        <v>76</v>
      </c>
    </row>
    <row r="220" spans="16:16">
      <c r="P220" s="104" t="s">
        <v>2753</v>
      </c>
    </row>
    <row r="221" spans="16:16">
      <c r="P221" s="105" t="s">
        <v>73</v>
      </c>
    </row>
    <row r="222" spans="16:16">
      <c r="P222" s="104" t="s">
        <v>2751</v>
      </c>
    </row>
    <row r="223" spans="16:16">
      <c r="P223" s="105" t="s">
        <v>1083</v>
      </c>
    </row>
    <row r="224" spans="16:16">
      <c r="P224" s="104" t="s">
        <v>2752</v>
      </c>
    </row>
    <row r="225" spans="16:16">
      <c r="P225" s="105" t="s">
        <v>73</v>
      </c>
    </row>
    <row r="226" spans="16:16">
      <c r="P226" s="105" t="s">
        <v>1083</v>
      </c>
    </row>
    <row r="227" spans="16:16">
      <c r="P227" s="105" t="s">
        <v>76</v>
      </c>
    </row>
    <row r="228" spans="16:16">
      <c r="P228" s="105" t="s">
        <v>228</v>
      </c>
    </row>
    <row r="229" spans="16:16">
      <c r="P229" s="104" t="s">
        <v>2815</v>
      </c>
    </row>
    <row r="230" spans="16:16">
      <c r="P230" s="105" t="s">
        <v>73</v>
      </c>
    </row>
    <row r="231" spans="16:16">
      <c r="P231" s="105" t="s">
        <v>1083</v>
      </c>
    </row>
    <row r="232" spans="16:16">
      <c r="P232" s="105" t="s">
        <v>1206</v>
      </c>
    </row>
    <row r="233" spans="16:16">
      <c r="P233" s="105" t="s">
        <v>75</v>
      </c>
    </row>
    <row r="234" spans="16:16">
      <c r="P234" s="104" t="s">
        <v>3323</v>
      </c>
    </row>
    <row r="235" spans="16:16">
      <c r="P235" s="105" t="s">
        <v>73</v>
      </c>
    </row>
    <row r="236" spans="16:16">
      <c r="P236" s="105" t="s">
        <v>1083</v>
      </c>
    </row>
    <row r="237" spans="16:16">
      <c r="P237" s="105" t="s">
        <v>76</v>
      </c>
    </row>
    <row r="238" spans="16:16">
      <c r="P238" s="105" t="s">
        <v>1206</v>
      </c>
    </row>
    <row r="239" spans="16:16">
      <c r="P239" s="104" t="s">
        <v>3324</v>
      </c>
    </row>
    <row r="240" spans="16:16">
      <c r="P240" s="105" t="s">
        <v>73</v>
      </c>
    </row>
    <row r="241" spans="16:16">
      <c r="P241" s="105" t="s">
        <v>1083</v>
      </c>
    </row>
    <row r="242" spans="16:16">
      <c r="P242" s="105" t="s">
        <v>76</v>
      </c>
    </row>
    <row r="243" spans="16:16">
      <c r="P243" s="105" t="s">
        <v>1206</v>
      </c>
    </row>
    <row r="244" spans="16:16">
      <c r="P244" s="104" t="s">
        <v>3791</v>
      </c>
    </row>
    <row r="245" spans="16:16">
      <c r="P245" s="105" t="s">
        <v>73</v>
      </c>
    </row>
    <row r="246" spans="16:16">
      <c r="P246" s="105" t="s">
        <v>1083</v>
      </c>
    </row>
    <row r="247" spans="16:16">
      <c r="P247" s="104" t="s">
        <v>3871</v>
      </c>
    </row>
    <row r="248" spans="16:16">
      <c r="P248" s="105" t="s">
        <v>686</v>
      </c>
    </row>
    <row r="249" spans="16:16">
      <c r="P249" s="104" t="s">
        <v>5709</v>
      </c>
    </row>
    <row r="250" spans="16:16">
      <c r="P250" s="105" t="s">
        <v>75</v>
      </c>
    </row>
    <row r="251" spans="16:16">
      <c r="P251" s="104" t="s">
        <v>5710</v>
      </c>
    </row>
    <row r="252" spans="16:16">
      <c r="P252" s="105" t="s">
        <v>73</v>
      </c>
    </row>
    <row r="253" spans="16:16">
      <c r="P253" s="105" t="s">
        <v>1083</v>
      </c>
    </row>
    <row r="254" spans="16:16">
      <c r="P254" s="105" t="s">
        <v>76</v>
      </c>
    </row>
    <row r="255" spans="16:16">
      <c r="P255" s="18" t="s">
        <v>33</v>
      </c>
    </row>
    <row r="256" spans="16:16">
      <c r="P256" s="104" t="s">
        <v>29</v>
      </c>
    </row>
    <row r="257" spans="16:16">
      <c r="P257" s="105" t="s">
        <v>73</v>
      </c>
    </row>
    <row r="258" spans="16:16">
      <c r="P258" s="105" t="s">
        <v>686</v>
      </c>
    </row>
    <row r="259" spans="16:16">
      <c r="P259" s="105" t="s">
        <v>76</v>
      </c>
    </row>
    <row r="260" spans="16:16">
      <c r="P260" s="105" t="s">
        <v>75</v>
      </c>
    </row>
    <row r="261" spans="16:16">
      <c r="P261" s="105" t="s">
        <v>547</v>
      </c>
    </row>
    <row r="262" spans="16:16">
      <c r="P262" s="105" t="s">
        <v>228</v>
      </c>
    </row>
    <row r="263" spans="16:16">
      <c r="P263" s="105" t="s">
        <v>2011</v>
      </c>
    </row>
    <row r="264" spans="16:16">
      <c r="P264" s="105" t="s">
        <v>74</v>
      </c>
    </row>
    <row r="265" spans="16:16">
      <c r="P265" s="104" t="s">
        <v>34</v>
      </c>
    </row>
    <row r="266" spans="16:16">
      <c r="P266" s="105" t="s">
        <v>73</v>
      </c>
    </row>
    <row r="267" spans="16:16">
      <c r="P267" s="105" t="s">
        <v>76</v>
      </c>
    </row>
    <row r="268" spans="16:16">
      <c r="P268" s="105" t="s">
        <v>75</v>
      </c>
    </row>
    <row r="269" spans="16:16">
      <c r="P269" s="105" t="s">
        <v>228</v>
      </c>
    </row>
    <row r="270" spans="16:16">
      <c r="P270" s="105" t="s">
        <v>74</v>
      </c>
    </row>
    <row r="271" spans="16:16">
      <c r="P271" s="104" t="s">
        <v>1435</v>
      </c>
    </row>
    <row r="272" spans="16:16">
      <c r="P272" s="105" t="s">
        <v>73</v>
      </c>
    </row>
    <row r="273" spans="16:16">
      <c r="P273" s="105" t="s">
        <v>1083</v>
      </c>
    </row>
    <row r="274" spans="16:16">
      <c r="P274" s="105" t="s">
        <v>1206</v>
      </c>
    </row>
    <row r="275" spans="16:16">
      <c r="P275" s="105" t="s">
        <v>1442</v>
      </c>
    </row>
    <row r="276" spans="16:16">
      <c r="P276" s="105" t="s">
        <v>75</v>
      </c>
    </row>
    <row r="277" spans="16:16">
      <c r="P277" s="105" t="s">
        <v>1755</v>
      </c>
    </row>
    <row r="278" spans="16:16">
      <c r="P278" s="105" t="s">
        <v>77</v>
      </c>
    </row>
    <row r="279" spans="16:16">
      <c r="P279" s="105" t="s">
        <v>1554</v>
      </c>
    </row>
    <row r="280" spans="16:16">
      <c r="P280" s="105" t="s">
        <v>987</v>
      </c>
    </row>
    <row r="281" spans="16:16">
      <c r="P281" s="105" t="s">
        <v>1146</v>
      </c>
    </row>
    <row r="282" spans="16:16">
      <c r="P282" s="105" t="s">
        <v>3171</v>
      </c>
    </row>
    <row r="283" spans="16:16">
      <c r="P283" s="104" t="s">
        <v>32</v>
      </c>
    </row>
    <row r="284" spans="16:16">
      <c r="P284" s="105" t="s">
        <v>73</v>
      </c>
    </row>
    <row r="285" spans="16:16">
      <c r="P285" s="105" t="s">
        <v>686</v>
      </c>
    </row>
    <row r="286" spans="16:16">
      <c r="P286" s="105" t="s">
        <v>1083</v>
      </c>
    </row>
    <row r="287" spans="16:16">
      <c r="P287" s="105" t="s">
        <v>76</v>
      </c>
    </row>
    <row r="288" spans="16:16">
      <c r="P288" s="105" t="s">
        <v>77</v>
      </c>
    </row>
    <row r="289" spans="16:16">
      <c r="P289" s="105" t="s">
        <v>987</v>
      </c>
    </row>
    <row r="290" spans="16:16">
      <c r="P290" s="105" t="s">
        <v>228</v>
      </c>
    </row>
    <row r="291" spans="16:16">
      <c r="P291" s="104" t="s">
        <v>568</v>
      </c>
    </row>
    <row r="292" spans="16:16">
      <c r="P292" s="105" t="s">
        <v>73</v>
      </c>
    </row>
    <row r="293" spans="16:16">
      <c r="P293" s="105" t="s">
        <v>686</v>
      </c>
    </row>
    <row r="294" spans="16:16">
      <c r="P294" s="105" t="s">
        <v>1083</v>
      </c>
    </row>
    <row r="295" spans="16:16">
      <c r="P295" s="105" t="s">
        <v>76</v>
      </c>
    </row>
    <row r="296" spans="16:16">
      <c r="P296" s="105" t="s">
        <v>77</v>
      </c>
    </row>
    <row r="297" spans="16:16">
      <c r="P297" s="105" t="s">
        <v>228</v>
      </c>
    </row>
    <row r="298" spans="16:16">
      <c r="P298" s="105" t="s">
        <v>2011</v>
      </c>
    </row>
    <row r="299" spans="16:16">
      <c r="P299" s="105" t="s">
        <v>3171</v>
      </c>
    </row>
    <row r="300" spans="16:16">
      <c r="P300" s="104" t="s">
        <v>43</v>
      </c>
    </row>
    <row r="301" spans="16:16">
      <c r="P301" s="105" t="s">
        <v>73</v>
      </c>
    </row>
    <row r="302" spans="16:16">
      <c r="P302" s="105" t="s">
        <v>1083</v>
      </c>
    </row>
    <row r="303" spans="16:16">
      <c r="P303" s="105" t="s">
        <v>76</v>
      </c>
    </row>
    <row r="304" spans="16:16">
      <c r="P304" s="105" t="s">
        <v>1206</v>
      </c>
    </row>
    <row r="305" spans="16:16">
      <c r="P305" s="105" t="s">
        <v>75</v>
      </c>
    </row>
    <row r="306" spans="16:16">
      <c r="P306" s="105" t="s">
        <v>547</v>
      </c>
    </row>
    <row r="307" spans="16:16">
      <c r="P307" s="105" t="s">
        <v>77</v>
      </c>
    </row>
    <row r="308" spans="16:16">
      <c r="P308" s="105" t="s">
        <v>2011</v>
      </c>
    </row>
    <row r="309" spans="16:16">
      <c r="P309" s="104" t="s">
        <v>283</v>
      </c>
    </row>
    <row r="310" spans="16:16">
      <c r="P310" s="105" t="s">
        <v>73</v>
      </c>
    </row>
    <row r="311" spans="16:16">
      <c r="P311" s="105" t="s">
        <v>686</v>
      </c>
    </row>
    <row r="312" spans="16:16">
      <c r="P312" s="105" t="s">
        <v>1083</v>
      </c>
    </row>
    <row r="313" spans="16:16">
      <c r="P313" s="105" t="s">
        <v>76</v>
      </c>
    </row>
    <row r="314" spans="16:16">
      <c r="P314" s="105" t="s">
        <v>1206</v>
      </c>
    </row>
    <row r="315" spans="16:16">
      <c r="P315" s="105" t="s">
        <v>75</v>
      </c>
    </row>
    <row r="316" spans="16:16">
      <c r="P316" s="105" t="s">
        <v>547</v>
      </c>
    </row>
    <row r="317" spans="16:16">
      <c r="P317" s="105" t="s">
        <v>77</v>
      </c>
    </row>
    <row r="318" spans="16:16">
      <c r="P318" s="105" t="s">
        <v>228</v>
      </c>
    </row>
    <row r="319" spans="16:16">
      <c r="P319" s="105" t="s">
        <v>3171</v>
      </c>
    </row>
    <row r="320" spans="16:16">
      <c r="P320" s="104" t="s">
        <v>1434</v>
      </c>
    </row>
    <row r="321" spans="16:16">
      <c r="P321" s="105" t="s">
        <v>73</v>
      </c>
    </row>
    <row r="322" spans="16:16">
      <c r="P322" s="105" t="s">
        <v>1083</v>
      </c>
    </row>
    <row r="323" spans="16:16">
      <c r="P323" s="105" t="s">
        <v>1206</v>
      </c>
    </row>
    <row r="324" spans="16:16">
      <c r="P324" s="105" t="s">
        <v>75</v>
      </c>
    </row>
    <row r="325" spans="16:16">
      <c r="P325" s="105" t="s">
        <v>77</v>
      </c>
    </row>
    <row r="326" spans="16:16">
      <c r="P326" s="104" t="s">
        <v>1433</v>
      </c>
    </row>
    <row r="327" spans="16:16">
      <c r="P327" s="105" t="s">
        <v>73</v>
      </c>
    </row>
    <row r="328" spans="16:16">
      <c r="P328" s="105" t="s">
        <v>1083</v>
      </c>
    </row>
    <row r="329" spans="16:16">
      <c r="P329" s="105" t="s">
        <v>76</v>
      </c>
    </row>
    <row r="330" spans="16:16">
      <c r="P330" s="105" t="s">
        <v>75</v>
      </c>
    </row>
    <row r="331" spans="16:16">
      <c r="P331" s="105" t="s">
        <v>1554</v>
      </c>
    </row>
    <row r="332" spans="16:16">
      <c r="P332" s="105" t="s">
        <v>228</v>
      </c>
    </row>
    <row r="333" spans="16:16">
      <c r="P333" s="104" t="s">
        <v>2766</v>
      </c>
    </row>
    <row r="334" spans="16:16">
      <c r="P334" s="105" t="s">
        <v>1083</v>
      </c>
    </row>
    <row r="335" spans="16:16">
      <c r="P335" s="105" t="s">
        <v>1442</v>
      </c>
    </row>
    <row r="336" spans="16:16">
      <c r="P336" s="105" t="s">
        <v>75</v>
      </c>
    </row>
    <row r="337" spans="16:16">
      <c r="P337" s="104" t="s">
        <v>2753</v>
      </c>
    </row>
    <row r="338" spans="16:16">
      <c r="P338" s="105" t="s">
        <v>73</v>
      </c>
    </row>
    <row r="339" spans="16:16">
      <c r="P339" s="105" t="s">
        <v>686</v>
      </c>
    </row>
    <row r="340" spans="16:16">
      <c r="P340" s="105" t="s">
        <v>1083</v>
      </c>
    </row>
    <row r="341" spans="16:16">
      <c r="P341" s="105" t="s">
        <v>75</v>
      </c>
    </row>
    <row r="342" spans="16:16">
      <c r="P342" s="105" t="s">
        <v>987</v>
      </c>
    </row>
    <row r="343" spans="16:16">
      <c r="P343" s="105" t="s">
        <v>228</v>
      </c>
    </row>
    <row r="344" spans="16:16">
      <c r="P344" s="105" t="s">
        <v>2011</v>
      </c>
    </row>
    <row r="345" spans="16:16">
      <c r="P345" s="104" t="s">
        <v>2751</v>
      </c>
    </row>
    <row r="346" spans="16:16">
      <c r="P346" s="105" t="s">
        <v>73</v>
      </c>
    </row>
    <row r="347" spans="16:16">
      <c r="P347" s="105" t="s">
        <v>1083</v>
      </c>
    </row>
    <row r="348" spans="16:16">
      <c r="P348" s="104" t="s">
        <v>2752</v>
      </c>
    </row>
    <row r="349" spans="16:16">
      <c r="P349" s="105" t="s">
        <v>73</v>
      </c>
    </row>
    <row r="350" spans="16:16">
      <c r="P350" s="105" t="s">
        <v>1083</v>
      </c>
    </row>
    <row r="351" spans="16:16">
      <c r="P351" s="105" t="s">
        <v>1206</v>
      </c>
    </row>
    <row r="352" spans="16:16">
      <c r="P352" s="105" t="s">
        <v>77</v>
      </c>
    </row>
    <row r="353" spans="16:16">
      <c r="P353" s="105" t="s">
        <v>3171</v>
      </c>
    </row>
    <row r="354" spans="16:16">
      <c r="P354" s="104" t="s">
        <v>2815</v>
      </c>
    </row>
    <row r="355" spans="16:16">
      <c r="P355" s="105" t="s">
        <v>1083</v>
      </c>
    </row>
    <row r="356" spans="16:16">
      <c r="P356" s="105" t="s">
        <v>1206</v>
      </c>
    </row>
    <row r="357" spans="16:16">
      <c r="P357" s="105" t="s">
        <v>1442</v>
      </c>
    </row>
    <row r="358" spans="16:16">
      <c r="P358" s="105" t="s">
        <v>547</v>
      </c>
    </row>
    <row r="359" spans="16:16">
      <c r="P359" s="105" t="s">
        <v>77</v>
      </c>
    </row>
    <row r="360" spans="16:16">
      <c r="P360" s="105" t="s">
        <v>987</v>
      </c>
    </row>
    <row r="361" spans="16:16">
      <c r="P361" s="104" t="s">
        <v>3323</v>
      </c>
    </row>
    <row r="362" spans="16:16">
      <c r="P362" s="105" t="s">
        <v>73</v>
      </c>
    </row>
    <row r="363" spans="16:16">
      <c r="P363" s="105" t="s">
        <v>1083</v>
      </c>
    </row>
    <row r="364" spans="16:16">
      <c r="P364" s="105" t="s">
        <v>76</v>
      </c>
    </row>
    <row r="365" spans="16:16">
      <c r="P365" s="105" t="s">
        <v>3171</v>
      </c>
    </row>
    <row r="366" spans="16:16">
      <c r="P366" s="104" t="s">
        <v>3324</v>
      </c>
    </row>
    <row r="367" spans="16:16">
      <c r="P367" s="105" t="s">
        <v>686</v>
      </c>
    </row>
    <row r="368" spans="16:16">
      <c r="P368" s="105" t="s">
        <v>75</v>
      </c>
    </row>
    <row r="369" spans="16:16">
      <c r="P369" s="105" t="s">
        <v>1554</v>
      </c>
    </row>
    <row r="370" spans="16:16">
      <c r="P370" s="105" t="s">
        <v>3171</v>
      </c>
    </row>
    <row r="371" spans="16:16">
      <c r="P371" s="104" t="s">
        <v>3639</v>
      </c>
    </row>
    <row r="372" spans="16:16">
      <c r="P372" s="105" t="s">
        <v>1083</v>
      </c>
    </row>
    <row r="373" spans="16:16">
      <c r="P373" s="105" t="s">
        <v>76</v>
      </c>
    </row>
    <row r="374" spans="16:16">
      <c r="P374" s="105" t="s">
        <v>228</v>
      </c>
    </row>
    <row r="375" spans="16:16">
      <c r="P375" s="104" t="s">
        <v>3791</v>
      </c>
    </row>
    <row r="376" spans="16:16">
      <c r="P376" s="105" t="s">
        <v>73</v>
      </c>
    </row>
    <row r="377" spans="16:16">
      <c r="P377" s="105" t="s">
        <v>1083</v>
      </c>
    </row>
    <row r="378" spans="16:16">
      <c r="P378" s="105" t="s">
        <v>76</v>
      </c>
    </row>
    <row r="379" spans="16:16">
      <c r="P379" s="105" t="s">
        <v>1206</v>
      </c>
    </row>
    <row r="380" spans="16:16">
      <c r="P380" s="105" t="s">
        <v>75</v>
      </c>
    </row>
    <row r="381" spans="16:16">
      <c r="P381" s="105" t="s">
        <v>547</v>
      </c>
    </row>
    <row r="382" spans="16:16">
      <c r="P382" s="105" t="s">
        <v>77</v>
      </c>
    </row>
    <row r="383" spans="16:16">
      <c r="P383" s="105" t="s">
        <v>987</v>
      </c>
    </row>
    <row r="384" spans="16:16">
      <c r="P384" s="105" t="s">
        <v>228</v>
      </c>
    </row>
    <row r="385" spans="16:16">
      <c r="P385" s="105" t="s">
        <v>3171</v>
      </c>
    </row>
    <row r="386" spans="16:16">
      <c r="P386" s="104" t="s">
        <v>3871</v>
      </c>
    </row>
    <row r="387" spans="16:16">
      <c r="P387" s="105" t="s">
        <v>73</v>
      </c>
    </row>
    <row r="388" spans="16:16">
      <c r="P388" s="104" t="s">
        <v>5709</v>
      </c>
    </row>
    <row r="389" spans="16:16">
      <c r="P389" s="105" t="s">
        <v>73</v>
      </c>
    </row>
    <row r="390" spans="16:16">
      <c r="P390" s="105" t="s">
        <v>76</v>
      </c>
    </row>
    <row r="391" spans="16:16">
      <c r="P391" s="105" t="s">
        <v>77</v>
      </c>
    </row>
    <row r="392" spans="16:16">
      <c r="P392" s="104" t="s">
        <v>5710</v>
      </c>
    </row>
    <row r="393" spans="16:16">
      <c r="P393" s="105" t="s">
        <v>73</v>
      </c>
    </row>
    <row r="394" spans="16:16">
      <c r="P394" s="105" t="s">
        <v>76</v>
      </c>
    </row>
    <row r="395" spans="16:16">
      <c r="P395" s="105" t="s">
        <v>547</v>
      </c>
    </row>
    <row r="396" spans="16:16">
      <c r="P396" s="105" t="s">
        <v>749</v>
      </c>
    </row>
    <row r="397" spans="16:16">
      <c r="P397" s="18" t="s">
        <v>1217</v>
      </c>
    </row>
    <row r="398" spans="16:16">
      <c r="P398" s="104" t="s">
        <v>29</v>
      </c>
    </row>
    <row r="399" spans="16:16">
      <c r="P399" s="105" t="s">
        <v>73</v>
      </c>
    </row>
    <row r="400" spans="16:16">
      <c r="P400" s="105" t="s">
        <v>1083</v>
      </c>
    </row>
    <row r="401" spans="16:16">
      <c r="P401" s="105" t="s">
        <v>76</v>
      </c>
    </row>
    <row r="402" spans="16:16">
      <c r="P402" s="105" t="s">
        <v>547</v>
      </c>
    </row>
    <row r="403" spans="16:16">
      <c r="P403" s="105" t="s">
        <v>1554</v>
      </c>
    </row>
    <row r="404" spans="16:16">
      <c r="P404" s="105" t="s">
        <v>987</v>
      </c>
    </row>
    <row r="405" spans="16:16">
      <c r="P405" s="104" t="s">
        <v>1435</v>
      </c>
    </row>
    <row r="406" spans="16:16">
      <c r="P406" s="105" t="s">
        <v>73</v>
      </c>
    </row>
    <row r="407" spans="16:16">
      <c r="P407" s="105" t="s">
        <v>1083</v>
      </c>
    </row>
    <row r="408" spans="16:16">
      <c r="P408" s="105" t="s">
        <v>76</v>
      </c>
    </row>
    <row r="409" spans="16:16">
      <c r="P409" s="105" t="s">
        <v>547</v>
      </c>
    </row>
    <row r="410" spans="16:16">
      <c r="P410" s="105" t="s">
        <v>77</v>
      </c>
    </row>
    <row r="411" spans="16:16">
      <c r="P411" s="105" t="s">
        <v>987</v>
      </c>
    </row>
    <row r="412" spans="16:16">
      <c r="P412" s="105" t="s">
        <v>228</v>
      </c>
    </row>
    <row r="413" spans="16:16">
      <c r="P413" s="104" t="s">
        <v>32</v>
      </c>
    </row>
    <row r="414" spans="16:16">
      <c r="P414" s="105" t="s">
        <v>73</v>
      </c>
    </row>
    <row r="415" spans="16:16">
      <c r="P415" s="104" t="s">
        <v>568</v>
      </c>
    </row>
    <row r="416" spans="16:16">
      <c r="P416" s="105" t="s">
        <v>73</v>
      </c>
    </row>
    <row r="417" spans="16:16">
      <c r="P417" s="105" t="s">
        <v>1083</v>
      </c>
    </row>
    <row r="418" spans="16:16">
      <c r="P418" s="105" t="s">
        <v>987</v>
      </c>
    </row>
    <row r="419" spans="16:16">
      <c r="P419" s="105" t="s">
        <v>749</v>
      </c>
    </row>
    <row r="420" spans="16:16">
      <c r="P420" s="104" t="s">
        <v>43</v>
      </c>
    </row>
    <row r="421" spans="16:16">
      <c r="P421" s="105" t="s">
        <v>73</v>
      </c>
    </row>
    <row r="422" spans="16:16">
      <c r="P422" s="105" t="s">
        <v>686</v>
      </c>
    </row>
    <row r="423" spans="16:16">
      <c r="P423" s="105" t="s">
        <v>1083</v>
      </c>
    </row>
    <row r="424" spans="16:16">
      <c r="P424" s="105" t="s">
        <v>2011</v>
      </c>
    </row>
    <row r="425" spans="16:16">
      <c r="P425" s="104" t="s">
        <v>283</v>
      </c>
    </row>
    <row r="426" spans="16:16">
      <c r="P426" s="105" t="s">
        <v>73</v>
      </c>
    </row>
    <row r="427" spans="16:16">
      <c r="P427" s="105" t="s">
        <v>1083</v>
      </c>
    </row>
    <row r="428" spans="16:16">
      <c r="P428" s="105" t="s">
        <v>76</v>
      </c>
    </row>
    <row r="429" spans="16:16">
      <c r="P429" s="105" t="s">
        <v>1206</v>
      </c>
    </row>
    <row r="430" spans="16:16">
      <c r="P430" s="105" t="s">
        <v>75</v>
      </c>
    </row>
    <row r="431" spans="16:16">
      <c r="P431" s="105" t="s">
        <v>3171</v>
      </c>
    </row>
    <row r="432" spans="16:16">
      <c r="P432" s="104" t="s">
        <v>1434</v>
      </c>
    </row>
    <row r="433" spans="16:16">
      <c r="P433" s="105" t="s">
        <v>73</v>
      </c>
    </row>
    <row r="434" spans="16:16">
      <c r="P434" s="105" t="s">
        <v>1083</v>
      </c>
    </row>
    <row r="435" spans="16:16">
      <c r="P435" s="105" t="s">
        <v>75</v>
      </c>
    </row>
    <row r="436" spans="16:16">
      <c r="P436" s="105" t="s">
        <v>77</v>
      </c>
    </row>
    <row r="437" spans="16:16">
      <c r="P437" s="104" t="s">
        <v>1433</v>
      </c>
    </row>
    <row r="438" spans="16:16">
      <c r="P438" s="105" t="s">
        <v>360</v>
      </c>
    </row>
    <row r="439" spans="16:16">
      <c r="P439" s="105" t="s">
        <v>73</v>
      </c>
    </row>
    <row r="440" spans="16:16">
      <c r="P440" s="105" t="s">
        <v>1083</v>
      </c>
    </row>
    <row r="441" spans="16:16">
      <c r="P441" s="105" t="s">
        <v>76</v>
      </c>
    </row>
    <row r="442" spans="16:16">
      <c r="P442" s="105" t="s">
        <v>1206</v>
      </c>
    </row>
    <row r="443" spans="16:16">
      <c r="P443" s="105" t="s">
        <v>75</v>
      </c>
    </row>
    <row r="444" spans="16:16">
      <c r="P444" s="105" t="s">
        <v>987</v>
      </c>
    </row>
    <row r="445" spans="16:16">
      <c r="P445" s="105" t="s">
        <v>228</v>
      </c>
    </row>
    <row r="446" spans="16:16">
      <c r="P446" s="104" t="s">
        <v>2766</v>
      </c>
    </row>
    <row r="447" spans="16:16">
      <c r="P447" s="105" t="s">
        <v>73</v>
      </c>
    </row>
    <row r="448" spans="16:16">
      <c r="P448" s="105" t="s">
        <v>1083</v>
      </c>
    </row>
    <row r="449" spans="16:16">
      <c r="P449" s="105" t="s">
        <v>76</v>
      </c>
    </row>
    <row r="450" spans="16:16">
      <c r="P450" s="105" t="s">
        <v>1442</v>
      </c>
    </row>
    <row r="451" spans="16:16">
      <c r="P451" s="105" t="s">
        <v>75</v>
      </c>
    </row>
    <row r="452" spans="16:16">
      <c r="P452" s="105" t="s">
        <v>77</v>
      </c>
    </row>
    <row r="453" spans="16:16">
      <c r="P453" s="104" t="s">
        <v>2753</v>
      </c>
    </row>
    <row r="454" spans="16:16">
      <c r="P454" s="105" t="s">
        <v>1083</v>
      </c>
    </row>
    <row r="455" spans="16:16">
      <c r="P455" s="104" t="s">
        <v>2751</v>
      </c>
    </row>
    <row r="456" spans="16:16">
      <c r="P456" s="105" t="s">
        <v>73</v>
      </c>
    </row>
    <row r="457" spans="16:16">
      <c r="P457" s="104" t="s">
        <v>2752</v>
      </c>
    </row>
    <row r="458" spans="16:16">
      <c r="P458" s="105" t="s">
        <v>73</v>
      </c>
    </row>
    <row r="459" spans="16:16">
      <c r="P459" s="104" t="s">
        <v>2815</v>
      </c>
    </row>
    <row r="460" spans="16:16">
      <c r="P460" s="105" t="s">
        <v>73</v>
      </c>
    </row>
    <row r="461" spans="16:16">
      <c r="P461" s="105" t="s">
        <v>1083</v>
      </c>
    </row>
    <row r="462" spans="16:16">
      <c r="P462" s="105" t="s">
        <v>76</v>
      </c>
    </row>
    <row r="463" spans="16:16">
      <c r="P463" s="105" t="s">
        <v>1206</v>
      </c>
    </row>
    <row r="464" spans="16:16">
      <c r="P464" s="105" t="s">
        <v>75</v>
      </c>
    </row>
    <row r="465" spans="16:16">
      <c r="P465" s="105" t="s">
        <v>547</v>
      </c>
    </row>
    <row r="466" spans="16:16">
      <c r="P466" s="105" t="s">
        <v>228</v>
      </c>
    </row>
    <row r="467" spans="16:16">
      <c r="P467" s="104" t="s">
        <v>3323</v>
      </c>
    </row>
    <row r="468" spans="16:16">
      <c r="P468" s="105" t="s">
        <v>73</v>
      </c>
    </row>
    <row r="469" spans="16:16">
      <c r="P469" s="105" t="s">
        <v>1083</v>
      </c>
    </row>
    <row r="470" spans="16:16">
      <c r="P470" s="105" t="s">
        <v>76</v>
      </c>
    </row>
    <row r="471" spans="16:16">
      <c r="P471" s="105" t="s">
        <v>77</v>
      </c>
    </row>
    <row r="472" spans="16:16">
      <c r="P472" s="105" t="s">
        <v>4013</v>
      </c>
    </row>
    <row r="473" spans="16:16">
      <c r="P473" s="104" t="s">
        <v>3324</v>
      </c>
    </row>
    <row r="474" spans="16:16">
      <c r="P474" s="105" t="s">
        <v>73</v>
      </c>
    </row>
    <row r="475" spans="16:16">
      <c r="P475" s="105" t="s">
        <v>1083</v>
      </c>
    </row>
    <row r="476" spans="16:16">
      <c r="P476" s="105" t="s">
        <v>76</v>
      </c>
    </row>
    <row r="477" spans="16:16">
      <c r="P477" s="105" t="s">
        <v>547</v>
      </c>
    </row>
    <row r="478" spans="16:16">
      <c r="P478" s="105" t="s">
        <v>77</v>
      </c>
    </row>
    <row r="479" spans="16:16">
      <c r="P479" s="105" t="s">
        <v>1146</v>
      </c>
    </row>
    <row r="480" spans="16:16">
      <c r="P480" s="105" t="s">
        <v>6467</v>
      </c>
    </row>
    <row r="481" spans="16:16">
      <c r="P481" s="104" t="s">
        <v>3639</v>
      </c>
    </row>
    <row r="482" spans="16:16">
      <c r="P482" s="105" t="s">
        <v>73</v>
      </c>
    </row>
    <row r="483" spans="16:16">
      <c r="P483" s="105" t="s">
        <v>1083</v>
      </c>
    </row>
    <row r="484" spans="16:16">
      <c r="P484" s="105" t="s">
        <v>75</v>
      </c>
    </row>
    <row r="485" spans="16:16">
      <c r="P485" s="105" t="s">
        <v>77</v>
      </c>
    </row>
    <row r="486" spans="16:16">
      <c r="P486" s="104" t="s">
        <v>3791</v>
      </c>
    </row>
    <row r="487" spans="16:16">
      <c r="P487" s="105" t="s">
        <v>73</v>
      </c>
    </row>
    <row r="488" spans="16:16">
      <c r="P488" s="105" t="s">
        <v>1083</v>
      </c>
    </row>
    <row r="489" spans="16:16">
      <c r="P489" s="105" t="s">
        <v>76</v>
      </c>
    </row>
    <row r="490" spans="16:16">
      <c r="P490" s="105" t="s">
        <v>547</v>
      </c>
    </row>
    <row r="491" spans="16:16">
      <c r="P491" s="105" t="s">
        <v>77</v>
      </c>
    </row>
    <row r="492" spans="16:16">
      <c r="P492" s="105" t="s">
        <v>2011</v>
      </c>
    </row>
    <row r="493" spans="16:16">
      <c r="P493" s="105" t="s">
        <v>3171</v>
      </c>
    </row>
    <row r="494" spans="16:16">
      <c r="P494" s="104" t="s">
        <v>3871</v>
      </c>
    </row>
    <row r="495" spans="16:16">
      <c r="P495" s="105" t="s">
        <v>2011</v>
      </c>
    </row>
    <row r="496" spans="16:16">
      <c r="P496" s="104" t="s">
        <v>5009</v>
      </c>
    </row>
    <row r="497" spans="16:16">
      <c r="P497" s="105" t="s">
        <v>75</v>
      </c>
    </row>
    <row r="498" spans="16:16">
      <c r="P498" s="105" t="s">
        <v>77</v>
      </c>
    </row>
    <row r="499" spans="16:16">
      <c r="P499" s="105" t="s">
        <v>228</v>
      </c>
    </row>
    <row r="500" spans="16:16">
      <c r="P500" s="104" t="s">
        <v>4934</v>
      </c>
    </row>
    <row r="501" spans="16:16">
      <c r="P501" s="105" t="s">
        <v>73</v>
      </c>
    </row>
    <row r="502" spans="16:16">
      <c r="P502" s="105" t="s">
        <v>76</v>
      </c>
    </row>
    <row r="503" spans="16:16">
      <c r="P503" s="105" t="s">
        <v>75</v>
      </c>
    </row>
    <row r="504" spans="16:16">
      <c r="P504" s="105" t="s">
        <v>1755</v>
      </c>
    </row>
    <row r="505" spans="16:16">
      <c r="P505" s="105" t="s">
        <v>228</v>
      </c>
    </row>
    <row r="506" spans="16:16">
      <c r="P506" s="104" t="s">
        <v>5709</v>
      </c>
    </row>
    <row r="507" spans="16:16">
      <c r="P507" s="105" t="s">
        <v>3171</v>
      </c>
    </row>
    <row r="508" spans="16:16">
      <c r="P508" s="104" t="s">
        <v>5710</v>
      </c>
    </row>
    <row r="509" spans="16:16">
      <c r="P509" s="105" t="s">
        <v>73</v>
      </c>
    </row>
    <row r="510" spans="16:16">
      <c r="P510" s="105" t="s">
        <v>1083</v>
      </c>
    </row>
    <row r="511" spans="16:16">
      <c r="P511" s="105" t="s">
        <v>76</v>
      </c>
    </row>
    <row r="512" spans="16:16">
      <c r="P512" s="105" t="s">
        <v>547</v>
      </c>
    </row>
    <row r="513" spans="16:16">
      <c r="P513" s="18" t="s">
        <v>1219</v>
      </c>
    </row>
    <row r="514" spans="16:16">
      <c r="P514" s="104" t="s">
        <v>29</v>
      </c>
    </row>
    <row r="515" spans="16:16">
      <c r="P515" s="105" t="s">
        <v>73</v>
      </c>
    </row>
    <row r="516" spans="16:16">
      <c r="P516" s="105" t="s">
        <v>1083</v>
      </c>
    </row>
    <row r="517" spans="16:16">
      <c r="P517" s="104" t="s">
        <v>1435</v>
      </c>
    </row>
    <row r="518" spans="16:16">
      <c r="P518" s="105" t="s">
        <v>73</v>
      </c>
    </row>
    <row r="519" spans="16:16">
      <c r="P519" s="105" t="s">
        <v>1083</v>
      </c>
    </row>
    <row r="520" spans="16:16">
      <c r="P520" s="104" t="s">
        <v>32</v>
      </c>
    </row>
    <row r="521" spans="16:16">
      <c r="P521" s="105" t="s">
        <v>73</v>
      </c>
    </row>
    <row r="522" spans="16:16">
      <c r="P522" s="104" t="s">
        <v>568</v>
      </c>
    </row>
    <row r="523" spans="16:16">
      <c r="P523" s="105" t="s">
        <v>73</v>
      </c>
    </row>
    <row r="524" spans="16:16">
      <c r="P524" s="104" t="s">
        <v>283</v>
      </c>
    </row>
    <row r="525" spans="16:16">
      <c r="P525" s="105" t="s">
        <v>73</v>
      </c>
    </row>
    <row r="526" spans="16:16">
      <c r="P526" s="105" t="s">
        <v>1083</v>
      </c>
    </row>
    <row r="527" spans="16:16">
      <c r="P527" s="104" t="s">
        <v>1434</v>
      </c>
    </row>
    <row r="528" spans="16:16">
      <c r="P528" s="105" t="s">
        <v>73</v>
      </c>
    </row>
    <row r="529" spans="16:16">
      <c r="P529" s="105" t="s">
        <v>1083</v>
      </c>
    </row>
    <row r="530" spans="16:16">
      <c r="P530" s="104" t="s">
        <v>1433</v>
      </c>
    </row>
    <row r="531" spans="16:16">
      <c r="P531" s="105" t="s">
        <v>73</v>
      </c>
    </row>
    <row r="532" spans="16:16">
      <c r="P532" s="104" t="s">
        <v>2753</v>
      </c>
    </row>
    <row r="533" spans="16:16">
      <c r="P533" s="105" t="s">
        <v>77</v>
      </c>
    </row>
    <row r="534" spans="16:16">
      <c r="P534" s="104" t="s">
        <v>2751</v>
      </c>
    </row>
    <row r="535" spans="16:16">
      <c r="P535" s="105" t="s">
        <v>73</v>
      </c>
    </row>
    <row r="536" spans="16:16">
      <c r="P536" s="18" t="s">
        <v>78</v>
      </c>
    </row>
    <row r="537" spans="16:16">
      <c r="P537" s="104" t="s">
        <v>29</v>
      </c>
    </row>
    <row r="538" spans="16:16">
      <c r="P538" s="105" t="s">
        <v>73</v>
      </c>
    </row>
    <row r="539" spans="16:16">
      <c r="P539" s="105" t="s">
        <v>1083</v>
      </c>
    </row>
    <row r="540" spans="16:16">
      <c r="P540" s="105" t="s">
        <v>75</v>
      </c>
    </row>
    <row r="541" spans="16:16">
      <c r="P541" s="105" t="s">
        <v>77</v>
      </c>
    </row>
    <row r="542" spans="16:16">
      <c r="P542" s="105" t="s">
        <v>749</v>
      </c>
    </row>
    <row r="543" spans="16:16">
      <c r="P543" s="105" t="s">
        <v>3171</v>
      </c>
    </row>
    <row r="544" spans="16:16">
      <c r="P544" s="104" t="s">
        <v>34</v>
      </c>
    </row>
    <row r="545" spans="16:16">
      <c r="P545" s="105" t="s">
        <v>73</v>
      </c>
    </row>
    <row r="546" spans="16:16">
      <c r="P546" s="105" t="s">
        <v>76</v>
      </c>
    </row>
    <row r="547" spans="16:16">
      <c r="P547" s="105" t="s">
        <v>228</v>
      </c>
    </row>
    <row r="548" spans="16:16">
      <c r="P548" s="104" t="s">
        <v>1435</v>
      </c>
    </row>
    <row r="549" spans="16:16">
      <c r="P549" s="105" t="s">
        <v>73</v>
      </c>
    </row>
    <row r="550" spans="16:16">
      <c r="P550" s="105" t="s">
        <v>1083</v>
      </c>
    </row>
    <row r="551" spans="16:16">
      <c r="P551" s="105" t="s">
        <v>76</v>
      </c>
    </row>
    <row r="552" spans="16:16">
      <c r="P552" s="105" t="s">
        <v>1442</v>
      </c>
    </row>
    <row r="553" spans="16:16">
      <c r="P553" s="105" t="s">
        <v>75</v>
      </c>
    </row>
    <row r="554" spans="16:16">
      <c r="P554" s="104" t="s">
        <v>32</v>
      </c>
    </row>
    <row r="555" spans="16:16">
      <c r="P555" s="105" t="s">
        <v>73</v>
      </c>
    </row>
    <row r="556" spans="16:16">
      <c r="P556" s="105" t="s">
        <v>686</v>
      </c>
    </row>
    <row r="557" spans="16:16">
      <c r="P557" s="105" t="s">
        <v>1083</v>
      </c>
    </row>
    <row r="558" spans="16:16">
      <c r="P558" s="105" t="s">
        <v>76</v>
      </c>
    </row>
    <row r="559" spans="16:16">
      <c r="P559" s="104" t="s">
        <v>568</v>
      </c>
    </row>
    <row r="560" spans="16:16">
      <c r="P560" s="105" t="s">
        <v>73</v>
      </c>
    </row>
    <row r="561" spans="16:16">
      <c r="P561" s="105" t="s">
        <v>1083</v>
      </c>
    </row>
    <row r="562" spans="16:16">
      <c r="P562" s="105" t="s">
        <v>76</v>
      </c>
    </row>
    <row r="563" spans="16:16">
      <c r="P563" s="105" t="s">
        <v>75</v>
      </c>
    </row>
    <row r="564" spans="16:16">
      <c r="P564" s="105" t="s">
        <v>77</v>
      </c>
    </row>
    <row r="565" spans="16:16">
      <c r="P565" s="105" t="s">
        <v>987</v>
      </c>
    </row>
    <row r="566" spans="16:16">
      <c r="P566" s="105" t="s">
        <v>228</v>
      </c>
    </row>
    <row r="567" spans="16:16">
      <c r="P567" s="105" t="s">
        <v>2011</v>
      </c>
    </row>
    <row r="568" spans="16:16">
      <c r="P568" s="104" t="s">
        <v>43</v>
      </c>
    </row>
    <row r="569" spans="16:16">
      <c r="P569" s="105" t="s">
        <v>73</v>
      </c>
    </row>
    <row r="570" spans="16:16">
      <c r="P570" s="105" t="s">
        <v>1083</v>
      </c>
    </row>
    <row r="571" spans="16:16">
      <c r="P571" s="105" t="s">
        <v>76</v>
      </c>
    </row>
    <row r="572" spans="16:16">
      <c r="P572" s="105" t="s">
        <v>228</v>
      </c>
    </row>
    <row r="573" spans="16:16">
      <c r="P573" s="104" t="s">
        <v>283</v>
      </c>
    </row>
    <row r="574" spans="16:16">
      <c r="P574" s="105" t="s">
        <v>73</v>
      </c>
    </row>
    <row r="575" spans="16:16">
      <c r="P575" s="105" t="s">
        <v>686</v>
      </c>
    </row>
    <row r="576" spans="16:16">
      <c r="P576" s="105" t="s">
        <v>1083</v>
      </c>
    </row>
    <row r="577" spans="16:16">
      <c r="P577" s="105" t="s">
        <v>76</v>
      </c>
    </row>
    <row r="578" spans="16:16">
      <c r="P578" s="105" t="s">
        <v>1206</v>
      </c>
    </row>
    <row r="579" spans="16:16">
      <c r="P579" s="105" t="s">
        <v>75</v>
      </c>
    </row>
    <row r="580" spans="16:16">
      <c r="P580" s="105" t="s">
        <v>228</v>
      </c>
    </row>
    <row r="581" spans="16:16">
      <c r="P581" s="104" t="s">
        <v>1434</v>
      </c>
    </row>
    <row r="582" spans="16:16">
      <c r="P582" s="105" t="s">
        <v>73</v>
      </c>
    </row>
    <row r="583" spans="16:16">
      <c r="P583" s="105" t="s">
        <v>1083</v>
      </c>
    </row>
    <row r="584" spans="16:16">
      <c r="P584" s="105" t="s">
        <v>1206</v>
      </c>
    </row>
    <row r="585" spans="16:16">
      <c r="P585" s="105" t="s">
        <v>75</v>
      </c>
    </row>
    <row r="586" spans="16:16">
      <c r="P586" s="105" t="s">
        <v>2011</v>
      </c>
    </row>
    <row r="587" spans="16:16">
      <c r="P587" s="104" t="s">
        <v>1433</v>
      </c>
    </row>
    <row r="588" spans="16:16">
      <c r="P588" s="105" t="s">
        <v>73</v>
      </c>
    </row>
    <row r="589" spans="16:16">
      <c r="P589" s="105" t="s">
        <v>686</v>
      </c>
    </row>
    <row r="590" spans="16:16">
      <c r="P590" s="105" t="s">
        <v>1083</v>
      </c>
    </row>
    <row r="591" spans="16:16">
      <c r="P591" s="105" t="s">
        <v>76</v>
      </c>
    </row>
    <row r="592" spans="16:16">
      <c r="P592" s="105" t="s">
        <v>1206</v>
      </c>
    </row>
    <row r="593" spans="16:16">
      <c r="P593" s="105" t="s">
        <v>75</v>
      </c>
    </row>
    <row r="594" spans="16:16">
      <c r="P594" s="105" t="s">
        <v>547</v>
      </c>
    </row>
    <row r="595" spans="16:16">
      <c r="P595" s="104" t="s">
        <v>2766</v>
      </c>
    </row>
    <row r="596" spans="16:16">
      <c r="P596" s="105" t="s">
        <v>73</v>
      </c>
    </row>
    <row r="597" spans="16:16">
      <c r="P597" s="105" t="s">
        <v>1083</v>
      </c>
    </row>
    <row r="598" spans="16:16">
      <c r="P598" s="105" t="s">
        <v>1755</v>
      </c>
    </row>
    <row r="599" spans="16:16">
      <c r="P599" s="104" t="s">
        <v>2753</v>
      </c>
    </row>
    <row r="600" spans="16:16">
      <c r="P600" s="105" t="s">
        <v>73</v>
      </c>
    </row>
    <row r="601" spans="16:16">
      <c r="P601" s="105" t="s">
        <v>1083</v>
      </c>
    </row>
    <row r="602" spans="16:16">
      <c r="P602" s="105" t="s">
        <v>76</v>
      </c>
    </row>
    <row r="603" spans="16:16">
      <c r="P603" s="105" t="s">
        <v>75</v>
      </c>
    </row>
    <row r="604" spans="16:16">
      <c r="P604" s="104" t="s">
        <v>2751</v>
      </c>
    </row>
    <row r="605" spans="16:16">
      <c r="P605" s="105" t="s">
        <v>75</v>
      </c>
    </row>
    <row r="606" spans="16:16">
      <c r="P606" s="105" t="s">
        <v>77</v>
      </c>
    </row>
    <row r="607" spans="16:16">
      <c r="P607" s="105" t="s">
        <v>228</v>
      </c>
    </row>
    <row r="608" spans="16:16">
      <c r="P608" s="105" t="s">
        <v>2011</v>
      </c>
    </row>
    <row r="609" spans="16:16">
      <c r="P609" s="104" t="s">
        <v>2752</v>
      </c>
    </row>
    <row r="610" spans="16:16">
      <c r="P610" s="105" t="s">
        <v>73</v>
      </c>
    </row>
    <row r="611" spans="16:16">
      <c r="P611" s="105" t="s">
        <v>1083</v>
      </c>
    </row>
    <row r="612" spans="16:16">
      <c r="P612" s="105" t="s">
        <v>76</v>
      </c>
    </row>
    <row r="613" spans="16:16">
      <c r="P613" s="105" t="s">
        <v>1206</v>
      </c>
    </row>
    <row r="614" spans="16:16">
      <c r="P614" s="105" t="s">
        <v>75</v>
      </c>
    </row>
    <row r="615" spans="16:16">
      <c r="P615" s="105" t="s">
        <v>547</v>
      </c>
    </row>
    <row r="616" spans="16:16">
      <c r="P616" s="104" t="s">
        <v>2815</v>
      </c>
    </row>
    <row r="617" spans="16:16">
      <c r="P617" s="105" t="s">
        <v>73</v>
      </c>
    </row>
    <row r="618" spans="16:16">
      <c r="P618" s="105" t="s">
        <v>1083</v>
      </c>
    </row>
    <row r="619" spans="16:16">
      <c r="P619" s="105" t="s">
        <v>76</v>
      </c>
    </row>
    <row r="620" spans="16:16">
      <c r="P620" s="105" t="s">
        <v>75</v>
      </c>
    </row>
    <row r="621" spans="16:16">
      <c r="P621" s="105" t="s">
        <v>547</v>
      </c>
    </row>
    <row r="622" spans="16:16">
      <c r="P622" s="105" t="s">
        <v>77</v>
      </c>
    </row>
    <row r="623" spans="16:16">
      <c r="P623" s="105" t="s">
        <v>228</v>
      </c>
    </row>
    <row r="624" spans="16:16">
      <c r="P624" s="105" t="s">
        <v>74</v>
      </c>
    </row>
    <row r="625" spans="16:16">
      <c r="P625" s="104" t="s">
        <v>3323</v>
      </c>
    </row>
    <row r="626" spans="16:16">
      <c r="P626" s="105" t="s">
        <v>73</v>
      </c>
    </row>
    <row r="627" spans="16:16">
      <c r="P627" s="105" t="s">
        <v>1083</v>
      </c>
    </row>
    <row r="628" spans="16:16">
      <c r="P628" s="105" t="s">
        <v>76</v>
      </c>
    </row>
    <row r="629" spans="16:16">
      <c r="P629" s="105" t="s">
        <v>1206</v>
      </c>
    </row>
    <row r="630" spans="16:16">
      <c r="P630" s="105" t="s">
        <v>1442</v>
      </c>
    </row>
    <row r="631" spans="16:16">
      <c r="P631" s="105" t="s">
        <v>75</v>
      </c>
    </row>
    <row r="632" spans="16:16">
      <c r="P632" s="104" t="s">
        <v>3324</v>
      </c>
    </row>
    <row r="633" spans="16:16">
      <c r="P633" s="105" t="s">
        <v>73</v>
      </c>
    </row>
    <row r="634" spans="16:16">
      <c r="P634" s="105" t="s">
        <v>1083</v>
      </c>
    </row>
    <row r="635" spans="16:16">
      <c r="P635" s="105" t="s">
        <v>76</v>
      </c>
    </row>
    <row r="636" spans="16:16">
      <c r="P636" s="105" t="s">
        <v>1206</v>
      </c>
    </row>
    <row r="637" spans="16:16">
      <c r="P637" s="105" t="s">
        <v>228</v>
      </c>
    </row>
    <row r="638" spans="16:16">
      <c r="P638" s="105" t="s">
        <v>3171</v>
      </c>
    </row>
    <row r="639" spans="16:16">
      <c r="P639" s="104" t="s">
        <v>3639</v>
      </c>
    </row>
    <row r="640" spans="16:16">
      <c r="P640" s="105" t="s">
        <v>1083</v>
      </c>
    </row>
    <row r="641" spans="16:16">
      <c r="P641" s="104" t="s">
        <v>3791</v>
      </c>
    </row>
    <row r="642" spans="16:16">
      <c r="P642" s="105" t="s">
        <v>73</v>
      </c>
    </row>
    <row r="643" spans="16:16">
      <c r="P643" s="105" t="s">
        <v>1083</v>
      </c>
    </row>
    <row r="644" spans="16:16">
      <c r="P644" s="105" t="s">
        <v>2011</v>
      </c>
    </row>
    <row r="645" spans="16:16">
      <c r="P645" s="105" t="s">
        <v>3171</v>
      </c>
    </row>
    <row r="646" spans="16:16">
      <c r="P646" s="104" t="s">
        <v>4749</v>
      </c>
    </row>
    <row r="647" spans="16:16">
      <c r="P647" s="105" t="s">
        <v>75</v>
      </c>
    </row>
    <row r="648" spans="16:16">
      <c r="P648" s="105" t="s">
        <v>228</v>
      </c>
    </row>
    <row r="649" spans="16:16">
      <c r="P649" s="104" t="s">
        <v>5709</v>
      </c>
    </row>
    <row r="650" spans="16:16">
      <c r="P650" s="105" t="s">
        <v>73</v>
      </c>
    </row>
    <row r="651" spans="16:16">
      <c r="P651" s="105" t="s">
        <v>1206</v>
      </c>
    </row>
    <row r="652" spans="16:16">
      <c r="P652" s="105" t="s">
        <v>547</v>
      </c>
    </row>
    <row r="653" spans="16:16">
      <c r="P653" s="104" t="s">
        <v>5710</v>
      </c>
    </row>
    <row r="654" spans="16:16">
      <c r="P654" s="105" t="s">
        <v>73</v>
      </c>
    </row>
    <row r="655" spans="16:16">
      <c r="P655" s="105" t="s">
        <v>1083</v>
      </c>
    </row>
    <row r="656" spans="16:16">
      <c r="P656" s="105" t="s">
        <v>76</v>
      </c>
    </row>
    <row r="657" spans="16:16">
      <c r="P657" s="105" t="s">
        <v>1206</v>
      </c>
    </row>
    <row r="658" spans="16:16">
      <c r="P658" s="105" t="s">
        <v>547</v>
      </c>
    </row>
    <row r="659" spans="16:16">
      <c r="P659" s="18" t="s">
        <v>1216</v>
      </c>
    </row>
    <row r="660" spans="16:16">
      <c r="P660" s="104" t="s">
        <v>29</v>
      </c>
    </row>
    <row r="661" spans="16:16">
      <c r="P661" s="105" t="s">
        <v>73</v>
      </c>
    </row>
    <row r="662" spans="16:16">
      <c r="P662" s="105" t="s">
        <v>1083</v>
      </c>
    </row>
    <row r="663" spans="16:16">
      <c r="P663" s="105" t="s">
        <v>76</v>
      </c>
    </row>
    <row r="664" spans="16:16">
      <c r="P664" s="105" t="s">
        <v>1206</v>
      </c>
    </row>
    <row r="665" spans="16:16">
      <c r="P665" s="105" t="s">
        <v>77</v>
      </c>
    </row>
    <row r="666" spans="16:16">
      <c r="P666" s="105" t="s">
        <v>228</v>
      </c>
    </row>
    <row r="667" spans="16:16">
      <c r="P667" s="105" t="s">
        <v>2011</v>
      </c>
    </row>
    <row r="668" spans="16:16">
      <c r="P668" s="105" t="s">
        <v>3171</v>
      </c>
    </row>
    <row r="669" spans="16:16">
      <c r="P669" s="104" t="s">
        <v>1435</v>
      </c>
    </row>
    <row r="670" spans="16:16">
      <c r="P670" s="105" t="s">
        <v>73</v>
      </c>
    </row>
    <row r="671" spans="16:16">
      <c r="P671" s="105" t="s">
        <v>1083</v>
      </c>
    </row>
    <row r="672" spans="16:16">
      <c r="P672" s="105" t="s">
        <v>1206</v>
      </c>
    </row>
    <row r="673" spans="16:16">
      <c r="P673" s="104" t="s">
        <v>32</v>
      </c>
    </row>
    <row r="674" spans="16:16">
      <c r="P674" s="105" t="s">
        <v>73</v>
      </c>
    </row>
    <row r="675" spans="16:16">
      <c r="P675" s="105" t="s">
        <v>1083</v>
      </c>
    </row>
    <row r="676" spans="16:16">
      <c r="P676" s="105" t="s">
        <v>547</v>
      </c>
    </row>
    <row r="677" spans="16:16">
      <c r="P677" s="104" t="s">
        <v>568</v>
      </c>
    </row>
    <row r="678" spans="16:16">
      <c r="P678" s="105" t="s">
        <v>73</v>
      </c>
    </row>
    <row r="679" spans="16:16">
      <c r="P679" s="105" t="s">
        <v>1083</v>
      </c>
    </row>
    <row r="680" spans="16:16">
      <c r="P680" s="105" t="s">
        <v>1206</v>
      </c>
    </row>
    <row r="681" spans="16:16">
      <c r="P681" s="105" t="s">
        <v>75</v>
      </c>
    </row>
    <row r="682" spans="16:16">
      <c r="P682" s="104" t="s">
        <v>43</v>
      </c>
    </row>
    <row r="683" spans="16:16">
      <c r="P683" s="105" t="s">
        <v>73</v>
      </c>
    </row>
    <row r="684" spans="16:16">
      <c r="P684" s="105" t="s">
        <v>1083</v>
      </c>
    </row>
    <row r="685" spans="16:16">
      <c r="P685" s="105" t="s">
        <v>76</v>
      </c>
    </row>
    <row r="686" spans="16:16">
      <c r="P686" s="105" t="s">
        <v>1206</v>
      </c>
    </row>
    <row r="687" spans="16:16">
      <c r="P687" s="105" t="s">
        <v>75</v>
      </c>
    </row>
    <row r="688" spans="16:16">
      <c r="P688" s="105" t="s">
        <v>77</v>
      </c>
    </row>
    <row r="689" spans="16:16">
      <c r="P689" s="105" t="s">
        <v>228</v>
      </c>
    </row>
    <row r="690" spans="16:16">
      <c r="P690" s="104" t="s">
        <v>283</v>
      </c>
    </row>
    <row r="691" spans="16:16">
      <c r="P691" s="105" t="s">
        <v>73</v>
      </c>
    </row>
    <row r="692" spans="16:16">
      <c r="P692" s="105" t="s">
        <v>1083</v>
      </c>
    </row>
    <row r="693" spans="16:16">
      <c r="P693" s="105" t="s">
        <v>76</v>
      </c>
    </row>
    <row r="694" spans="16:16">
      <c r="P694" s="105" t="s">
        <v>1206</v>
      </c>
    </row>
    <row r="695" spans="16:16">
      <c r="P695" s="105" t="s">
        <v>75</v>
      </c>
    </row>
    <row r="696" spans="16:16">
      <c r="P696" s="105" t="s">
        <v>77</v>
      </c>
    </row>
    <row r="697" spans="16:16">
      <c r="P697" s="105" t="s">
        <v>1146</v>
      </c>
    </row>
    <row r="698" spans="16:16">
      <c r="P698" s="104" t="s">
        <v>1434</v>
      </c>
    </row>
    <row r="699" spans="16:16">
      <c r="P699" s="105" t="s">
        <v>73</v>
      </c>
    </row>
    <row r="700" spans="16:16">
      <c r="P700" s="105" t="s">
        <v>1083</v>
      </c>
    </row>
    <row r="701" spans="16:16">
      <c r="P701" s="105" t="s">
        <v>76</v>
      </c>
    </row>
    <row r="702" spans="16:16">
      <c r="P702" s="105" t="s">
        <v>228</v>
      </c>
    </row>
    <row r="703" spans="16:16">
      <c r="P703" s="104" t="s">
        <v>1433</v>
      </c>
    </row>
    <row r="704" spans="16:16">
      <c r="P704" s="105" t="s">
        <v>73</v>
      </c>
    </row>
    <row r="705" spans="16:16">
      <c r="P705" s="105" t="s">
        <v>1083</v>
      </c>
    </row>
    <row r="706" spans="16:16">
      <c r="P706" s="105" t="s">
        <v>76</v>
      </c>
    </row>
    <row r="707" spans="16:16">
      <c r="P707" s="105" t="s">
        <v>1206</v>
      </c>
    </row>
    <row r="708" spans="16:16">
      <c r="P708" s="105" t="s">
        <v>75</v>
      </c>
    </row>
    <row r="709" spans="16:16">
      <c r="P709" s="105" t="s">
        <v>547</v>
      </c>
    </row>
    <row r="710" spans="16:16">
      <c r="P710" s="105" t="s">
        <v>77</v>
      </c>
    </row>
    <row r="711" spans="16:16">
      <c r="P711" s="105" t="s">
        <v>228</v>
      </c>
    </row>
    <row r="712" spans="16:16">
      <c r="P712" s="105" t="s">
        <v>3171</v>
      </c>
    </row>
    <row r="713" spans="16:16">
      <c r="P713" s="105" t="s">
        <v>4930</v>
      </c>
    </row>
    <row r="714" spans="16:16">
      <c r="P714" s="104" t="s">
        <v>2766</v>
      </c>
    </row>
    <row r="715" spans="16:16">
      <c r="P715" s="105" t="s">
        <v>73</v>
      </c>
    </row>
    <row r="716" spans="16:16">
      <c r="P716" s="105" t="s">
        <v>1083</v>
      </c>
    </row>
    <row r="717" spans="16:16">
      <c r="P717" s="105" t="s">
        <v>76</v>
      </c>
    </row>
    <row r="718" spans="16:16">
      <c r="P718" s="105" t="s">
        <v>1206</v>
      </c>
    </row>
    <row r="719" spans="16:16">
      <c r="P719" s="105" t="s">
        <v>75</v>
      </c>
    </row>
    <row r="720" spans="16:16">
      <c r="P720" s="105" t="s">
        <v>547</v>
      </c>
    </row>
    <row r="721" spans="16:16">
      <c r="P721" s="105" t="s">
        <v>77</v>
      </c>
    </row>
    <row r="722" spans="16:16">
      <c r="P722" s="105" t="s">
        <v>987</v>
      </c>
    </row>
    <row r="723" spans="16:16">
      <c r="P723" s="105" t="s">
        <v>2011</v>
      </c>
    </row>
    <row r="724" spans="16:16">
      <c r="P724" s="104" t="s">
        <v>2753</v>
      </c>
    </row>
    <row r="725" spans="16:16">
      <c r="P725" s="105" t="s">
        <v>77</v>
      </c>
    </row>
    <row r="726" spans="16:16">
      <c r="P726" s="104" t="s">
        <v>2751</v>
      </c>
    </row>
    <row r="727" spans="16:16">
      <c r="P727" s="105" t="s">
        <v>1083</v>
      </c>
    </row>
    <row r="728" spans="16:16">
      <c r="P728" s="105" t="s">
        <v>76</v>
      </c>
    </row>
    <row r="729" spans="16:16">
      <c r="P729" s="104" t="s">
        <v>2752</v>
      </c>
    </row>
    <row r="730" spans="16:16">
      <c r="P730" s="105" t="s">
        <v>1083</v>
      </c>
    </row>
    <row r="731" spans="16:16">
      <c r="P731" s="105" t="s">
        <v>1206</v>
      </c>
    </row>
    <row r="732" spans="16:16">
      <c r="P732" s="105" t="s">
        <v>547</v>
      </c>
    </row>
    <row r="733" spans="16:16">
      <c r="P733" s="105" t="s">
        <v>2011</v>
      </c>
    </row>
    <row r="734" spans="16:16">
      <c r="P734" s="105" t="s">
        <v>74</v>
      </c>
    </row>
    <row r="735" spans="16:16">
      <c r="P735" s="105" t="s">
        <v>3171</v>
      </c>
    </row>
    <row r="736" spans="16:16">
      <c r="P736" s="104" t="s">
        <v>2815</v>
      </c>
    </row>
    <row r="737" spans="16:16">
      <c r="P737" s="105" t="s">
        <v>73</v>
      </c>
    </row>
    <row r="738" spans="16:16">
      <c r="P738" s="105" t="s">
        <v>1083</v>
      </c>
    </row>
    <row r="739" spans="16:16">
      <c r="P739" s="105" t="s">
        <v>76</v>
      </c>
    </row>
    <row r="740" spans="16:16">
      <c r="P740" s="105" t="s">
        <v>75</v>
      </c>
    </row>
    <row r="741" spans="16:16">
      <c r="P741" s="105" t="s">
        <v>77</v>
      </c>
    </row>
    <row r="742" spans="16:16">
      <c r="P742" s="105" t="s">
        <v>1554</v>
      </c>
    </row>
    <row r="743" spans="16:16">
      <c r="P743" s="105" t="s">
        <v>2011</v>
      </c>
    </row>
    <row r="744" spans="16:16">
      <c r="P744" s="105" t="s">
        <v>74</v>
      </c>
    </row>
    <row r="745" spans="16:16">
      <c r="P745" s="104" t="s">
        <v>3323</v>
      </c>
    </row>
    <row r="746" spans="16:16">
      <c r="P746" s="105" t="s">
        <v>73</v>
      </c>
    </row>
    <row r="747" spans="16:16">
      <c r="P747" s="105" t="s">
        <v>1083</v>
      </c>
    </row>
    <row r="748" spans="16:16">
      <c r="P748" s="105" t="s">
        <v>76</v>
      </c>
    </row>
    <row r="749" spans="16:16">
      <c r="P749" s="105" t="s">
        <v>77</v>
      </c>
    </row>
    <row r="750" spans="16:16">
      <c r="P750" s="104" t="s">
        <v>3324</v>
      </c>
    </row>
    <row r="751" spans="16:16">
      <c r="P751" s="105" t="s">
        <v>73</v>
      </c>
    </row>
    <row r="752" spans="16:16">
      <c r="P752" s="105" t="s">
        <v>1083</v>
      </c>
    </row>
    <row r="753" spans="16:16">
      <c r="P753" s="105" t="s">
        <v>76</v>
      </c>
    </row>
    <row r="754" spans="16:16">
      <c r="P754" s="105" t="s">
        <v>547</v>
      </c>
    </row>
    <row r="755" spans="16:16">
      <c r="P755" s="105" t="s">
        <v>228</v>
      </c>
    </row>
    <row r="756" spans="16:16">
      <c r="P756" s="104" t="s">
        <v>3791</v>
      </c>
    </row>
    <row r="757" spans="16:16">
      <c r="P757" s="105" t="s">
        <v>73</v>
      </c>
    </row>
    <row r="758" spans="16:16">
      <c r="P758" s="105" t="s">
        <v>1083</v>
      </c>
    </row>
    <row r="759" spans="16:16">
      <c r="P759" s="105" t="s">
        <v>76</v>
      </c>
    </row>
    <row r="760" spans="16:16">
      <c r="P760" s="105" t="s">
        <v>1206</v>
      </c>
    </row>
    <row r="761" spans="16:16">
      <c r="P761" s="105" t="s">
        <v>1442</v>
      </c>
    </row>
    <row r="762" spans="16:16">
      <c r="P762" s="105" t="s">
        <v>77</v>
      </c>
    </row>
    <row r="763" spans="16:16">
      <c r="P763" s="105" t="s">
        <v>1146</v>
      </c>
    </row>
    <row r="764" spans="16:16">
      <c r="P764" s="105" t="s">
        <v>228</v>
      </c>
    </row>
    <row r="765" spans="16:16">
      <c r="P765" s="105" t="s">
        <v>2011</v>
      </c>
    </row>
    <row r="766" spans="16:16">
      <c r="P766" s="105" t="s">
        <v>3171</v>
      </c>
    </row>
    <row r="767" spans="16:16">
      <c r="P767" s="105" t="s">
        <v>4930</v>
      </c>
    </row>
    <row r="768" spans="16:16">
      <c r="P768" s="104" t="s">
        <v>5009</v>
      </c>
    </row>
    <row r="769" spans="16:16">
      <c r="P769" s="105" t="s">
        <v>75</v>
      </c>
    </row>
    <row r="770" spans="16:16">
      <c r="P770" s="105" t="s">
        <v>77</v>
      </c>
    </row>
    <row r="771" spans="16:16">
      <c r="P771" s="105" t="s">
        <v>1146</v>
      </c>
    </row>
    <row r="772" spans="16:16">
      <c r="P772" s="105" t="s">
        <v>3738</v>
      </c>
    </row>
    <row r="773" spans="16:16">
      <c r="P773" s="104" t="s">
        <v>4934</v>
      </c>
    </row>
    <row r="774" spans="16:16">
      <c r="P774" s="105" t="s">
        <v>76</v>
      </c>
    </row>
    <row r="775" spans="16:16">
      <c r="P775" s="105" t="s">
        <v>75</v>
      </c>
    </row>
    <row r="776" spans="16:16">
      <c r="P776" s="105" t="s">
        <v>77</v>
      </c>
    </row>
    <row r="777" spans="16:16">
      <c r="P777" s="104" t="s">
        <v>5709</v>
      </c>
    </row>
    <row r="778" spans="16:16">
      <c r="P778" s="105" t="s">
        <v>1083</v>
      </c>
    </row>
    <row r="779" spans="16:16">
      <c r="P779" s="105" t="s">
        <v>1206</v>
      </c>
    </row>
    <row r="780" spans="16:16">
      <c r="P780" s="104" t="s">
        <v>5710</v>
      </c>
    </row>
    <row r="781" spans="16:16">
      <c r="P781" s="105" t="s">
        <v>1206</v>
      </c>
    </row>
    <row r="782" spans="16:16">
      <c r="P782" s="105" t="s">
        <v>3171</v>
      </c>
    </row>
    <row r="783" spans="16:16" ht="13.8">
      <c r="P783" s="611" t="s">
        <v>1484</v>
      </c>
    </row>
    <row r="784" spans="16:16">
      <c r="P784" s="104" t="s">
        <v>29</v>
      </c>
    </row>
    <row r="785" spans="16:16">
      <c r="P785" s="105" t="s">
        <v>1442</v>
      </c>
    </row>
    <row r="786" spans="16:16">
      <c r="P786" s="105" t="s">
        <v>547</v>
      </c>
    </row>
    <row r="787" spans="16:16">
      <c r="P787" s="104" t="s">
        <v>568</v>
      </c>
    </row>
    <row r="788" spans="16:16">
      <c r="P788" s="105" t="s">
        <v>1442</v>
      </c>
    </row>
    <row r="789" spans="16:16">
      <c r="P789" s="105" t="s">
        <v>547</v>
      </c>
    </row>
    <row r="790" spans="16:16">
      <c r="P790" s="104" t="s">
        <v>43</v>
      </c>
    </row>
    <row r="791" spans="16:16">
      <c r="P791" s="105" t="s">
        <v>76</v>
      </c>
    </row>
    <row r="792" spans="16:16">
      <c r="P792" s="105" t="s">
        <v>1442</v>
      </c>
    </row>
    <row r="793" spans="16:16">
      <c r="P793" s="104" t="s">
        <v>283</v>
      </c>
    </row>
    <row r="794" spans="16:16">
      <c r="P794" s="105" t="s">
        <v>76</v>
      </c>
    </row>
    <row r="795" spans="16:16">
      <c r="P795" s="104" t="s">
        <v>1434</v>
      </c>
    </row>
    <row r="796" spans="16:16">
      <c r="P796" s="105" t="s">
        <v>76</v>
      </c>
    </row>
    <row r="797" spans="16:16">
      <c r="P797" s="105" t="s">
        <v>1442</v>
      </c>
    </row>
    <row r="798" spans="16:16">
      <c r="P798" s="104" t="s">
        <v>1433</v>
      </c>
    </row>
    <row r="799" spans="16:16">
      <c r="P799" s="105" t="s">
        <v>76</v>
      </c>
    </row>
    <row r="800" spans="16:16">
      <c r="P800" s="105" t="s">
        <v>547</v>
      </c>
    </row>
    <row r="801" spans="16:16">
      <c r="P801" s="18" t="s">
        <v>1680</v>
      </c>
    </row>
    <row r="802" spans="16:16">
      <c r="P802" s="104" t="s">
        <v>29</v>
      </c>
    </row>
    <row r="803" spans="16:16">
      <c r="P803" s="105" t="s">
        <v>76</v>
      </c>
    </row>
    <row r="804" spans="16:16">
      <c r="P804" s="105" t="s">
        <v>228</v>
      </c>
    </row>
    <row r="805" spans="16:16">
      <c r="P805" s="104" t="s">
        <v>568</v>
      </c>
    </row>
    <row r="806" spans="16:16">
      <c r="P806" s="105" t="s">
        <v>75</v>
      </c>
    </row>
    <row r="807" spans="16:16">
      <c r="P807" s="105" t="s">
        <v>77</v>
      </c>
    </row>
    <row r="808" spans="16:16">
      <c r="P808" s="104" t="s">
        <v>283</v>
      </c>
    </row>
    <row r="809" spans="16:16">
      <c r="P809" s="105" t="s">
        <v>76</v>
      </c>
    </row>
    <row r="810" spans="16:16">
      <c r="P810" s="105" t="s">
        <v>1442</v>
      </c>
    </row>
    <row r="811" spans="16:16">
      <c r="P811" s="104" t="s">
        <v>1433</v>
      </c>
    </row>
    <row r="812" spans="16:16">
      <c r="P812" s="105" t="s">
        <v>76</v>
      </c>
    </row>
    <row r="813" spans="16:16">
      <c r="P813" s="104" t="s">
        <v>1652</v>
      </c>
    </row>
    <row r="814" spans="16:16">
      <c r="P814" s="105" t="s">
        <v>76</v>
      </c>
    </row>
    <row r="815" spans="16:16">
      <c r="P815" s="104" t="s">
        <v>2753</v>
      </c>
    </row>
    <row r="816" spans="16:16">
      <c r="P816" s="105" t="s">
        <v>75</v>
      </c>
    </row>
    <row r="817" spans="16:16">
      <c r="P817" s="105" t="s">
        <v>77</v>
      </c>
    </row>
    <row r="818" spans="16:16">
      <c r="P818" s="104" t="s">
        <v>2751</v>
      </c>
    </row>
    <row r="819" spans="16:16">
      <c r="P819" s="105" t="s">
        <v>76</v>
      </c>
    </row>
    <row r="820" spans="16:16">
      <c r="P820" s="104" t="s">
        <v>2752</v>
      </c>
    </row>
    <row r="821" spans="16:16">
      <c r="P821" s="105" t="s">
        <v>76</v>
      </c>
    </row>
    <row r="822" spans="16:16">
      <c r="P822" s="105" t="s">
        <v>77</v>
      </c>
    </row>
    <row r="823" spans="16:16">
      <c r="P823" s="104" t="s">
        <v>2815</v>
      </c>
    </row>
    <row r="824" spans="16:16">
      <c r="P824" s="105" t="s">
        <v>76</v>
      </c>
    </row>
    <row r="825" spans="16:16">
      <c r="P825" s="104" t="s">
        <v>3323</v>
      </c>
    </row>
    <row r="826" spans="16:16">
      <c r="P826" s="105" t="s">
        <v>75</v>
      </c>
    </row>
    <row r="827" spans="16:16">
      <c r="P827" s="104" t="s">
        <v>3324</v>
      </c>
    </row>
    <row r="828" spans="16:16">
      <c r="P828" s="105" t="s">
        <v>77</v>
      </c>
    </row>
    <row r="829" spans="16:16">
      <c r="P829" s="104" t="s">
        <v>4749</v>
      </c>
    </row>
    <row r="830" spans="16:16">
      <c r="P830" s="105" t="s">
        <v>75</v>
      </c>
    </row>
    <row r="831" spans="16:16">
      <c r="P831" s="105" t="s">
        <v>77</v>
      </c>
    </row>
    <row r="832" spans="16:16">
      <c r="P832" s="18" t="s">
        <v>1723</v>
      </c>
    </row>
    <row r="833" spans="16:16">
      <c r="P833" s="104" t="s">
        <v>1435</v>
      </c>
    </row>
    <row r="834" spans="16:16">
      <c r="P834" s="105" t="s">
        <v>73</v>
      </c>
    </row>
    <row r="835" spans="16:16">
      <c r="P835" s="105" t="s">
        <v>1083</v>
      </c>
    </row>
    <row r="836" spans="16:16">
      <c r="P836" s="105" t="s">
        <v>76</v>
      </c>
    </row>
    <row r="837" spans="16:16">
      <c r="P837" s="104" t="s">
        <v>568</v>
      </c>
    </row>
    <row r="838" spans="16:16">
      <c r="P838" s="105" t="s">
        <v>1083</v>
      </c>
    </row>
    <row r="839" spans="16:16">
      <c r="P839" s="104" t="s">
        <v>43</v>
      </c>
    </row>
    <row r="840" spans="16:16">
      <c r="P840" s="105" t="s">
        <v>73</v>
      </c>
    </row>
    <row r="841" spans="16:16">
      <c r="P841" s="104" t="s">
        <v>283</v>
      </c>
    </row>
    <row r="842" spans="16:16">
      <c r="P842" s="105" t="s">
        <v>73</v>
      </c>
    </row>
    <row r="843" spans="16:16">
      <c r="P843" s="105" t="s">
        <v>1083</v>
      </c>
    </row>
    <row r="844" spans="16:16">
      <c r="P844" s="105" t="s">
        <v>547</v>
      </c>
    </row>
    <row r="845" spans="16:16">
      <c r="P845" s="104" t="s">
        <v>1434</v>
      </c>
    </row>
    <row r="846" spans="16:16">
      <c r="P846" s="105" t="s">
        <v>73</v>
      </c>
    </row>
    <row r="847" spans="16:16">
      <c r="P847" s="104" t="s">
        <v>1433</v>
      </c>
    </row>
    <row r="848" spans="16:16">
      <c r="P848" s="105" t="s">
        <v>73</v>
      </c>
    </row>
    <row r="849" spans="16:16">
      <c r="P849" s="105" t="s">
        <v>1083</v>
      </c>
    </row>
    <row r="850" spans="16:16">
      <c r="P850" s="105" t="s">
        <v>76</v>
      </c>
    </row>
    <row r="851" spans="16:16">
      <c r="P851" s="104" t="s">
        <v>1654</v>
      </c>
    </row>
    <row r="852" spans="16:16">
      <c r="P852" s="105" t="s">
        <v>1442</v>
      </c>
    </row>
    <row r="853" spans="16:16">
      <c r="P853" s="105" t="s">
        <v>547</v>
      </c>
    </row>
    <row r="854" spans="16:16">
      <c r="P854" s="104" t="s">
        <v>1652</v>
      </c>
    </row>
    <row r="855" spans="16:16">
      <c r="P855" s="105" t="s">
        <v>76</v>
      </c>
    </row>
    <row r="856" spans="16:16">
      <c r="P856" s="105" t="s">
        <v>1755</v>
      </c>
    </row>
    <row r="857" spans="16:16">
      <c r="P857" s="104" t="s">
        <v>2766</v>
      </c>
    </row>
    <row r="858" spans="16:16">
      <c r="P858" s="105" t="s">
        <v>73</v>
      </c>
    </row>
    <row r="859" spans="16:16">
      <c r="P859" s="105" t="s">
        <v>1083</v>
      </c>
    </row>
    <row r="860" spans="16:16">
      <c r="P860" s="104" t="s">
        <v>2753</v>
      </c>
    </row>
    <row r="861" spans="16:16">
      <c r="P861" s="105" t="s">
        <v>73</v>
      </c>
    </row>
    <row r="862" spans="16:16">
      <c r="P862" s="104" t="s">
        <v>2752</v>
      </c>
    </row>
    <row r="863" spans="16:16">
      <c r="P863" s="105" t="s">
        <v>1083</v>
      </c>
    </row>
    <row r="864" spans="16:16">
      <c r="P864" s="104" t="s">
        <v>2815</v>
      </c>
    </row>
    <row r="865" spans="16:16">
      <c r="P865" s="105" t="s">
        <v>73</v>
      </c>
    </row>
    <row r="866" spans="16:16">
      <c r="P866" s="105" t="s">
        <v>1083</v>
      </c>
    </row>
    <row r="867" spans="16:16">
      <c r="P867" s="104" t="s">
        <v>3791</v>
      </c>
    </row>
    <row r="868" spans="16:16">
      <c r="P868" s="105" t="s">
        <v>73</v>
      </c>
    </row>
    <row r="869" spans="16:16">
      <c r="P869" s="105" t="s">
        <v>1083</v>
      </c>
    </row>
    <row r="870" spans="16:16">
      <c r="P870" s="18" t="s">
        <v>1616</v>
      </c>
    </row>
    <row r="871" spans="16:16">
      <c r="P871" s="104" t="s">
        <v>29</v>
      </c>
    </row>
    <row r="872" spans="16:16">
      <c r="P872" s="105" t="s">
        <v>76</v>
      </c>
    </row>
    <row r="873" spans="16:16">
      <c r="P873" s="105" t="s">
        <v>1442</v>
      </c>
    </row>
    <row r="874" spans="16:16">
      <c r="P874" s="104" t="s">
        <v>1435</v>
      </c>
    </row>
    <row r="875" spans="16:16">
      <c r="P875" s="105" t="s">
        <v>547</v>
      </c>
    </row>
    <row r="876" spans="16:16">
      <c r="P876" s="104" t="s">
        <v>32</v>
      </c>
    </row>
    <row r="877" spans="16:16">
      <c r="P877" s="105" t="s">
        <v>76</v>
      </c>
    </row>
    <row r="878" spans="16:16">
      <c r="P878" s="104" t="s">
        <v>43</v>
      </c>
    </row>
    <row r="879" spans="16:16">
      <c r="P879" s="105" t="s">
        <v>76</v>
      </c>
    </row>
    <row r="880" spans="16:16">
      <c r="P880" s="105" t="s">
        <v>1442</v>
      </c>
    </row>
    <row r="881" spans="16:16">
      <c r="P881" s="105" t="s">
        <v>547</v>
      </c>
    </row>
    <row r="882" spans="16:16">
      <c r="P882" s="105" t="s">
        <v>1755</v>
      </c>
    </row>
    <row r="883" spans="16:16">
      <c r="P883" s="105" t="s">
        <v>1554</v>
      </c>
    </row>
    <row r="884" spans="16:16">
      <c r="P884" s="104" t="s">
        <v>283</v>
      </c>
    </row>
    <row r="885" spans="16:16">
      <c r="P885" s="105" t="s">
        <v>76</v>
      </c>
    </row>
    <row r="886" spans="16:16">
      <c r="P886" s="105" t="s">
        <v>1442</v>
      </c>
    </row>
    <row r="887" spans="16:16">
      <c r="P887" s="105" t="s">
        <v>987</v>
      </c>
    </row>
    <row r="888" spans="16:16">
      <c r="P888" s="104" t="s">
        <v>1434</v>
      </c>
    </row>
    <row r="889" spans="16:16">
      <c r="P889" s="105" t="s">
        <v>547</v>
      </c>
    </row>
    <row r="890" spans="16:16">
      <c r="P890" s="104" t="s">
        <v>1433</v>
      </c>
    </row>
    <row r="891" spans="16:16">
      <c r="P891" s="105" t="s">
        <v>1554</v>
      </c>
    </row>
    <row r="892" spans="16:16">
      <c r="P892" s="105" t="s">
        <v>228</v>
      </c>
    </row>
    <row r="893" spans="16:16">
      <c r="P893" s="104" t="s">
        <v>1654</v>
      </c>
    </row>
    <row r="894" spans="16:16">
      <c r="P894" s="105" t="s">
        <v>1554</v>
      </c>
    </row>
    <row r="895" spans="16:16">
      <c r="P895" s="104" t="s">
        <v>1652</v>
      </c>
    </row>
    <row r="896" spans="16:16">
      <c r="P896" s="105" t="s">
        <v>547</v>
      </c>
    </row>
    <row r="897" spans="16:16">
      <c r="P897" s="105" t="s">
        <v>1554</v>
      </c>
    </row>
    <row r="898" spans="16:16">
      <c r="P898" s="104" t="s">
        <v>1733</v>
      </c>
    </row>
    <row r="899" spans="16:16">
      <c r="P899" s="105" t="s">
        <v>76</v>
      </c>
    </row>
    <row r="900" spans="16:16">
      <c r="P900" s="18" t="s">
        <v>1220</v>
      </c>
    </row>
    <row r="901" spans="16:16">
      <c r="P901" s="104" t="s">
        <v>29</v>
      </c>
    </row>
    <row r="902" spans="16:16">
      <c r="P902" s="105" t="s">
        <v>1083</v>
      </c>
    </row>
    <row r="903" spans="16:16">
      <c r="P903" s="105" t="s">
        <v>1206</v>
      </c>
    </row>
    <row r="904" spans="16:16">
      <c r="P904" s="104" t="s">
        <v>1435</v>
      </c>
    </row>
    <row r="905" spans="16:16">
      <c r="P905" s="105" t="s">
        <v>1083</v>
      </c>
    </row>
    <row r="906" spans="16:16">
      <c r="P906" s="104" t="s">
        <v>32</v>
      </c>
    </row>
    <row r="907" spans="16:16">
      <c r="P907" s="105" t="s">
        <v>73</v>
      </c>
    </row>
    <row r="908" spans="16:16">
      <c r="P908" s="105" t="s">
        <v>1083</v>
      </c>
    </row>
    <row r="909" spans="16:16">
      <c r="P909" s="105" t="s">
        <v>1442</v>
      </c>
    </row>
    <row r="910" spans="16:16">
      <c r="P910" s="104" t="s">
        <v>568</v>
      </c>
    </row>
    <row r="911" spans="16:16">
      <c r="P911" s="105" t="s">
        <v>76</v>
      </c>
    </row>
    <row r="912" spans="16:16">
      <c r="P912" s="105" t="s">
        <v>75</v>
      </c>
    </row>
    <row r="913" spans="16:16">
      <c r="P913" s="105" t="s">
        <v>77</v>
      </c>
    </row>
    <row r="914" spans="16:16">
      <c r="P914" s="104" t="s">
        <v>43</v>
      </c>
    </row>
    <row r="915" spans="16:16">
      <c r="P915" s="105" t="s">
        <v>73</v>
      </c>
    </row>
    <row r="916" spans="16:16">
      <c r="P916" s="105" t="s">
        <v>1083</v>
      </c>
    </row>
    <row r="917" spans="16:16">
      <c r="P917" s="105" t="s">
        <v>1206</v>
      </c>
    </row>
    <row r="918" spans="16:16">
      <c r="P918" s="104" t="s">
        <v>283</v>
      </c>
    </row>
    <row r="919" spans="16:16">
      <c r="P919" s="105" t="s">
        <v>1083</v>
      </c>
    </row>
    <row r="920" spans="16:16">
      <c r="P920" s="104" t="s">
        <v>1434</v>
      </c>
    </row>
    <row r="921" spans="16:16">
      <c r="P921" s="105" t="s">
        <v>73</v>
      </c>
    </row>
    <row r="922" spans="16:16">
      <c r="P922" s="105" t="s">
        <v>1083</v>
      </c>
    </row>
    <row r="923" spans="16:16">
      <c r="P923" s="104" t="s">
        <v>1433</v>
      </c>
    </row>
    <row r="924" spans="16:16">
      <c r="P924" s="105" t="s">
        <v>73</v>
      </c>
    </row>
    <row r="925" spans="16:16">
      <c r="P925" s="105" t="s">
        <v>1083</v>
      </c>
    </row>
    <row r="926" spans="16:16">
      <c r="P926" s="104" t="s">
        <v>2751</v>
      </c>
    </row>
    <row r="927" spans="16:16">
      <c r="P927" s="105" t="s">
        <v>76</v>
      </c>
    </row>
    <row r="928" spans="16:16">
      <c r="P928" s="105" t="s">
        <v>75</v>
      </c>
    </row>
    <row r="929" spans="16:16">
      <c r="P929" s="105" t="s">
        <v>77</v>
      </c>
    </row>
    <row r="930" spans="16:16">
      <c r="P930" s="104" t="s">
        <v>2752</v>
      </c>
    </row>
    <row r="931" spans="16:16">
      <c r="P931" s="105" t="s">
        <v>75</v>
      </c>
    </row>
    <row r="932" spans="16:16">
      <c r="P932" s="105" t="s">
        <v>77</v>
      </c>
    </row>
    <row r="933" spans="16:16">
      <c r="P933" s="105" t="s">
        <v>228</v>
      </c>
    </row>
    <row r="934" spans="16:16">
      <c r="P934" s="104" t="s">
        <v>3323</v>
      </c>
    </row>
    <row r="935" spans="16:16">
      <c r="P935" s="105" t="s">
        <v>76</v>
      </c>
    </row>
    <row r="936" spans="16:16">
      <c r="P936" s="104" t="s">
        <v>3324</v>
      </c>
    </row>
    <row r="937" spans="16:16">
      <c r="P937" s="105" t="s">
        <v>2011</v>
      </c>
    </row>
    <row r="938" spans="16:16">
      <c r="P938" s="104" t="s">
        <v>4749</v>
      </c>
    </row>
    <row r="939" spans="16:16">
      <c r="P939" s="105" t="s">
        <v>76</v>
      </c>
    </row>
    <row r="940" spans="16:16">
      <c r="P940" s="105" t="s">
        <v>75</v>
      </c>
    </row>
    <row r="941" spans="16:16">
      <c r="P941" s="18" t="s">
        <v>1221</v>
      </c>
    </row>
    <row r="942" spans="16:16">
      <c r="P942" s="104" t="s">
        <v>1435</v>
      </c>
    </row>
    <row r="943" spans="16:16">
      <c r="P943" s="105" t="s">
        <v>1083</v>
      </c>
    </row>
    <row r="944" spans="16:16">
      <c r="P944" s="105" t="s">
        <v>76</v>
      </c>
    </row>
    <row r="945" spans="16:16">
      <c r="P945" s="105" t="s">
        <v>749</v>
      </c>
    </row>
    <row r="946" spans="16:16">
      <c r="P946" s="104" t="s">
        <v>568</v>
      </c>
    </row>
    <row r="947" spans="16:16">
      <c r="P947" s="105" t="s">
        <v>1083</v>
      </c>
    </row>
    <row r="948" spans="16:16">
      <c r="P948" s="105" t="s">
        <v>75</v>
      </c>
    </row>
    <row r="949" spans="16:16">
      <c r="P949" s="105" t="s">
        <v>1554</v>
      </c>
    </row>
    <row r="950" spans="16:16">
      <c r="P950" s="105" t="s">
        <v>749</v>
      </c>
    </row>
    <row r="951" spans="16:16">
      <c r="P951" s="104" t="s">
        <v>43</v>
      </c>
    </row>
    <row r="952" spans="16:16">
      <c r="P952" s="105" t="s">
        <v>73</v>
      </c>
    </row>
    <row r="953" spans="16:16">
      <c r="P953" s="104" t="s">
        <v>283</v>
      </c>
    </row>
    <row r="954" spans="16:16">
      <c r="P954" s="105" t="s">
        <v>77</v>
      </c>
    </row>
    <row r="955" spans="16:16">
      <c r="P955" s="105" t="s">
        <v>749</v>
      </c>
    </row>
    <row r="956" spans="16:16">
      <c r="P956" s="104" t="s">
        <v>1434</v>
      </c>
    </row>
    <row r="957" spans="16:16">
      <c r="P957" s="105" t="s">
        <v>1083</v>
      </c>
    </row>
    <row r="958" spans="16:16">
      <c r="P958" s="105" t="s">
        <v>749</v>
      </c>
    </row>
    <row r="959" spans="16:16">
      <c r="P959" s="104" t="s">
        <v>1433</v>
      </c>
    </row>
    <row r="960" spans="16:16">
      <c r="P960" s="105" t="s">
        <v>1083</v>
      </c>
    </row>
    <row r="961" spans="16:16">
      <c r="P961" s="105" t="s">
        <v>749</v>
      </c>
    </row>
    <row r="962" spans="16:16">
      <c r="P962" s="104" t="s">
        <v>2766</v>
      </c>
    </row>
    <row r="963" spans="16:16">
      <c r="P963" s="105" t="s">
        <v>1083</v>
      </c>
    </row>
    <row r="964" spans="16:16">
      <c r="P964" s="105" t="s">
        <v>75</v>
      </c>
    </row>
    <row r="965" spans="16:16">
      <c r="P965" s="105" t="s">
        <v>749</v>
      </c>
    </row>
    <row r="966" spans="16:16">
      <c r="P966" s="104" t="s">
        <v>2753</v>
      </c>
    </row>
    <row r="967" spans="16:16">
      <c r="P967" s="105" t="s">
        <v>749</v>
      </c>
    </row>
    <row r="968" spans="16:16">
      <c r="P968" s="105" t="s">
        <v>1601</v>
      </c>
    </row>
    <row r="969" spans="16:16">
      <c r="P969" s="104" t="s">
        <v>2751</v>
      </c>
    </row>
    <row r="970" spans="16:16">
      <c r="P970" s="105" t="s">
        <v>749</v>
      </c>
    </row>
    <row r="971" spans="16:16">
      <c r="P971" s="104" t="s">
        <v>2752</v>
      </c>
    </row>
    <row r="972" spans="16:16">
      <c r="P972" s="105" t="s">
        <v>73</v>
      </c>
    </row>
    <row r="973" spans="16:16">
      <c r="P973" s="105" t="s">
        <v>1083</v>
      </c>
    </row>
    <row r="974" spans="16:16">
      <c r="P974" s="105" t="s">
        <v>749</v>
      </c>
    </row>
    <row r="975" spans="16:16">
      <c r="P975" s="104" t="s">
        <v>2815</v>
      </c>
    </row>
    <row r="976" spans="16:16">
      <c r="P976" s="105" t="s">
        <v>73</v>
      </c>
    </row>
    <row r="977" spans="16:16">
      <c r="P977" s="105" t="s">
        <v>749</v>
      </c>
    </row>
    <row r="978" spans="16:16">
      <c r="P978" s="104" t="s">
        <v>3323</v>
      </c>
    </row>
    <row r="979" spans="16:16">
      <c r="P979" s="105" t="s">
        <v>1083</v>
      </c>
    </row>
    <row r="980" spans="16:16">
      <c r="P980" s="105" t="s">
        <v>75</v>
      </c>
    </row>
    <row r="981" spans="16:16">
      <c r="P981" s="105" t="s">
        <v>749</v>
      </c>
    </row>
    <row r="982" spans="16:16">
      <c r="P982" s="104" t="s">
        <v>3791</v>
      </c>
    </row>
    <row r="983" spans="16:16">
      <c r="P983" s="105" t="s">
        <v>73</v>
      </c>
    </row>
    <row r="984" spans="16:16">
      <c r="P984" s="105" t="s">
        <v>75</v>
      </c>
    </row>
    <row r="985" spans="16:16">
      <c r="P985" s="104" t="s">
        <v>5710</v>
      </c>
    </row>
    <row r="986" spans="16:16">
      <c r="P986" s="105" t="s">
        <v>76</v>
      </c>
    </row>
    <row r="987" spans="16:16">
      <c r="P987" s="105" t="s">
        <v>749</v>
      </c>
    </row>
    <row r="988" spans="16:16">
      <c r="P988" s="105" t="s">
        <v>3171</v>
      </c>
    </row>
    <row r="989" spans="16:16">
      <c r="P989" s="18" t="s">
        <v>2922</v>
      </c>
    </row>
    <row r="990" spans="16:16">
      <c r="P990" s="104" t="s">
        <v>29</v>
      </c>
    </row>
    <row r="991" spans="16:16">
      <c r="P991" s="105" t="s">
        <v>73</v>
      </c>
    </row>
    <row r="992" spans="16:16">
      <c r="P992" s="104" t="s">
        <v>1435</v>
      </c>
    </row>
    <row r="993" spans="16:16">
      <c r="P993" s="105" t="s">
        <v>73</v>
      </c>
    </row>
    <row r="994" spans="16:16">
      <c r="P994" s="105" t="s">
        <v>1083</v>
      </c>
    </row>
    <row r="995" spans="16:16">
      <c r="P995" s="104" t="s">
        <v>568</v>
      </c>
    </row>
    <row r="996" spans="16:16">
      <c r="P996" s="105" t="s">
        <v>73</v>
      </c>
    </row>
    <row r="997" spans="16:16">
      <c r="P997" s="105" t="s">
        <v>1083</v>
      </c>
    </row>
    <row r="998" spans="16:16">
      <c r="P998" s="104" t="s">
        <v>43</v>
      </c>
    </row>
    <row r="999" spans="16:16">
      <c r="P999" s="105" t="s">
        <v>73</v>
      </c>
    </row>
    <row r="1000" spans="16:16">
      <c r="P1000" s="105" t="s">
        <v>1083</v>
      </c>
    </row>
    <row r="1001" spans="16:16">
      <c r="P1001" s="104" t="s">
        <v>283</v>
      </c>
    </row>
    <row r="1002" spans="16:16">
      <c r="P1002" s="105" t="s">
        <v>73</v>
      </c>
    </row>
    <row r="1003" spans="16:16">
      <c r="P1003" s="104" t="s">
        <v>1434</v>
      </c>
    </row>
    <row r="1004" spans="16:16">
      <c r="P1004" s="105" t="s">
        <v>73</v>
      </c>
    </row>
    <row r="1005" spans="16:16">
      <c r="P1005" s="105" t="s">
        <v>1083</v>
      </c>
    </row>
    <row r="1006" spans="16:16">
      <c r="P1006" s="104" t="s">
        <v>1433</v>
      </c>
    </row>
    <row r="1007" spans="16:16">
      <c r="P1007" s="105" t="s">
        <v>1083</v>
      </c>
    </row>
    <row r="1008" spans="16:16">
      <c r="P1008" s="104" t="s">
        <v>2753</v>
      </c>
    </row>
    <row r="1009" spans="16:16">
      <c r="P1009" s="105" t="s">
        <v>73</v>
      </c>
    </row>
    <row r="1010" spans="16:16">
      <c r="P1010" s="105" t="s">
        <v>1083</v>
      </c>
    </row>
    <row r="1011" spans="16:16">
      <c r="P1011" s="104" t="s">
        <v>2752</v>
      </c>
    </row>
    <row r="1012" spans="16:16">
      <c r="P1012" s="105" t="s">
        <v>73</v>
      </c>
    </row>
    <row r="1013" spans="16:16">
      <c r="P1013" s="104" t="s">
        <v>2815</v>
      </c>
    </row>
    <row r="1014" spans="16:16">
      <c r="P1014" s="105" t="s">
        <v>1083</v>
      </c>
    </row>
    <row r="1015" spans="16:16">
      <c r="P1015" s="104" t="s">
        <v>3323</v>
      </c>
    </row>
    <row r="1016" spans="16:16">
      <c r="P1016" s="105" t="s">
        <v>73</v>
      </c>
    </row>
    <row r="1017" spans="16:16">
      <c r="P1017" s="104" t="s">
        <v>3324</v>
      </c>
    </row>
    <row r="1018" spans="16:16">
      <c r="P1018" s="105" t="s">
        <v>73</v>
      </c>
    </row>
    <row r="1019" spans="16:16">
      <c r="P1019" s="105" t="s">
        <v>1083</v>
      </c>
    </row>
    <row r="1020" spans="16:16">
      <c r="P1020" s="104" t="s">
        <v>3639</v>
      </c>
    </row>
    <row r="1021" spans="16:16">
      <c r="P1021" s="105" t="s">
        <v>73</v>
      </c>
    </row>
    <row r="1022" spans="16:16">
      <c r="P1022" s="104" t="s">
        <v>3791</v>
      </c>
    </row>
    <row r="1023" spans="16:16">
      <c r="P1023" s="105" t="s">
        <v>73</v>
      </c>
    </row>
    <row r="1024" spans="16:16">
      <c r="P1024" s="18" t="s">
        <v>2925</v>
      </c>
    </row>
    <row r="1025" spans="16:16">
      <c r="P1025" s="104" t="s">
        <v>1435</v>
      </c>
    </row>
    <row r="1026" spans="16:16">
      <c r="P1026" s="105" t="s">
        <v>73</v>
      </c>
    </row>
    <row r="1027" spans="16:16">
      <c r="P1027" s="104" t="s">
        <v>568</v>
      </c>
    </row>
    <row r="1028" spans="16:16">
      <c r="P1028" s="105" t="s">
        <v>73</v>
      </c>
    </row>
    <row r="1029" spans="16:16">
      <c r="P1029" s="104" t="s">
        <v>43</v>
      </c>
    </row>
    <row r="1030" spans="16:16">
      <c r="P1030" s="105" t="s">
        <v>73</v>
      </c>
    </row>
    <row r="1031" spans="16:16">
      <c r="P1031" s="104" t="s">
        <v>283</v>
      </c>
    </row>
    <row r="1032" spans="16:16">
      <c r="P1032" s="105" t="s">
        <v>73</v>
      </c>
    </row>
    <row r="1033" spans="16:16">
      <c r="P1033" s="104" t="s">
        <v>1434</v>
      </c>
    </row>
    <row r="1034" spans="16:16">
      <c r="P1034" s="105" t="s">
        <v>73</v>
      </c>
    </row>
    <row r="1035" spans="16:16">
      <c r="P1035" s="105" t="s">
        <v>1083</v>
      </c>
    </row>
    <row r="1036" spans="16:16">
      <c r="P1036" s="105" t="s">
        <v>76</v>
      </c>
    </row>
    <row r="1037" spans="16:16">
      <c r="P1037" s="104" t="s">
        <v>1433</v>
      </c>
    </row>
    <row r="1038" spans="16:16">
      <c r="P1038" s="105" t="s">
        <v>73</v>
      </c>
    </row>
    <row r="1039" spans="16:16">
      <c r="P1039" s="105" t="s">
        <v>1083</v>
      </c>
    </row>
    <row r="1040" spans="16:16">
      <c r="P1040" s="105" t="s">
        <v>749</v>
      </c>
    </row>
    <row r="1041" spans="16:16">
      <c r="P1041" s="104" t="s">
        <v>2766</v>
      </c>
    </row>
    <row r="1042" spans="16:16">
      <c r="P1042" s="105" t="s">
        <v>73</v>
      </c>
    </row>
    <row r="1043" spans="16:16">
      <c r="P1043" s="104" t="s">
        <v>2751</v>
      </c>
    </row>
    <row r="1044" spans="16:16">
      <c r="P1044" s="105" t="s">
        <v>73</v>
      </c>
    </row>
    <row r="1045" spans="16:16">
      <c r="P1045" s="104" t="s">
        <v>2752</v>
      </c>
    </row>
    <row r="1046" spans="16:16">
      <c r="P1046" s="105" t="s">
        <v>360</v>
      </c>
    </row>
    <row r="1047" spans="16:16">
      <c r="P1047" s="105" t="s">
        <v>1083</v>
      </c>
    </row>
    <row r="1048" spans="16:16">
      <c r="P1048" s="104" t="s">
        <v>2815</v>
      </c>
    </row>
    <row r="1049" spans="16:16">
      <c r="P1049" s="105" t="s">
        <v>73</v>
      </c>
    </row>
    <row r="1050" spans="16:16">
      <c r="P1050" s="105" t="s">
        <v>1083</v>
      </c>
    </row>
    <row r="1051" spans="16:16">
      <c r="P1051" s="104" t="s">
        <v>3323</v>
      </c>
    </row>
    <row r="1052" spans="16:16">
      <c r="P1052" s="105" t="s">
        <v>73</v>
      </c>
    </row>
    <row r="1053" spans="16:16">
      <c r="P1053" s="104" t="s">
        <v>3324</v>
      </c>
    </row>
    <row r="1054" spans="16:16">
      <c r="P1054" s="105" t="s">
        <v>73</v>
      </c>
    </row>
    <row r="1055" spans="16:16">
      <c r="P1055" s="18" t="s">
        <v>4931</v>
      </c>
    </row>
    <row r="1056" spans="16:16">
      <c r="P1056" s="104" t="s">
        <v>29</v>
      </c>
    </row>
    <row r="1057" spans="16:16">
      <c r="P1057" s="105" t="s">
        <v>73</v>
      </c>
    </row>
    <row r="1058" spans="16:16">
      <c r="P1058" s="105" t="s">
        <v>1083</v>
      </c>
    </row>
    <row r="1059" spans="16:16">
      <c r="P1059" s="104" t="s">
        <v>1435</v>
      </c>
    </row>
    <row r="1060" spans="16:16">
      <c r="P1060" s="105" t="s">
        <v>73</v>
      </c>
    </row>
    <row r="1061" spans="16:16">
      <c r="P1061" s="104" t="s">
        <v>568</v>
      </c>
    </row>
    <row r="1062" spans="16:16">
      <c r="P1062" s="105" t="s">
        <v>73</v>
      </c>
    </row>
    <row r="1063" spans="16:16">
      <c r="P1063" s="105" t="s">
        <v>1083</v>
      </c>
    </row>
    <row r="1064" spans="16:16">
      <c r="P1064" s="105" t="s">
        <v>1146</v>
      </c>
    </row>
    <row r="1065" spans="16:16">
      <c r="P1065" s="104" t="s">
        <v>43</v>
      </c>
    </row>
    <row r="1066" spans="16:16">
      <c r="P1066" s="105" t="s">
        <v>76</v>
      </c>
    </row>
    <row r="1067" spans="16:16">
      <c r="P1067" s="105" t="s">
        <v>77</v>
      </c>
    </row>
    <row r="1068" spans="16:16">
      <c r="P1068" s="105" t="s">
        <v>228</v>
      </c>
    </row>
    <row r="1069" spans="16:16">
      <c r="P1069" s="104" t="s">
        <v>283</v>
      </c>
    </row>
    <row r="1070" spans="16:16">
      <c r="P1070" s="105" t="s">
        <v>73</v>
      </c>
    </row>
    <row r="1071" spans="16:16">
      <c r="P1071" s="105" t="s">
        <v>1083</v>
      </c>
    </row>
    <row r="1072" spans="16:16">
      <c r="P1072" s="105" t="s">
        <v>76</v>
      </c>
    </row>
    <row r="1073" spans="16:16">
      <c r="P1073" s="105" t="s">
        <v>75</v>
      </c>
    </row>
    <row r="1074" spans="16:16">
      <c r="P1074" s="105" t="s">
        <v>228</v>
      </c>
    </row>
    <row r="1075" spans="16:16">
      <c r="P1075" s="104" t="s">
        <v>1434</v>
      </c>
    </row>
    <row r="1076" spans="16:16">
      <c r="P1076" s="105" t="s">
        <v>73</v>
      </c>
    </row>
    <row r="1077" spans="16:16">
      <c r="P1077" s="105" t="s">
        <v>1206</v>
      </c>
    </row>
    <row r="1078" spans="16:16">
      <c r="P1078" s="104" t="s">
        <v>1433</v>
      </c>
    </row>
    <row r="1079" spans="16:16">
      <c r="P1079" s="105" t="s">
        <v>76</v>
      </c>
    </row>
    <row r="1080" spans="16:16">
      <c r="P1080" s="105" t="s">
        <v>1755</v>
      </c>
    </row>
    <row r="1081" spans="16:16">
      <c r="P1081" s="105" t="s">
        <v>77</v>
      </c>
    </row>
    <row r="1082" spans="16:16">
      <c r="P1082" s="104" t="s">
        <v>2766</v>
      </c>
    </row>
    <row r="1083" spans="16:16">
      <c r="P1083" s="105" t="s">
        <v>76</v>
      </c>
    </row>
    <row r="1084" spans="16:16">
      <c r="P1084" s="104" t="s">
        <v>2752</v>
      </c>
    </row>
    <row r="1085" spans="16:16">
      <c r="P1085" s="105" t="s">
        <v>73</v>
      </c>
    </row>
    <row r="1086" spans="16:16">
      <c r="P1086" s="105" t="s">
        <v>1083</v>
      </c>
    </row>
    <row r="1087" spans="16:16">
      <c r="P1087" s="104" t="s">
        <v>2815</v>
      </c>
    </row>
    <row r="1088" spans="16:16">
      <c r="P1088" s="105" t="s">
        <v>73</v>
      </c>
    </row>
    <row r="1089" spans="16:16">
      <c r="P1089" s="105" t="s">
        <v>2011</v>
      </c>
    </row>
    <row r="1090" spans="16:16">
      <c r="P1090" s="104" t="s">
        <v>3323</v>
      </c>
    </row>
    <row r="1091" spans="16:16">
      <c r="P1091" s="105" t="s">
        <v>73</v>
      </c>
    </row>
    <row r="1092" spans="16:16">
      <c r="P1092" s="105" t="s">
        <v>1083</v>
      </c>
    </row>
    <row r="1093" spans="16:16">
      <c r="P1093" s="104" t="s">
        <v>3324</v>
      </c>
    </row>
    <row r="1094" spans="16:16">
      <c r="P1094" s="105" t="s">
        <v>73</v>
      </c>
    </row>
    <row r="1095" spans="16:16">
      <c r="P1095" s="104" t="s">
        <v>3639</v>
      </c>
    </row>
    <row r="1096" spans="16:16">
      <c r="P1096" s="105" t="s">
        <v>75</v>
      </c>
    </row>
    <row r="1097" spans="16:16">
      <c r="P1097" s="105" t="s">
        <v>74</v>
      </c>
    </row>
    <row r="1098" spans="16:16">
      <c r="P1098" s="104" t="s">
        <v>3791</v>
      </c>
    </row>
    <row r="1099" spans="16:16">
      <c r="P1099" s="105" t="s">
        <v>73</v>
      </c>
    </row>
    <row r="1100" spans="16:16">
      <c r="P1100" s="105" t="s">
        <v>77</v>
      </c>
    </row>
    <row r="1101" spans="16:16">
      <c r="P1101" s="105" t="s">
        <v>228</v>
      </c>
    </row>
    <row r="1102" spans="16:16">
      <c r="P1102" s="104" t="s">
        <v>5709</v>
      </c>
    </row>
    <row r="1103" spans="16:16">
      <c r="P1103" s="105" t="s">
        <v>73</v>
      </c>
    </row>
    <row r="1104" spans="16:16">
      <c r="P1104" s="104" t="s">
        <v>5710</v>
      </c>
    </row>
    <row r="1105" spans="16:16">
      <c r="P1105" s="105" t="s">
        <v>1083</v>
      </c>
    </row>
    <row r="1106" spans="16:16">
      <c r="P1106" s="18" t="s">
        <v>4746</v>
      </c>
    </row>
    <row r="1107" spans="16:16">
      <c r="P1107" s="104" t="s">
        <v>29</v>
      </c>
    </row>
    <row r="1108" spans="16:16">
      <c r="P1108" s="105" t="s">
        <v>73</v>
      </c>
    </row>
    <row r="1109" spans="16:16">
      <c r="P1109" s="104" t="s">
        <v>1435</v>
      </c>
    </row>
    <row r="1110" spans="16:16">
      <c r="P1110" s="105" t="s">
        <v>73</v>
      </c>
    </row>
    <row r="1111" spans="16:16">
      <c r="P1111" s="105" t="s">
        <v>1083</v>
      </c>
    </row>
    <row r="1112" spans="16:16">
      <c r="P1112" s="105" t="s">
        <v>1206</v>
      </c>
    </row>
    <row r="1113" spans="16:16">
      <c r="P1113" s="104" t="s">
        <v>568</v>
      </c>
    </row>
    <row r="1114" spans="16:16">
      <c r="P1114" s="105" t="s">
        <v>73</v>
      </c>
    </row>
    <row r="1115" spans="16:16">
      <c r="P1115" s="105" t="s">
        <v>1083</v>
      </c>
    </row>
    <row r="1116" spans="16:16">
      <c r="P1116" s="105" t="s">
        <v>75</v>
      </c>
    </row>
    <row r="1117" spans="16:16">
      <c r="P1117" s="104" t="s">
        <v>283</v>
      </c>
    </row>
    <row r="1118" spans="16:16">
      <c r="P1118" s="105" t="s">
        <v>73</v>
      </c>
    </row>
    <row r="1119" spans="16:16">
      <c r="P1119" s="105" t="s">
        <v>1083</v>
      </c>
    </row>
    <row r="1120" spans="16:16">
      <c r="P1120" s="104" t="s">
        <v>1434</v>
      </c>
    </row>
    <row r="1121" spans="16:16">
      <c r="P1121" s="105" t="s">
        <v>73</v>
      </c>
    </row>
    <row r="1122" spans="16:16">
      <c r="P1122" s="104" t="s">
        <v>1433</v>
      </c>
    </row>
    <row r="1123" spans="16:16">
      <c r="P1123" s="105" t="s">
        <v>73</v>
      </c>
    </row>
    <row r="1124" spans="16:16">
      <c r="P1124" s="104" t="s">
        <v>2766</v>
      </c>
    </row>
    <row r="1125" spans="16:16">
      <c r="P1125" s="105" t="s">
        <v>73</v>
      </c>
    </row>
    <row r="1126" spans="16:16">
      <c r="P1126" s="104" t="s">
        <v>2753</v>
      </c>
    </row>
    <row r="1127" spans="16:16">
      <c r="P1127" s="105" t="s">
        <v>76</v>
      </c>
    </row>
    <row r="1128" spans="16:16">
      <c r="P1128" s="105" t="s">
        <v>75</v>
      </c>
    </row>
    <row r="1129" spans="16:16">
      <c r="P1129" s="105" t="s">
        <v>77</v>
      </c>
    </row>
    <row r="1130" spans="16:16">
      <c r="P1130" s="104" t="s">
        <v>2752</v>
      </c>
    </row>
    <row r="1131" spans="16:16">
      <c r="P1131" s="105" t="s">
        <v>73</v>
      </c>
    </row>
    <row r="1132" spans="16:16">
      <c r="P1132" s="105" t="s">
        <v>76</v>
      </c>
    </row>
    <row r="1133" spans="16:16">
      <c r="P1133" s="105" t="s">
        <v>77</v>
      </c>
    </row>
    <row r="1134" spans="16:16">
      <c r="P1134" s="104" t="s">
        <v>2815</v>
      </c>
    </row>
    <row r="1135" spans="16:16">
      <c r="P1135" s="105" t="s">
        <v>73</v>
      </c>
    </row>
    <row r="1136" spans="16:16">
      <c r="P1136" s="105" t="s">
        <v>1083</v>
      </c>
    </row>
    <row r="1137" spans="16:16">
      <c r="P1137" s="105" t="s">
        <v>76</v>
      </c>
    </row>
    <row r="1138" spans="16:16">
      <c r="P1138" s="105" t="s">
        <v>75</v>
      </c>
    </row>
    <row r="1139" spans="16:16">
      <c r="P1139" s="105" t="s">
        <v>77</v>
      </c>
    </row>
    <row r="1140" spans="16:16">
      <c r="P1140" s="104" t="s">
        <v>3323</v>
      </c>
    </row>
    <row r="1141" spans="16:16">
      <c r="P1141" s="105" t="s">
        <v>73</v>
      </c>
    </row>
    <row r="1142" spans="16:16">
      <c r="P1142" s="105" t="s">
        <v>75</v>
      </c>
    </row>
    <row r="1143" spans="16:16">
      <c r="P1143" s="105" t="s">
        <v>77</v>
      </c>
    </row>
    <row r="1144" spans="16:16">
      <c r="P1144" s="105" t="s">
        <v>228</v>
      </c>
    </row>
    <row r="1145" spans="16:16">
      <c r="P1145" s="104" t="s">
        <v>3324</v>
      </c>
    </row>
    <row r="1146" spans="16:16">
      <c r="P1146" s="105" t="s">
        <v>73</v>
      </c>
    </row>
    <row r="1147" spans="16:16">
      <c r="P1147" s="105" t="s">
        <v>76</v>
      </c>
    </row>
    <row r="1148" spans="16:16">
      <c r="P1148" s="105" t="s">
        <v>75</v>
      </c>
    </row>
    <row r="1149" spans="16:16">
      <c r="P1149" s="105" t="s">
        <v>77</v>
      </c>
    </row>
    <row r="1150" spans="16:16">
      <c r="P1150" s="105" t="s">
        <v>228</v>
      </c>
    </row>
    <row r="1151" spans="16:16">
      <c r="P1151" s="104" t="s">
        <v>4749</v>
      </c>
    </row>
    <row r="1152" spans="16:16">
      <c r="P1152" s="105" t="s">
        <v>76</v>
      </c>
    </row>
    <row r="1153" spans="16:16">
      <c r="P1153" s="105" t="s">
        <v>75</v>
      </c>
    </row>
    <row r="1154" spans="16:16">
      <c r="P1154" s="105" t="s">
        <v>77</v>
      </c>
    </row>
    <row r="1155" spans="16:16">
      <c r="P1155" s="105" t="s">
        <v>1146</v>
      </c>
    </row>
    <row r="1156" spans="16:16">
      <c r="P1156" s="105" t="s">
        <v>2011</v>
      </c>
    </row>
    <row r="1157" spans="16:16">
      <c r="P1157" s="104" t="s">
        <v>5709</v>
      </c>
    </row>
    <row r="1158" spans="16:16">
      <c r="P1158" s="105" t="s">
        <v>73</v>
      </c>
    </row>
    <row r="1159" spans="16:16">
      <c r="P1159" s="104" t="s">
        <v>5710</v>
      </c>
    </row>
    <row r="1160" spans="16:16">
      <c r="P1160" s="105" t="s">
        <v>73</v>
      </c>
    </row>
    <row r="1161" spans="16:16">
      <c r="P1161" s="18" t="s">
        <v>4932</v>
      </c>
    </row>
    <row r="1162" spans="16:16">
      <c r="P1162" s="104" t="s">
        <v>29</v>
      </c>
    </row>
    <row r="1163" spans="16:16">
      <c r="P1163" s="105" t="s">
        <v>73</v>
      </c>
    </row>
    <row r="1164" spans="16:16">
      <c r="P1164" s="104" t="s">
        <v>1435</v>
      </c>
    </row>
    <row r="1165" spans="16:16">
      <c r="P1165" s="105" t="s">
        <v>73</v>
      </c>
    </row>
    <row r="1166" spans="16:16">
      <c r="P1166" s="104" t="s">
        <v>568</v>
      </c>
    </row>
    <row r="1167" spans="16:16">
      <c r="P1167" s="105" t="s">
        <v>73</v>
      </c>
    </row>
    <row r="1168" spans="16:16">
      <c r="P1168" s="105" t="s">
        <v>1083</v>
      </c>
    </row>
    <row r="1169" spans="16:16">
      <c r="P1169" s="104" t="s">
        <v>283</v>
      </c>
    </row>
    <row r="1170" spans="16:16">
      <c r="P1170" s="105" t="s">
        <v>75</v>
      </c>
    </row>
    <row r="1171" spans="16:16">
      <c r="P1171" s="105" t="s">
        <v>987</v>
      </c>
    </row>
    <row r="1172" spans="16:16">
      <c r="P1172" s="104" t="s">
        <v>1434</v>
      </c>
    </row>
    <row r="1173" spans="16:16">
      <c r="P1173" s="105" t="s">
        <v>73</v>
      </c>
    </row>
    <row r="1174" spans="16:16">
      <c r="P1174" s="105" t="s">
        <v>1083</v>
      </c>
    </row>
    <row r="1175" spans="16:16">
      <c r="P1175" s="104" t="s">
        <v>1433</v>
      </c>
    </row>
    <row r="1176" spans="16:16">
      <c r="P1176" s="105" t="s">
        <v>73</v>
      </c>
    </row>
    <row r="1177" spans="16:16">
      <c r="P1177" s="104" t="s">
        <v>2766</v>
      </c>
    </row>
    <row r="1178" spans="16:16">
      <c r="P1178" s="105" t="s">
        <v>73</v>
      </c>
    </row>
    <row r="1179" spans="16:16">
      <c r="P1179" s="105" t="s">
        <v>1083</v>
      </c>
    </row>
    <row r="1180" spans="16:16">
      <c r="P1180" s="104" t="s">
        <v>2815</v>
      </c>
    </row>
    <row r="1181" spans="16:16">
      <c r="P1181" s="105" t="s">
        <v>73</v>
      </c>
    </row>
    <row r="1182" spans="16:16">
      <c r="P1182" s="104" t="s">
        <v>3323</v>
      </c>
    </row>
    <row r="1183" spans="16:16">
      <c r="P1183" s="105" t="s">
        <v>76</v>
      </c>
    </row>
    <row r="1184" spans="16:16">
      <c r="P1184" s="104" t="s">
        <v>3791</v>
      </c>
    </row>
    <row r="1185" spans="16:16">
      <c r="P1185" s="105" t="s">
        <v>73</v>
      </c>
    </row>
    <row r="1186" spans="16:16">
      <c r="P1186" s="104" t="s">
        <v>5710</v>
      </c>
    </row>
    <row r="1187" spans="16:16">
      <c r="P1187" s="105" t="s">
        <v>73</v>
      </c>
    </row>
    <row r="1188" spans="16:16">
      <c r="P1188" s="105" t="s">
        <v>1083</v>
      </c>
    </row>
    <row r="1189" spans="16:16">
      <c r="P1189" s="18" t="s">
        <v>5708</v>
      </c>
    </row>
    <row r="1190" spans="16:16">
      <c r="P1190" s="104" t="s">
        <v>5708</v>
      </c>
    </row>
    <row r="1191" spans="16:16">
      <c r="P1191" s="105" t="s">
        <v>5708</v>
      </c>
    </row>
    <row r="1192" spans="16:16">
      <c r="P1192" s="18" t="s">
        <v>1477</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80" orientation="landscape" r:id="rId12"/>
  <legacyDrawing r:id="rId13"/>
</worksheet>
</file>

<file path=xl/worksheets/sheet5.xml><?xml version="1.0" encoding="utf-8"?>
<worksheet xmlns="http://schemas.openxmlformats.org/spreadsheetml/2006/main" xmlns:r="http://schemas.openxmlformats.org/officeDocument/2006/relationships">
  <sheetPr codeName="Hoja4"/>
  <dimension ref="A1:L121"/>
  <sheetViews>
    <sheetView topLeftCell="A73" zoomScale="85" zoomScaleNormal="85" zoomScaleSheetLayoutView="70" zoomScalePageLayoutView="90" workbookViewId="0">
      <selection activeCell="C60" sqref="C60"/>
    </sheetView>
  </sheetViews>
  <sheetFormatPr baseColWidth="10" defaultColWidth="7" defaultRowHeight="13.2"/>
  <cols>
    <col min="1" max="1" width="5.5546875" customWidth="1"/>
    <col min="2" max="2" width="28.109375" customWidth="1"/>
    <col min="3" max="3" width="14.88671875" customWidth="1"/>
    <col min="4" max="4" width="13.6640625" customWidth="1"/>
    <col min="5" max="5" width="25.5546875" customWidth="1"/>
    <col min="6" max="6" width="19.5546875" customWidth="1"/>
    <col min="7" max="7" width="10.109375" customWidth="1"/>
    <col min="8" max="8" width="25.5546875" customWidth="1"/>
    <col min="9" max="9" width="19.5546875" customWidth="1"/>
  </cols>
  <sheetData>
    <row r="1" spans="2:9" ht="36.75" customHeight="1">
      <c r="B1" s="735" t="str">
        <f ca="1">"AUDIENCIAS ASIGNADAS  AL DIA: " &amp; TEXT(TODAY(),"DD/MM/YYYY")</f>
        <v>AUDIENCIAS ASIGNADAS  AL DIA: 26/04/2024</v>
      </c>
      <c r="C1" s="735"/>
      <c r="D1" s="735"/>
      <c r="E1" s="735"/>
      <c r="F1" s="735"/>
      <c r="G1" s="735"/>
      <c r="H1" s="735"/>
      <c r="I1" s="735"/>
    </row>
    <row r="3" spans="2:9" ht="28.5" customHeight="1">
      <c r="B3" s="733" t="s">
        <v>2033</v>
      </c>
      <c r="C3" s="734"/>
      <c r="E3" s="733" t="s">
        <v>2335</v>
      </c>
      <c r="F3" s="734"/>
      <c r="H3" s="733" t="s">
        <v>2362</v>
      </c>
      <c r="I3" s="734"/>
    </row>
    <row r="4" spans="2:9" ht="20.100000000000001" customHeight="1">
      <c r="B4" s="12" t="s">
        <v>382</v>
      </c>
      <c r="C4" s="12" t="s">
        <v>362</v>
      </c>
      <c r="E4" s="12" t="s">
        <v>382</v>
      </c>
      <c r="F4" s="12" t="s">
        <v>362</v>
      </c>
      <c r="H4" s="12" t="s">
        <v>382</v>
      </c>
      <c r="I4" s="12" t="s">
        <v>362</v>
      </c>
    </row>
    <row r="5" spans="2:9" ht="24.9" customHeight="1">
      <c r="B5" s="11" t="s">
        <v>35</v>
      </c>
      <c r="C5" s="11">
        <f>COUNTIF(EXPEDIENTES!$J:$J,$B5)</f>
        <v>260</v>
      </c>
      <c r="D5" s="10"/>
      <c r="E5" s="11" t="s">
        <v>1218</v>
      </c>
      <c r="F5" s="11">
        <f>COUNTIF(EXPEDIENTES!$J:$J,$E5)</f>
        <v>29</v>
      </c>
      <c r="H5" s="11" t="s">
        <v>1680</v>
      </c>
      <c r="I5" s="11">
        <f>COUNTIF(EXPEDIENTES!$J:$J,$H5)</f>
        <v>18</v>
      </c>
    </row>
    <row r="6" spans="2:9" ht="24.9" customHeight="1">
      <c r="B6" s="11" t="s">
        <v>31</v>
      </c>
      <c r="C6" s="11">
        <f>COUNTIF(EXPEDIENTES!$J:$J,$B6)</f>
        <v>279</v>
      </c>
      <c r="E6" s="11" t="s">
        <v>1219</v>
      </c>
      <c r="F6" s="11">
        <f>COUNTIF(EXPEDIENTES!$J:$J,$E6)</f>
        <v>27</v>
      </c>
      <c r="H6" s="192" t="s">
        <v>370</v>
      </c>
      <c r="I6" s="57">
        <f>SUM(I5)</f>
        <v>18</v>
      </c>
    </row>
    <row r="7" spans="2:9" ht="24.9" customHeight="1">
      <c r="B7" s="11" t="s">
        <v>33</v>
      </c>
      <c r="C7" s="11">
        <f>COUNTIF(EXPEDIENTES!$J:$J,$B7)</f>
        <v>288</v>
      </c>
      <c r="E7" s="11" t="s">
        <v>1220</v>
      </c>
      <c r="F7" s="11">
        <f>COUNTIF(EXPEDIENTES!$J:$J,$E7)</f>
        <v>35</v>
      </c>
    </row>
    <row r="8" spans="2:9" ht="24.9" customHeight="1">
      <c r="B8" s="11" t="s">
        <v>78</v>
      </c>
      <c r="C8" s="11">
        <f>COUNTIF(EXPEDIENTES!$J:$J,$B8)</f>
        <v>293</v>
      </c>
      <c r="E8" s="11" t="s">
        <v>1616</v>
      </c>
      <c r="F8" s="11">
        <f>COUNTIF(EXPEDIENTES!$J:$J,$E8)</f>
        <v>20</v>
      </c>
    </row>
    <row r="9" spans="2:9" ht="24.9" customHeight="1">
      <c r="B9" s="11" t="s">
        <v>1216</v>
      </c>
      <c r="C9" s="11">
        <f>COUNTIF(EXPEDIENTES!$J:$J,$B9)</f>
        <v>213</v>
      </c>
      <c r="E9" s="11" t="s">
        <v>1484</v>
      </c>
      <c r="F9" s="11">
        <f>COUNTIF(EXPEDIENTES!$J:$J,$E9)</f>
        <v>11</v>
      </c>
    </row>
    <row r="10" spans="2:9" ht="24.9" customHeight="1">
      <c r="B10" s="11" t="s">
        <v>1221</v>
      </c>
      <c r="C10" s="11">
        <f>COUNTIF(EXPEDIENTES!$J:$J,$B10)</f>
        <v>84</v>
      </c>
      <c r="E10" s="11" t="s">
        <v>1723</v>
      </c>
      <c r="F10" s="11">
        <f>COUNTIF(EXPEDIENTES!$J:$J,$E10)</f>
        <v>37</v>
      </c>
      <c r="H10" s="111"/>
      <c r="I10" s="111"/>
    </row>
    <row r="11" spans="2:9" ht="24.9" customHeight="1">
      <c r="B11" s="11" t="s">
        <v>1217</v>
      </c>
      <c r="C11" s="11">
        <f>COUNTIF(EXPEDIENTES!$J:$J,$B11)</f>
        <v>237</v>
      </c>
      <c r="E11" s="310" t="s">
        <v>2922</v>
      </c>
      <c r="F11" s="11">
        <f>COUNTIF(EXPEDIENTES!$J:$J,$E11)</f>
        <v>35</v>
      </c>
      <c r="H11" s="111"/>
      <c r="I11" s="111"/>
    </row>
    <row r="12" spans="2:9" s="306" customFormat="1" ht="24.9" customHeight="1">
      <c r="B12" s="305" t="s">
        <v>370</v>
      </c>
      <c r="C12" s="57">
        <f>SUM(C5:C11)</f>
        <v>1654</v>
      </c>
      <c r="E12" s="311" t="s">
        <v>2925</v>
      </c>
      <c r="F12" s="312">
        <f>COUNTIF(EXPEDIENTES!$J:$J,$E12)</f>
        <v>32</v>
      </c>
      <c r="H12" s="307"/>
      <c r="I12" s="307"/>
    </row>
    <row r="13" spans="2:9" s="306" customFormat="1" ht="24.9" customHeight="1">
      <c r="E13" s="192" t="s">
        <v>370</v>
      </c>
      <c r="F13" s="57">
        <f>SUM(F5:F12)</f>
        <v>226</v>
      </c>
      <c r="H13" s="307"/>
      <c r="I13" s="307"/>
    </row>
    <row r="14" spans="2:9" s="306" customFormat="1" ht="24.9" customHeight="1">
      <c r="E14" s="309"/>
      <c r="F14" s="309"/>
      <c r="H14" s="307"/>
      <c r="I14" s="307"/>
    </row>
    <row r="15" spans="2:9" s="306" customFormat="1" ht="24.9" customHeight="1">
      <c r="B15" s="307"/>
      <c r="C15" s="307"/>
      <c r="E15" s="309"/>
      <c r="F15" s="309"/>
      <c r="H15" s="307"/>
      <c r="I15" s="307"/>
    </row>
    <row r="16" spans="2:9" s="306" customFormat="1" ht="24.9" customHeight="1">
      <c r="B16" s="307"/>
      <c r="C16" s="307"/>
    </row>
    <row r="17" spans="2:9" s="306" customFormat="1" ht="24.9" customHeight="1">
      <c r="B17" s="307"/>
      <c r="C17" s="307"/>
      <c r="E17" s="309"/>
      <c r="F17" s="309"/>
      <c r="H17" s="307"/>
      <c r="I17" s="307"/>
    </row>
    <row r="18" spans="2:9" s="306" customFormat="1" ht="24.9" customHeight="1">
      <c r="B18" s="307"/>
      <c r="C18" s="307"/>
      <c r="E18" s="309"/>
      <c r="F18" s="309"/>
      <c r="H18" s="307"/>
      <c r="I18" s="307"/>
    </row>
    <row r="19" spans="2:9" s="306" customFormat="1" ht="24.9" customHeight="1">
      <c r="B19" s="309"/>
      <c r="C19" s="309"/>
      <c r="E19" s="309"/>
      <c r="F19" s="309"/>
      <c r="H19" s="307"/>
      <c r="I19" s="307"/>
    </row>
    <row r="20" spans="2:9" s="306" customFormat="1" ht="24.9" customHeight="1">
      <c r="B20" s="307"/>
      <c r="C20" s="307"/>
      <c r="E20" s="309"/>
      <c r="F20" s="309"/>
      <c r="H20" s="307"/>
      <c r="I20" s="307"/>
    </row>
    <row r="21" spans="2:9" s="306" customFormat="1" ht="24.9" customHeight="1">
      <c r="B21" s="309"/>
      <c r="C21" s="309"/>
      <c r="E21" s="309"/>
      <c r="F21" s="309"/>
      <c r="H21" s="307"/>
      <c r="I21" s="307"/>
    </row>
    <row r="22" spans="2:9" ht="24.9" customHeight="1">
      <c r="B22" s="307"/>
      <c r="C22" s="308"/>
      <c r="E22" s="110"/>
      <c r="F22" s="110"/>
      <c r="H22" s="111"/>
      <c r="I22" s="111"/>
    </row>
    <row r="23" spans="2:9" s="306" customFormat="1" ht="24.9" customHeight="1">
      <c r="B23" s="307"/>
      <c r="C23" s="308"/>
      <c r="E23" s="309"/>
      <c r="F23" s="309"/>
      <c r="H23" s="307"/>
      <c r="I23" s="307"/>
    </row>
    <row r="24" spans="2:9" s="306" customFormat="1" ht="24.9" customHeight="1">
      <c r="B24" s="307"/>
      <c r="C24" s="308"/>
      <c r="E24" s="309"/>
      <c r="F24" s="309"/>
      <c r="H24" s="307"/>
      <c r="I24" s="307"/>
    </row>
    <row r="25" spans="2:9" ht="24.9" customHeight="1">
      <c r="B25" s="111"/>
      <c r="C25" s="111"/>
      <c r="E25" s="110"/>
      <c r="F25" s="110"/>
      <c r="H25" s="111"/>
      <c r="I25" s="111"/>
    </row>
    <row r="26" spans="2:9" ht="24.9" customHeight="1">
      <c r="B26" s="735" t="str">
        <f ca="1">"AUDIENCIAS QUE RESTAN RESOLVER -  AL DIA: " &amp; TEXT(TODAY(),"DD/MM/YYYY")</f>
        <v>AUDIENCIAS QUE RESTAN RESOLVER -  AL DIA: 26/04/2024</v>
      </c>
      <c r="C26" s="735"/>
      <c r="D26" s="735"/>
      <c r="E26" s="735"/>
      <c r="F26" s="735"/>
      <c r="G26" s="735"/>
      <c r="H26" s="735"/>
      <c r="I26" s="735"/>
    </row>
    <row r="27" spans="2:9" ht="24.9" customHeight="1"/>
    <row r="28" spans="2:9" ht="24.9" customHeight="1">
      <c r="B28" s="733" t="s">
        <v>2034</v>
      </c>
      <c r="C28" s="734"/>
      <c r="E28" s="733" t="s">
        <v>2336</v>
      </c>
      <c r="F28" s="734"/>
      <c r="H28" s="733" t="s">
        <v>2035</v>
      </c>
      <c r="I28" s="734"/>
    </row>
    <row r="29" spans="2:9" ht="24.9" customHeight="1">
      <c r="B29" s="12" t="s">
        <v>382</v>
      </c>
      <c r="C29" s="12" t="s">
        <v>362</v>
      </c>
      <c r="E29" s="12" t="s">
        <v>382</v>
      </c>
      <c r="F29" s="12" t="s">
        <v>362</v>
      </c>
      <c r="H29" s="12" t="s">
        <v>382</v>
      </c>
      <c r="I29" s="12" t="s">
        <v>362</v>
      </c>
    </row>
    <row r="30" spans="2:9" ht="24.9" customHeight="1">
      <c r="B30" s="11" t="s">
        <v>35</v>
      </c>
      <c r="C30" s="11">
        <f ca="1">COUNTIFS(EXPEDIENTES!J:J,$B30,EXPEDIENTES!O:O,"NO")</f>
        <v>15</v>
      </c>
      <c r="E30" s="11" t="s">
        <v>1218</v>
      </c>
      <c r="F30" s="11">
        <f ca="1">COUNTIFS(EXPEDIENTES!J:J,$E30,EXPEDIENTES!O:O,"NO")</f>
        <v>0</v>
      </c>
      <c r="H30" s="11" t="s">
        <v>1680</v>
      </c>
      <c r="I30" s="11">
        <f ca="1">COUNTIFS(EXPEDIENTES!J:J,$H30,EXPEDIENTES!O:O,"NO")</f>
        <v>0</v>
      </c>
    </row>
    <row r="31" spans="2:9" ht="24.9" customHeight="1">
      <c r="B31" s="11" t="s">
        <v>31</v>
      </c>
      <c r="C31" s="11">
        <f ca="1">COUNTIFS(EXPEDIENTES!J:J,$B31,EXPEDIENTES!O:O,"NO")</f>
        <v>5</v>
      </c>
      <c r="E31" s="11" t="s">
        <v>1219</v>
      </c>
      <c r="F31" s="11">
        <f ca="1">COUNTIFS(EXPEDIENTES!J:J,$E31,EXPEDIENTES!O:O,"NO")</f>
        <v>0</v>
      </c>
      <c r="H31" s="192" t="s">
        <v>370</v>
      </c>
      <c r="I31" s="57">
        <f ca="1">SUM(I30)</f>
        <v>0</v>
      </c>
    </row>
    <row r="32" spans="2:9" ht="20.100000000000001" customHeight="1">
      <c r="B32" s="11" t="s">
        <v>33</v>
      </c>
      <c r="C32" s="11">
        <f ca="1">COUNTIFS(EXPEDIENTES!J:J,$B32,EXPEDIENTES!O:O,"NO")</f>
        <v>12</v>
      </c>
      <c r="E32" s="11" t="s">
        <v>1220</v>
      </c>
      <c r="F32" s="11">
        <f ca="1">COUNTIFS(EXPEDIENTES!J:J,$E32,EXPEDIENTES!O:O,"NO")</f>
        <v>0</v>
      </c>
    </row>
    <row r="33" spans="2:6" ht="20.100000000000001" customHeight="1">
      <c r="B33" s="11" t="s">
        <v>78</v>
      </c>
      <c r="C33" s="11">
        <f ca="1">COUNTIFS(EXPEDIENTES!J:J,$B33,EXPEDIENTES!O:O,"NO")</f>
        <v>13</v>
      </c>
      <c r="E33" s="11" t="s">
        <v>1616</v>
      </c>
      <c r="F33" s="11">
        <f ca="1">COUNTIFS(EXPEDIENTES!J:J,$E33,EXPEDIENTES!O:O,"NO")</f>
        <v>0</v>
      </c>
    </row>
    <row r="34" spans="2:6" ht="20.100000000000001" customHeight="1">
      <c r="B34" s="11" t="s">
        <v>1216</v>
      </c>
      <c r="C34" s="11">
        <f ca="1">COUNTIFS(EXPEDIENTES!J:J,$B34,EXPEDIENTES!O:O,"NO")</f>
        <v>13</v>
      </c>
      <c r="E34" s="11" t="s">
        <v>1484</v>
      </c>
      <c r="F34" s="11">
        <f ca="1">COUNTIFS(EXPEDIENTES!J:J,$E34,EXPEDIENTES!O:O,"NO")</f>
        <v>0</v>
      </c>
    </row>
    <row r="35" spans="2:6" ht="20.100000000000001" customHeight="1">
      <c r="B35" s="11" t="s">
        <v>1221</v>
      </c>
      <c r="C35" s="11">
        <f ca="1">COUNTIFS(EXPEDIENTES!J:J,$B35,EXPEDIENTES!O:O,"NO")</f>
        <v>11</v>
      </c>
      <c r="E35" s="11" t="s">
        <v>1723</v>
      </c>
      <c r="F35" s="11">
        <f ca="1">COUNTIFS(EXPEDIENTES!J:J,$E35,EXPEDIENTES!O:O,"NO")</f>
        <v>0</v>
      </c>
    </row>
    <row r="36" spans="2:6" ht="20.100000000000001" customHeight="1">
      <c r="B36" s="11" t="s">
        <v>1217</v>
      </c>
      <c r="C36" s="11">
        <f ca="1">COUNTIFS(EXPEDIENTES!J:J,$B36,EXPEDIENTES!O:O,"NO")</f>
        <v>14</v>
      </c>
      <c r="E36" s="310" t="s">
        <v>2922</v>
      </c>
      <c r="F36" s="11">
        <f ca="1">COUNTIFS(EXPEDIENTES!J:J,$E36,EXPEDIENTES!O:O,"NO")</f>
        <v>0</v>
      </c>
    </row>
    <row r="37" spans="2:6" ht="20.100000000000001" customHeight="1">
      <c r="B37" s="192" t="s">
        <v>961</v>
      </c>
      <c r="C37" s="57">
        <f ca="1">SUM(C30:C36)</f>
        <v>83</v>
      </c>
      <c r="E37" s="311" t="s">
        <v>2925</v>
      </c>
      <c r="F37" s="11">
        <f ca="1">COUNTIFS(EXPEDIENTES!J:J,$E37,EXPEDIENTES!O:O,"NO")</f>
        <v>0</v>
      </c>
    </row>
    <row r="38" spans="2:6" s="306" customFormat="1" ht="20.100000000000001" customHeight="1">
      <c r="E38" s="192" t="s">
        <v>370</v>
      </c>
      <c r="F38" s="57">
        <f ca="1">SUM(F30:F37)</f>
        <v>0</v>
      </c>
    </row>
    <row r="39" spans="2:6" s="306" customFormat="1" ht="20.100000000000001" customHeight="1"/>
    <row r="40" spans="2:6" s="306" customFormat="1" ht="20.100000000000001" customHeight="1">
      <c r="B40" s="307"/>
      <c r="C40" s="308"/>
    </row>
    <row r="41" spans="2:6" s="306" customFormat="1" ht="20.100000000000001" customHeight="1">
      <c r="B41" s="307"/>
      <c r="C41" s="308"/>
    </row>
    <row r="42" spans="2:6" s="306" customFormat="1" ht="20.100000000000001" customHeight="1">
      <c r="B42" s="307"/>
      <c r="C42" s="308"/>
    </row>
    <row r="43" spans="2:6" s="306" customFormat="1" ht="20.100000000000001" customHeight="1">
      <c r="B43" s="307"/>
      <c r="C43" s="308"/>
    </row>
    <row r="44" spans="2:6" s="306" customFormat="1" ht="20.100000000000001" customHeight="1">
      <c r="B44" s="307"/>
      <c r="C44" s="308"/>
    </row>
    <row r="45" spans="2:6" s="306" customFormat="1" ht="20.100000000000001" customHeight="1">
      <c r="B45" s="307"/>
      <c r="C45" s="308"/>
    </row>
    <row r="46" spans="2:6" s="306" customFormat="1" ht="20.100000000000001" customHeight="1">
      <c r="B46" s="307"/>
      <c r="C46" s="308"/>
    </row>
    <row r="47" spans="2:6" s="306" customFormat="1" ht="20.100000000000001" customHeight="1">
      <c r="B47" s="307"/>
      <c r="C47" s="308"/>
    </row>
    <row r="48" spans="2:6" s="306" customFormat="1" ht="20.100000000000001" customHeight="1">
      <c r="B48" s="307"/>
      <c r="C48" s="308"/>
    </row>
    <row r="49" spans="2:12" s="306" customFormat="1" ht="20.100000000000001" customHeight="1">
      <c r="B49" s="307"/>
      <c r="C49" s="308"/>
    </row>
    <row r="50" spans="2:12" s="306" customFormat="1" ht="20.100000000000001" customHeight="1">
      <c r="B50" s="307"/>
      <c r="C50" s="308"/>
    </row>
    <row r="51" spans="2:12" s="306" customFormat="1" ht="20.100000000000001" customHeight="1">
      <c r="B51" s="307"/>
      <c r="C51" s="308"/>
    </row>
    <row r="52" spans="2:12" s="306" customFormat="1" ht="20.100000000000001" customHeight="1">
      <c r="B52" s="307"/>
      <c r="C52" s="308"/>
    </row>
    <row r="53" spans="2:12" ht="20.100000000000001" customHeight="1"/>
    <row r="54" spans="2:12" ht="20.100000000000001" customHeight="1"/>
    <row r="55" spans="2:12" ht="28.35" customHeight="1">
      <c r="B55" s="735" t="str">
        <f ca="1">"AUDIENCIAS RESUELTAS AL DIA: " &amp; TEXT(TODAY(),"DD/MM/YYYY")</f>
        <v>AUDIENCIAS RESUELTAS AL DIA: 26/04/2024</v>
      </c>
      <c r="C55" s="735"/>
      <c r="D55" s="735"/>
      <c r="E55" s="735"/>
      <c r="F55" s="735"/>
      <c r="G55" s="735"/>
      <c r="H55" s="735"/>
      <c r="I55" s="735"/>
      <c r="K55" s="10" t="s">
        <v>5896</v>
      </c>
      <c r="L55">
        <v>1123</v>
      </c>
    </row>
    <row r="56" spans="2:12" ht="20.100000000000001" customHeight="1">
      <c r="K56" s="10" t="s">
        <v>5894</v>
      </c>
      <c r="L56">
        <v>283</v>
      </c>
    </row>
    <row r="57" spans="2:12" ht="24.9" customHeight="1">
      <c r="B57" s="720" t="s">
        <v>2034</v>
      </c>
      <c r="C57" s="720"/>
      <c r="D57" s="720"/>
      <c r="E57" s="721" t="s">
        <v>5892</v>
      </c>
      <c r="F57" s="722"/>
      <c r="H57" s="723" t="s">
        <v>5893</v>
      </c>
      <c r="I57" s="724"/>
      <c r="K57" s="10" t="s">
        <v>5895</v>
      </c>
      <c r="L57">
        <v>18</v>
      </c>
    </row>
    <row r="58" spans="2:12" ht="24.9" customHeight="1">
      <c r="B58" s="12" t="s">
        <v>382</v>
      </c>
      <c r="C58" s="12" t="s">
        <v>362</v>
      </c>
      <c r="D58" s="500" t="s">
        <v>6242</v>
      </c>
      <c r="E58" s="12" t="s">
        <v>382</v>
      </c>
      <c r="F58" s="12" t="s">
        <v>362</v>
      </c>
      <c r="H58" s="12" t="s">
        <v>382</v>
      </c>
      <c r="I58" s="12" t="s">
        <v>362</v>
      </c>
    </row>
    <row r="59" spans="2:12" ht="24.9" customHeight="1">
      <c r="B59" s="11" t="s">
        <v>35</v>
      </c>
      <c r="C59" s="11">
        <f ca="1">COUNTIFS(EXPEDIENTES!J:J,B59,EXPEDIENTES!O:O,"SI")</f>
        <v>245</v>
      </c>
      <c r="D59" s="501">
        <v>44972</v>
      </c>
      <c r="E59" s="11" t="s">
        <v>1218</v>
      </c>
      <c r="F59" s="11">
        <f ca="1">COUNTIFS(EXPEDIENTES!J:J,$E59,EXPEDIENTES!O:O,"SI")</f>
        <v>29</v>
      </c>
      <c r="H59" s="11" t="s">
        <v>1680</v>
      </c>
      <c r="I59" s="11">
        <f ca="1">COUNTIFS(EXPEDIENTES!J:J,$H59,EXPEDIENTES!O:O,"SI")</f>
        <v>18</v>
      </c>
    </row>
    <row r="60" spans="2:12" ht="24.9" customHeight="1">
      <c r="B60" s="11" t="s">
        <v>31</v>
      </c>
      <c r="C60" s="11">
        <f ca="1">COUNTIFS(EXPEDIENTES!J:J,$B60,EXPEDIENTES!O:O,"SI")</f>
        <v>274</v>
      </c>
      <c r="D60" s="501">
        <v>44972</v>
      </c>
      <c r="E60" s="11" t="s">
        <v>1219</v>
      </c>
      <c r="F60" s="11">
        <f ca="1">COUNTIFS(EXPEDIENTES!J:J,$E60,EXPEDIENTES!O:O,"SI")</f>
        <v>27</v>
      </c>
      <c r="H60" s="475" t="s">
        <v>370</v>
      </c>
      <c r="I60" s="476">
        <f ca="1">SUM(I59)</f>
        <v>18</v>
      </c>
    </row>
    <row r="61" spans="2:12" ht="24.9" customHeight="1">
      <c r="B61" s="671" t="s">
        <v>33</v>
      </c>
      <c r="C61" s="11">
        <f ca="1">COUNTIFS(EXPEDIENTES!J:J,$B61,EXPEDIENTES!O:O,"SI")</f>
        <v>276</v>
      </c>
      <c r="D61" s="501">
        <v>44972</v>
      </c>
      <c r="E61" s="11" t="s">
        <v>1220</v>
      </c>
      <c r="F61" s="11">
        <f ca="1">COUNTIFS(EXPEDIENTES!J:J,$E61,EXPEDIENTES!O:O,"SI")</f>
        <v>35</v>
      </c>
    </row>
    <row r="62" spans="2:12" ht="24.9" customHeight="1">
      <c r="B62" s="11" t="s">
        <v>78</v>
      </c>
      <c r="C62" s="11">
        <f ca="1">COUNTIFS(EXPEDIENTES!J:J,$B62,EXPEDIENTES!O:O,"SI")</f>
        <v>280</v>
      </c>
      <c r="D62" s="501">
        <v>44972</v>
      </c>
      <c r="E62" s="11" t="s">
        <v>1616</v>
      </c>
      <c r="F62" s="11">
        <f ca="1">COUNTIFS(EXPEDIENTES!J:J,$E62,EXPEDIENTES!O:O,"SI")</f>
        <v>20</v>
      </c>
    </row>
    <row r="63" spans="2:12" ht="24.9" customHeight="1">
      <c r="B63" s="11" t="s">
        <v>1216</v>
      </c>
      <c r="C63" s="11">
        <f ca="1">COUNTIFS(EXPEDIENTES!J:J,$B63,EXPEDIENTES!O:O,"SI")</f>
        <v>200</v>
      </c>
      <c r="D63" s="501">
        <v>45096</v>
      </c>
      <c r="E63" s="11" t="s">
        <v>1484</v>
      </c>
      <c r="F63" s="11">
        <f ca="1">COUNTIFS(EXPEDIENTES!J:J,$E63,EXPEDIENTES!O:O,"SI")+COUNTIFS(EXPEDIENTES!J:J,"Dr. Diez",EXPEDIENTES!O:O,"SI")</f>
        <v>47</v>
      </c>
    </row>
    <row r="64" spans="2:12" ht="24.9" customHeight="1">
      <c r="B64" s="11" t="s">
        <v>1221</v>
      </c>
      <c r="C64" s="11">
        <f ca="1">COUNTIFS(EXPEDIENTES!J:J,$B64,EXPEDIENTES!O:O,"SI")</f>
        <v>73</v>
      </c>
      <c r="D64" s="501">
        <v>45096</v>
      </c>
      <c r="E64" s="11" t="s">
        <v>1723</v>
      </c>
      <c r="F64" s="11">
        <f ca="1">COUNTIFS(EXPEDIENTES!J:J,$E64,EXPEDIENTES!O:O,"SI")</f>
        <v>37</v>
      </c>
      <c r="G64" s="110"/>
      <c r="H64" s="110"/>
    </row>
    <row r="65" spans="2:8" ht="24.9" customHeight="1">
      <c r="B65" s="11" t="s">
        <v>1217</v>
      </c>
      <c r="C65" s="11">
        <f ca="1">COUNTIFS(EXPEDIENTES!J:J,$B65,EXPEDIENTES!O:O,"SI")</f>
        <v>223</v>
      </c>
      <c r="D65" s="501">
        <v>45096</v>
      </c>
      <c r="E65" s="310" t="s">
        <v>2922</v>
      </c>
      <c r="F65" s="11">
        <f ca="1">COUNTIFS(EXPEDIENTES!J:J,$E65,EXPEDIENTES!O:O,"SI")</f>
        <v>35</v>
      </c>
      <c r="G65" s="110"/>
      <c r="H65" s="110"/>
    </row>
    <row r="66" spans="2:8" ht="24.9" customHeight="1">
      <c r="B66" s="471" t="s">
        <v>2024</v>
      </c>
      <c r="C66" s="472">
        <f ca="1">SUM(C59:C65)</f>
        <v>1571</v>
      </c>
      <c r="D66" s="92"/>
      <c r="E66" s="310" t="s">
        <v>2925</v>
      </c>
      <c r="F66" s="11">
        <f ca="1">COUNTIFS(EXPEDIENTES!J:J,$E66,EXPEDIENTES!O:O,"SI")</f>
        <v>32</v>
      </c>
      <c r="G66" s="110"/>
      <c r="H66" s="110"/>
    </row>
    <row r="67" spans="2:8" ht="24.9" customHeight="1">
      <c r="E67" s="11" t="s">
        <v>4746</v>
      </c>
      <c r="F67" s="11">
        <f ca="1">COUNTIFS(EXPEDIENTES!J:J,$E67,EXPEDIENTES!O:O,"SI")</f>
        <v>69</v>
      </c>
    </row>
    <row r="68" spans="2:8" ht="24.9" customHeight="1">
      <c r="E68" s="310" t="s">
        <v>4931</v>
      </c>
      <c r="F68" s="11">
        <f ca="1">COUNTIFS(EXPEDIENTES!J:J,$E68,EXPEDIENTES!O:O,"SI")</f>
        <v>50</v>
      </c>
      <c r="H68" s="89"/>
    </row>
    <row r="69" spans="2:8" ht="24.9" customHeight="1">
      <c r="E69" s="473" t="s">
        <v>370</v>
      </c>
      <c r="F69" s="474">
        <f ca="1">SUM(F59:F68)</f>
        <v>381</v>
      </c>
      <c r="H69" s="106"/>
    </row>
    <row r="70" spans="2:8" ht="24.9" customHeight="1">
      <c r="H70" s="106"/>
    </row>
    <row r="71" spans="2:8" ht="24.9" customHeight="1">
      <c r="B71" s="736" t="s">
        <v>6241</v>
      </c>
      <c r="C71" s="736"/>
    </row>
    <row r="72" spans="2:8" ht="20.100000000000001" customHeight="1">
      <c r="B72" s="737">
        <f ca="1">C66+F69+I60</f>
        <v>1970</v>
      </c>
      <c r="C72" s="737"/>
    </row>
    <row r="73" spans="2:8" ht="20.100000000000001" customHeight="1">
      <c r="B73" s="110"/>
      <c r="C73" s="110"/>
    </row>
    <row r="74" spans="2:8" ht="20.100000000000001" customHeight="1">
      <c r="B74" s="739" t="s">
        <v>457</v>
      </c>
      <c r="C74" s="739"/>
    </row>
    <row r="75" spans="2:8" ht="20.100000000000001" customHeight="1">
      <c r="B75" s="11" t="s">
        <v>458</v>
      </c>
      <c r="C75" s="11">
        <f>'no realizadas'!Q29</f>
        <v>3</v>
      </c>
    </row>
    <row r="76" spans="2:8" ht="20.100000000000001" customHeight="1"/>
    <row r="77" spans="2:8" ht="20.100000000000001" customHeight="1"/>
    <row r="78" spans="2:8" ht="20.100000000000001" customHeight="1"/>
    <row r="79" spans="2:8" ht="20.100000000000001" customHeight="1"/>
    <row r="80" spans="2:8" ht="30" customHeight="1"/>
    <row r="81" spans="2:8" ht="20.100000000000001" customHeight="1">
      <c r="B81" s="10" t="s">
        <v>7444</v>
      </c>
    </row>
    <row r="82" spans="2:8" ht="24.9" customHeight="1">
      <c r="B82" s="659" t="s">
        <v>7445</v>
      </c>
    </row>
    <row r="83" spans="2:8" ht="24.9" customHeight="1">
      <c r="B83" s="653" t="s">
        <v>7443</v>
      </c>
    </row>
    <row r="84" spans="2:8" ht="24.9" customHeight="1">
      <c r="B84" s="237" t="s">
        <v>7446</v>
      </c>
    </row>
    <row r="85" spans="2:8" ht="24.9" customHeight="1"/>
    <row r="86" spans="2:8" ht="19.95" customHeight="1">
      <c r="B86" s="738" t="s">
        <v>7447</v>
      </c>
      <c r="C86" s="738"/>
      <c r="D86" s="545">
        <v>1</v>
      </c>
    </row>
    <row r="87" spans="2:8" ht="19.95" customHeight="1">
      <c r="B87" s="642" t="s">
        <v>7448</v>
      </c>
      <c r="C87" s="642" t="s">
        <v>6152</v>
      </c>
    </row>
    <row r="88" spans="2:8" ht="19.95" customHeight="1">
      <c r="B88" s="544" t="s">
        <v>7413</v>
      </c>
      <c r="C88" s="544">
        <f>COUNTIFS(EXPEDIENTES!$F:$F,D86,EXPEDIENTES!$B:$B,"&gt;=19/06/2023",EXPEDIENTES!$B:$B,"&lt;=15/09/2023",EXPEDIENTES!$R:$R,"&lt;&gt;Suspendida")</f>
        <v>11</v>
      </c>
    </row>
    <row r="89" spans="2:8" ht="19.95" customHeight="1">
      <c r="B89" s="544" t="s">
        <v>7414</v>
      </c>
      <c r="C89" s="544">
        <f>COUNTIFS(EXPEDIENTES!$F:$F,D86,EXPEDIENTES!$B:$B,"&gt;=16/09/2023",EXPEDIENTES!$B:$B,"&lt;=15/04/2024",EXPEDIENTES!$R:$R,"&lt;&gt;Suspendida")</f>
        <v>115</v>
      </c>
    </row>
    <row r="90" spans="2:8" ht="19.95" customHeight="1">
      <c r="B90" s="544" t="s">
        <v>7408</v>
      </c>
      <c r="C90" s="544">
        <f>COUNTIFS(EXPEDIENTES!$F:$F,D86,EXPEDIENTES!$B:$B,"&gt;=16/04/2024",EXPEDIENTES!$B:$B,"&lt;=15/08/2024",EXPEDIENTES!$R:$R,"&lt;&gt;Suspendida")</f>
        <v>22</v>
      </c>
    </row>
    <row r="91" spans="2:8" ht="19.95" customHeight="1">
      <c r="B91" s="662" t="s">
        <v>370</v>
      </c>
      <c r="C91" s="662">
        <f>SUM(C88:C90)</f>
        <v>148</v>
      </c>
    </row>
    <row r="92" spans="2:8" ht="19.95" customHeight="1">
      <c r="B92" s="660" t="s">
        <v>7449</v>
      </c>
      <c r="C92" s="660">
        <v>2</v>
      </c>
    </row>
    <row r="93" spans="2:8" ht="19.95" customHeight="1">
      <c r="B93" s="660" t="s">
        <v>7422</v>
      </c>
      <c r="C93" s="661">
        <f>AVERAGE(C89:C90)</f>
        <v>68.5</v>
      </c>
      <c r="D93" s="543"/>
      <c r="E93" s="110"/>
    </row>
    <row r="94" spans="2:8" ht="19.95" customHeight="1">
      <c r="B94" s="111"/>
      <c r="C94" s="111"/>
      <c r="E94" s="106"/>
    </row>
    <row r="95" spans="2:8" ht="19.95" customHeight="1">
      <c r="B95" s="738" t="s">
        <v>7451</v>
      </c>
      <c r="C95" s="738"/>
      <c r="E95" s="106" t="s">
        <v>7474</v>
      </c>
      <c r="F95" s="111" t="s">
        <v>7475</v>
      </c>
      <c r="G95" s="110"/>
      <c r="H95" s="110"/>
    </row>
    <row r="96" spans="2:8" ht="19.95" customHeight="1">
      <c r="B96" s="642" t="s">
        <v>934</v>
      </c>
      <c r="C96" s="642">
        <f ca="1">COUNTIFS(EXPEDIENTES!J:J,"Dra. Zunino",EXPEDIENTES!O:O,"SI")</f>
        <v>200</v>
      </c>
      <c r="E96" s="106" t="s">
        <v>3143</v>
      </c>
      <c r="F96" s="111">
        <f>COUNTIFS(EXPEDIENTES!$J:$J,"Dra. Zunino",EXPEDIENTES!$H:$H,"&gt;=19/06/2023",EXPEDIENTES!$H:$H,"&lt;=30/06/2023")</f>
        <v>4</v>
      </c>
      <c r="G96" s="110"/>
      <c r="H96" s="110"/>
    </row>
    <row r="97" spans="1:10" ht="19.95" customHeight="1">
      <c r="B97" s="544" t="s">
        <v>7473</v>
      </c>
      <c r="C97" s="679">
        <f ca="1">Feriados!G1+Feriados!F2-Licencias!D22</f>
        <v>185</v>
      </c>
      <c r="E97" s="680" t="s">
        <v>3144</v>
      </c>
      <c r="F97" s="110"/>
      <c r="G97" s="110"/>
      <c r="H97" s="110"/>
    </row>
    <row r="98" spans="1:10" ht="19.95" customHeight="1">
      <c r="B98" s="544" t="s">
        <v>5934</v>
      </c>
      <c r="C98" s="668">
        <f ca="1">C96/(Feriados!G1+Feriados!F2-Licencias!D22)</f>
        <v>1.0810810810810811</v>
      </c>
      <c r="E98" s="106" t="s">
        <v>3145</v>
      </c>
      <c r="F98" s="110"/>
      <c r="G98" s="110"/>
      <c r="H98" s="110"/>
    </row>
    <row r="99" spans="1:10" ht="19.95" customHeight="1">
      <c r="B99" s="544" t="s">
        <v>7452</v>
      </c>
      <c r="C99" s="544">
        <f>COUNTIFS('no realizadas'!$E:$E,"1")</f>
        <v>8</v>
      </c>
      <c r="E99" s="106" t="s">
        <v>4246</v>
      </c>
      <c r="F99" s="110"/>
      <c r="G99" s="110"/>
      <c r="H99" s="110"/>
      <c r="J99" s="10"/>
    </row>
    <row r="100" spans="1:10" ht="19.95" customHeight="1">
      <c r="B100" s="662" t="s">
        <v>370</v>
      </c>
      <c r="C100" s="662">
        <f ca="1">SUM(C98:C99)</f>
        <v>9.0810810810810807</v>
      </c>
      <c r="E100" s="106" t="s">
        <v>3147</v>
      </c>
      <c r="F100" s="110"/>
      <c r="G100" s="110"/>
      <c r="H100" s="110"/>
    </row>
    <row r="101" spans="1:10" ht="19.95" customHeight="1">
      <c r="B101" s="660" t="s">
        <v>7449</v>
      </c>
      <c r="C101" s="660">
        <v>2</v>
      </c>
      <c r="E101" s="106" t="s">
        <v>3148</v>
      </c>
      <c r="F101" s="110"/>
      <c r="G101" s="110"/>
      <c r="H101" s="110"/>
    </row>
    <row r="102" spans="1:10" ht="19.95" customHeight="1">
      <c r="A102" s="209"/>
      <c r="B102" s="660" t="s">
        <v>7422</v>
      </c>
      <c r="C102" s="661">
        <f ca="1">AVERAGE(C98:C99)</f>
        <v>4.5405405405405403</v>
      </c>
      <c r="D102" s="209"/>
      <c r="E102" s="681" t="s">
        <v>3149</v>
      </c>
      <c r="F102" s="110"/>
      <c r="G102" s="110"/>
      <c r="H102" s="110"/>
    </row>
    <row r="103" spans="1:10" ht="19.95" customHeight="1">
      <c r="A103" s="209"/>
      <c r="B103" s="209"/>
      <c r="C103" s="210"/>
      <c r="D103" s="209"/>
      <c r="E103" s="681" t="s">
        <v>5734</v>
      </c>
      <c r="F103" s="110"/>
      <c r="G103" s="110"/>
      <c r="H103" s="110"/>
    </row>
    <row r="104" spans="1:10" ht="19.95" customHeight="1">
      <c r="A104" s="209"/>
      <c r="B104" s="211"/>
      <c r="C104" s="211"/>
      <c r="D104" s="211"/>
      <c r="E104" s="681" t="s">
        <v>3139</v>
      </c>
      <c r="F104" s="110"/>
      <c r="G104" s="110"/>
      <c r="H104" s="110"/>
    </row>
    <row r="105" spans="1:10" ht="19.95" customHeight="1">
      <c r="A105" s="209"/>
      <c r="B105" s="211"/>
      <c r="C105" s="212"/>
      <c r="D105" s="213"/>
      <c r="E105" s="681" t="s">
        <v>3140</v>
      </c>
      <c r="F105" s="110"/>
      <c r="G105" s="110"/>
      <c r="H105" s="110"/>
    </row>
    <row r="106" spans="1:10" ht="19.95" customHeight="1">
      <c r="A106" s="209"/>
      <c r="B106" s="211"/>
      <c r="C106" s="212"/>
      <c r="D106" s="213"/>
      <c r="E106" s="681" t="s">
        <v>3141</v>
      </c>
      <c r="F106" s="110"/>
      <c r="G106" s="110"/>
      <c r="H106" s="110"/>
    </row>
    <row r="107" spans="1:10" ht="35.1" customHeight="1">
      <c r="A107" s="209"/>
      <c r="B107" s="211"/>
      <c r="C107" s="212"/>
      <c r="D107" s="213"/>
      <c r="E107" s="209"/>
    </row>
    <row r="108" spans="1:10" ht="35.1" customHeight="1">
      <c r="A108" s="209"/>
      <c r="B108" s="211"/>
      <c r="C108" s="212"/>
      <c r="D108" s="213"/>
      <c r="E108" s="209"/>
    </row>
    <row r="109" spans="1:10" ht="35.1" customHeight="1">
      <c r="A109" s="209"/>
      <c r="B109" s="211"/>
      <c r="C109" s="212"/>
      <c r="D109" s="213"/>
      <c r="E109" s="209"/>
    </row>
    <row r="110" spans="1:10" ht="35.1" customHeight="1">
      <c r="A110" s="209"/>
      <c r="B110" s="211"/>
      <c r="C110" s="212"/>
      <c r="D110" s="213"/>
      <c r="E110" s="209"/>
    </row>
    <row r="111" spans="1:10" ht="35.1" customHeight="1">
      <c r="A111" s="209"/>
      <c r="B111" s="211"/>
      <c r="C111" s="212"/>
      <c r="D111" s="213"/>
      <c r="E111" s="209"/>
    </row>
    <row r="112" spans="1:10" ht="35.1" customHeight="1">
      <c r="A112" s="209"/>
      <c r="B112" s="211"/>
      <c r="C112" s="212"/>
      <c r="D112" s="213"/>
      <c r="E112" s="209"/>
    </row>
    <row r="113" spans="1:5" ht="35.1" customHeight="1">
      <c r="A113" s="209"/>
      <c r="B113" s="211"/>
      <c r="C113" s="212"/>
      <c r="D113" s="213"/>
      <c r="E113" s="209"/>
    </row>
    <row r="114" spans="1:5" ht="34.5" customHeight="1">
      <c r="A114" s="209"/>
      <c r="B114" s="210"/>
      <c r="C114" s="214"/>
      <c r="D114" s="210"/>
      <c r="E114" s="209"/>
    </row>
    <row r="115" spans="1:5">
      <c r="A115" s="209"/>
      <c r="B115" s="209"/>
      <c r="C115" s="209"/>
      <c r="D115" s="209"/>
      <c r="E115" s="209"/>
    </row>
    <row r="116" spans="1:5">
      <c r="A116" s="209"/>
      <c r="B116" s="209"/>
      <c r="C116" s="209"/>
      <c r="D116" s="209"/>
      <c r="E116" s="209"/>
    </row>
    <row r="117" spans="1:5">
      <c r="A117" s="209"/>
      <c r="B117" s="209"/>
      <c r="C117" s="209"/>
      <c r="D117" s="209"/>
      <c r="E117" s="209"/>
    </row>
    <row r="118" spans="1:5">
      <c r="A118" s="209"/>
      <c r="B118" s="209"/>
      <c r="C118" s="209"/>
      <c r="D118" s="209"/>
      <c r="E118" s="209"/>
    </row>
    <row r="119" spans="1:5">
      <c r="A119" s="209"/>
      <c r="B119" s="209"/>
      <c r="C119" s="209"/>
      <c r="D119" s="209"/>
      <c r="E119" s="209"/>
    </row>
    <row r="120" spans="1:5">
      <c r="A120" s="209"/>
      <c r="B120" s="209"/>
      <c r="C120" s="209"/>
      <c r="D120" s="209"/>
      <c r="E120" s="209"/>
    </row>
    <row r="121" spans="1:5">
      <c r="A121" s="209"/>
      <c r="B121" s="209"/>
      <c r="C121" s="209"/>
      <c r="D121" s="209"/>
      <c r="E121" s="209"/>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7">
    <mergeCell ref="B71:C71"/>
    <mergeCell ref="B72:C72"/>
    <mergeCell ref="B57:D57"/>
    <mergeCell ref="B86:C86"/>
    <mergeCell ref="B95:C95"/>
    <mergeCell ref="B74:C74"/>
    <mergeCell ref="E57:F57"/>
    <mergeCell ref="H57:I57"/>
    <mergeCell ref="B3:C3"/>
    <mergeCell ref="B28:C28"/>
    <mergeCell ref="B1:I1"/>
    <mergeCell ref="B26:I26"/>
    <mergeCell ref="B55:I55"/>
    <mergeCell ref="H3:I3"/>
    <mergeCell ref="E28:F28"/>
    <mergeCell ref="H28:I28"/>
    <mergeCell ref="E3:F3"/>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drawing r:id="rId8"/>
</worksheet>
</file>

<file path=xl/worksheets/sheet6.xml><?xml version="1.0" encoding="utf-8"?>
<worksheet xmlns="http://schemas.openxmlformats.org/spreadsheetml/2006/main" xmlns:r="http://schemas.openxmlformats.org/officeDocument/2006/relationships">
  <sheetPr codeName="Hoja26">
    <tabColor rgb="FF7030A0"/>
  </sheetPr>
  <dimension ref="B2:Q99"/>
  <sheetViews>
    <sheetView zoomScale="85" zoomScaleNormal="85" workbookViewId="0">
      <selection activeCell="G79" sqref="G79"/>
    </sheetView>
  </sheetViews>
  <sheetFormatPr baseColWidth="10" defaultRowHeight="13.2"/>
  <cols>
    <col min="3" max="3" width="12.44140625" customWidth="1"/>
    <col min="4" max="4" width="15.5546875" customWidth="1"/>
    <col min="5" max="5" width="10.88671875" customWidth="1"/>
    <col min="14" max="14" width="14.88671875" customWidth="1"/>
    <col min="17" max="17" width="11.5546875" bestFit="1" customWidth="1"/>
  </cols>
  <sheetData>
    <row r="2" spans="2:17">
      <c r="B2" s="10" t="s">
        <v>7183</v>
      </c>
    </row>
    <row r="4" spans="2:17" ht="13.2" customHeight="1">
      <c r="B4" s="740" t="s">
        <v>7179</v>
      </c>
      <c r="C4" s="741"/>
      <c r="D4" s="741"/>
      <c r="E4" s="741"/>
      <c r="F4" s="741"/>
      <c r="G4" s="741"/>
    </row>
    <row r="5" spans="2:17" ht="12.75" customHeight="1">
      <c r="B5" s="742"/>
      <c r="C5" s="743"/>
      <c r="D5" s="743"/>
      <c r="E5" s="743"/>
      <c r="F5" s="743"/>
      <c r="G5" s="743"/>
      <c r="P5" s="748" t="s">
        <v>6051</v>
      </c>
      <c r="Q5" s="749"/>
    </row>
    <row r="6" spans="2:17" ht="24" customHeight="1">
      <c r="B6" s="585" t="s">
        <v>1620</v>
      </c>
      <c r="C6" s="594" t="s">
        <v>6152</v>
      </c>
      <c r="D6" s="595" t="s">
        <v>7170</v>
      </c>
      <c r="E6" s="592" t="s">
        <v>7235</v>
      </c>
      <c r="F6" s="595" t="s">
        <v>7224</v>
      </c>
      <c r="G6" s="595" t="s">
        <v>7225</v>
      </c>
      <c r="P6" s="750"/>
      <c r="Q6" s="751"/>
    </row>
    <row r="7" spans="2:17">
      <c r="B7" s="491" t="s">
        <v>7172</v>
      </c>
      <c r="C7" s="593">
        <f ca="1">COUNTIFS(EXPEDIENTES!B:B,"="&amp;B7)</f>
        <v>5</v>
      </c>
      <c r="D7" s="593">
        <f>COUNTIFS(EXPEDIENTES!H:H,"="&amp;B7,EXPEDIENTES!R:R,"&lt;&gt;Suspendida")</f>
        <v>8</v>
      </c>
      <c r="E7" s="593">
        <f t="shared" ref="E7:E15" ca="1" si="0">D7-C7</f>
        <v>3</v>
      </c>
      <c r="F7" s="593">
        <f ca="1">COUNTIFS(EXPEDIENTES!B:B,"="&amp;B7,EXPEDIENTES!V:V,"=AMARILLO")</f>
        <v>0</v>
      </c>
      <c r="G7" s="593">
        <f ca="1">COUNTIFS(EXPEDIENTES!B:B,"="&amp;B7,EXPEDIENTES!V:V,"=VERDE")</f>
        <v>0</v>
      </c>
      <c r="P7" s="588" t="s">
        <v>6052</v>
      </c>
      <c r="Q7" s="588" t="s">
        <v>6053</v>
      </c>
    </row>
    <row r="8" spans="2:17">
      <c r="B8" s="491" t="s">
        <v>7171</v>
      </c>
      <c r="C8" s="593">
        <f ca="1">COUNTIFS(EXPEDIENTES!B:B,"="&amp;B8)</f>
        <v>13</v>
      </c>
      <c r="D8" s="593">
        <f>COUNTIFS(EXPEDIENTES!H:H,"="&amp;B8,EXPEDIENTES!R:R,"&lt;&gt;Suspendida")</f>
        <v>9</v>
      </c>
      <c r="E8" s="593">
        <f t="shared" ca="1" si="0"/>
        <v>-4</v>
      </c>
      <c r="F8" s="593">
        <f ca="1">COUNTIFS(EXPEDIENTES!B:B,"="&amp;B8,EXPEDIENTES!V:V,"=AMARILLO")</f>
        <v>0</v>
      </c>
      <c r="G8" s="593">
        <f ca="1">COUNTIFS(EXPEDIENTES!B:B,"="&amp;B8,EXPEDIENTES!V:V,"=VERDE")</f>
        <v>0</v>
      </c>
      <c r="P8" s="491" t="s">
        <v>6054</v>
      </c>
      <c r="Q8" s="92">
        <v>13</v>
      </c>
    </row>
    <row r="9" spans="2:17">
      <c r="B9" s="491" t="s">
        <v>7173</v>
      </c>
      <c r="C9" s="593">
        <f ca="1">COUNTIFS(EXPEDIENTES!B:B,"="&amp;B9)</f>
        <v>12</v>
      </c>
      <c r="D9" s="593">
        <f>COUNTIFS(EXPEDIENTES!H:H,"="&amp;B9,EXPEDIENTES!R:R,"&lt;&gt;Suspendida")</f>
        <v>10</v>
      </c>
      <c r="E9" s="593">
        <f t="shared" ca="1" si="0"/>
        <v>-2</v>
      </c>
      <c r="F9" s="593">
        <f ca="1">COUNTIFS(EXPEDIENTES!B:B,"="&amp;B9,EXPEDIENTES!V:V,"=AMARILLO")</f>
        <v>0</v>
      </c>
      <c r="G9" s="593">
        <f ca="1">COUNTIFS(EXPEDIENTES!B:B,"="&amp;B9,EXPEDIENTES!V:V,"=VERDE")</f>
        <v>0</v>
      </c>
      <c r="P9" s="491" t="s">
        <v>6055</v>
      </c>
      <c r="Q9" s="521">
        <v>8</v>
      </c>
    </row>
    <row r="10" spans="2:17">
      <c r="B10" s="491" t="s">
        <v>7174</v>
      </c>
      <c r="C10" s="593">
        <f ca="1">COUNTIFS(EXPEDIENTES!B:B,"="&amp;B10)</f>
        <v>13</v>
      </c>
      <c r="D10" s="593">
        <f>COUNTIFS(EXPEDIENTES!H:H,"="&amp;B10,EXPEDIENTES!R:R,"&lt;&gt;Suspendida")</f>
        <v>11</v>
      </c>
      <c r="E10" s="593">
        <f t="shared" ca="1" si="0"/>
        <v>-2</v>
      </c>
      <c r="F10" s="593">
        <f ca="1">COUNTIFS(EXPEDIENTES!B:B,"="&amp;B10,EXPEDIENTES!V:V,"=AMARILLO")</f>
        <v>0</v>
      </c>
      <c r="G10" s="593">
        <f ca="1">COUNTIFS(EXPEDIENTES!B:B,"="&amp;B10,EXPEDIENTES!V:V,"=VERDE")</f>
        <v>0</v>
      </c>
      <c r="P10" s="491" t="s">
        <v>6056</v>
      </c>
      <c r="Q10" s="521">
        <v>9</v>
      </c>
    </row>
    <row r="11" spans="2:17">
      <c r="B11" s="491" t="s">
        <v>7175</v>
      </c>
      <c r="C11" s="593">
        <f ca="1">COUNTIFS(EXPEDIENTES!B:B,"="&amp;B11)</f>
        <v>20</v>
      </c>
      <c r="D11" s="593">
        <f>COUNTIFS(EXPEDIENTES!H:H,"="&amp;B11,EXPEDIENTES!R:R,"&lt;&gt;Suspendida")</f>
        <v>9</v>
      </c>
      <c r="E11" s="593">
        <f t="shared" ca="1" si="0"/>
        <v>-11</v>
      </c>
      <c r="F11" s="593">
        <f ca="1">COUNTIFS(EXPEDIENTES!B:B,"="&amp;B11,EXPEDIENTES!V:V,"=AMARILLO")</f>
        <v>0</v>
      </c>
      <c r="G11" s="593">
        <f ca="1">COUNTIFS(EXPEDIENTES!B:B,"="&amp;B11,EXPEDIENTES!V:V,"=VERDE")</f>
        <v>0</v>
      </c>
      <c r="P11" s="491" t="s">
        <v>6057</v>
      </c>
      <c r="Q11" s="521">
        <v>11</v>
      </c>
    </row>
    <row r="12" spans="2:17">
      <c r="B12" s="491" t="s">
        <v>7176</v>
      </c>
      <c r="C12" s="593">
        <f ca="1">COUNTIFS(EXPEDIENTES!B:B,"="&amp;B12)</f>
        <v>13</v>
      </c>
      <c r="D12" s="593">
        <f>COUNTIFS(EXPEDIENTES!H:H,"="&amp;B12,EXPEDIENTES!R:R,"&lt;&gt;Suspendida")</f>
        <v>11</v>
      </c>
      <c r="E12" s="593">
        <f t="shared" ca="1" si="0"/>
        <v>-2</v>
      </c>
      <c r="F12" s="593">
        <f ca="1">COUNTIFS(EXPEDIENTES!B:B,"="&amp;B12,EXPEDIENTES!V:V,"=AMARILLO")</f>
        <v>0</v>
      </c>
      <c r="G12" s="593">
        <f ca="1">COUNTIFS(EXPEDIENTES!B:B,"="&amp;B12,EXPEDIENTES!V:V,"=VERDE")</f>
        <v>0</v>
      </c>
      <c r="P12" s="491" t="s">
        <v>6058</v>
      </c>
      <c r="Q12" s="569">
        <v>12</v>
      </c>
    </row>
    <row r="13" spans="2:17">
      <c r="B13" s="491" t="s">
        <v>7177</v>
      </c>
      <c r="C13" s="593">
        <f ca="1">COUNTIFS(EXPEDIENTES!B:B,"="&amp;B13)</f>
        <v>14</v>
      </c>
      <c r="D13" s="593">
        <f>COUNTIFS(EXPEDIENTES!H:H,"="&amp;B13,EXPEDIENTES!R:R,"&lt;&gt;Suspendida")</f>
        <v>10</v>
      </c>
      <c r="E13" s="593">
        <f t="shared" ca="1" si="0"/>
        <v>-4</v>
      </c>
      <c r="F13" s="593">
        <f ca="1">COUNTIFS(EXPEDIENTES!B:B,"="&amp;B13,EXPEDIENTES!V:V,"=AMARILLO")</f>
        <v>0</v>
      </c>
      <c r="G13" s="593">
        <f ca="1">COUNTIFS(EXPEDIENTES!B:B,"="&amp;B13,EXPEDIENTES!V:V,"=VERDE")</f>
        <v>0</v>
      </c>
      <c r="P13" s="491" t="s">
        <v>6059</v>
      </c>
      <c r="Q13" s="521">
        <f ca="1">(C72)</f>
        <v>9.3000000000000007</v>
      </c>
    </row>
    <row r="14" spans="2:17">
      <c r="B14" s="491" t="s">
        <v>7182</v>
      </c>
      <c r="C14" s="593">
        <f ca="1">COUNTIFS(EXPEDIENTES!B:B,"="&amp;B14)</f>
        <v>10</v>
      </c>
      <c r="D14" s="593">
        <f>COUNTIFS(EXPEDIENTES!H:H,"="&amp;B14,EXPEDIENTES!R:R,"&lt;&gt;Suspendida")</f>
        <v>8</v>
      </c>
      <c r="E14" s="593">
        <f t="shared" ca="1" si="0"/>
        <v>-2</v>
      </c>
      <c r="F14" s="593">
        <f ca="1">COUNTIFS(EXPEDIENTES!B:B,"="&amp;B14,EXPEDIENTES!V:V,"=AMARILLO")</f>
        <v>0</v>
      </c>
      <c r="G14" s="593">
        <f ca="1">COUNTIFS(EXPEDIENTES!B:B,"="&amp;B14,EXPEDIENTES!V:V,"=VERDE")</f>
        <v>0</v>
      </c>
      <c r="P14" s="491" t="s">
        <v>6060</v>
      </c>
      <c r="Q14" s="92"/>
    </row>
    <row r="15" spans="2:17">
      <c r="B15" s="491" t="s">
        <v>7178</v>
      </c>
      <c r="C15" s="593">
        <f ca="1">COUNTIFS(EXPEDIENTES!B:B,"="&amp;B15)</f>
        <v>10</v>
      </c>
      <c r="D15" s="593">
        <f>COUNTIFS(EXPEDIENTES!H:H,"="&amp;B15,EXPEDIENTES!R:R,"&lt;&gt;Suspendida")</f>
        <v>7</v>
      </c>
      <c r="E15" s="593">
        <f t="shared" ca="1" si="0"/>
        <v>-3</v>
      </c>
      <c r="F15" s="593">
        <f ca="1">COUNTIFS(EXPEDIENTES!B:B,"="&amp;B15,EXPEDIENTES!V:V,"=AMARILLO")</f>
        <v>0</v>
      </c>
      <c r="G15" s="593">
        <f ca="1">COUNTIFS(EXPEDIENTES!B:B,"="&amp;B15,EXPEDIENTES!V:V,"=VERDE")</f>
        <v>0</v>
      </c>
      <c r="P15" s="491" t="s">
        <v>6061</v>
      </c>
      <c r="Q15" s="92"/>
    </row>
    <row r="16" spans="2:17">
      <c r="B16" s="585" t="s">
        <v>934</v>
      </c>
      <c r="C16" s="585">
        <f ca="1">SUM(C7:C15)</f>
        <v>110</v>
      </c>
      <c r="D16" s="585">
        <f>SUM(D7:D15)</f>
        <v>83</v>
      </c>
      <c r="E16" s="597">
        <f ca="1">SUM(E7:E15)</f>
        <v>-27</v>
      </c>
      <c r="F16" s="585">
        <f ca="1">SUM(F7:F15)</f>
        <v>0</v>
      </c>
      <c r="G16" s="585">
        <f ca="1">SUM(G7:G15)</f>
        <v>0</v>
      </c>
      <c r="P16" s="491" t="s">
        <v>6062</v>
      </c>
      <c r="Q16" s="92"/>
    </row>
    <row r="17" spans="2:17">
      <c r="B17" s="766" t="s">
        <v>5934</v>
      </c>
      <c r="C17" s="755">
        <f ca="1">AVERAGE(C7:C15)</f>
        <v>12.222222222222221</v>
      </c>
      <c r="D17" s="755">
        <f>AVERAGE(D7:D15)</f>
        <v>9.2222222222222214</v>
      </c>
      <c r="P17" s="491" t="s">
        <v>6063</v>
      </c>
      <c r="Q17" s="92"/>
    </row>
    <row r="18" spans="2:17">
      <c r="B18" s="764"/>
      <c r="C18" s="765"/>
      <c r="D18" s="765"/>
      <c r="P18" s="746" t="s">
        <v>6064</v>
      </c>
      <c r="Q18" s="744">
        <f ca="1">AVERAGE(Q8:Q17)</f>
        <v>10.383333333333333</v>
      </c>
    </row>
    <row r="19" spans="2:17" ht="12.75" customHeight="1">
      <c r="P19" s="747"/>
      <c r="Q19" s="745"/>
    </row>
    <row r="28" spans="2:17" ht="12.75" customHeight="1">
      <c r="B28" s="756" t="s">
        <v>7188</v>
      </c>
      <c r="C28" s="757"/>
      <c r="D28" s="758"/>
    </row>
    <row r="29" spans="2:17">
      <c r="B29" s="759"/>
      <c r="C29" s="760"/>
      <c r="D29" s="761"/>
    </row>
    <row r="30" spans="2:17">
      <c r="B30" s="762"/>
      <c r="C30" s="763"/>
      <c r="D30" s="767"/>
      <c r="P30" s="752" t="s">
        <v>6240</v>
      </c>
      <c r="Q30" s="752"/>
    </row>
    <row r="31" spans="2:17" ht="13.2" customHeight="1">
      <c r="B31" s="588" t="s">
        <v>5933</v>
      </c>
      <c r="C31" s="588" t="s">
        <v>7187</v>
      </c>
      <c r="D31" s="588" t="s">
        <v>7186</v>
      </c>
      <c r="E31" s="619" t="s">
        <v>7235</v>
      </c>
      <c r="P31" s="752"/>
      <c r="Q31" s="752"/>
    </row>
    <row r="32" spans="2:17">
      <c r="B32" s="491" t="s">
        <v>7172</v>
      </c>
      <c r="C32" s="55">
        <v>3</v>
      </c>
      <c r="D32" s="55">
        <v>1</v>
      </c>
      <c r="E32" s="620">
        <f t="shared" ref="E32:E40" si="1">IF(OR(C32=" ",D32=" ")," ",D32-C32)</f>
        <v>-2</v>
      </c>
      <c r="P32" s="588" t="s">
        <v>6052</v>
      </c>
      <c r="Q32" s="588" t="s">
        <v>6053</v>
      </c>
    </row>
    <row r="33" spans="2:17">
      <c r="B33" s="491" t="s">
        <v>7171</v>
      </c>
      <c r="C33" s="55">
        <v>3</v>
      </c>
      <c r="D33" s="55">
        <v>1</v>
      </c>
      <c r="E33" s="620">
        <f t="shared" si="1"/>
        <v>-2</v>
      </c>
      <c r="P33" s="491" t="s">
        <v>6055</v>
      </c>
      <c r="Q33" s="92">
        <v>7</v>
      </c>
    </row>
    <row r="34" spans="2:17">
      <c r="B34" s="491" t="s">
        <v>7173</v>
      </c>
      <c r="C34" s="55">
        <v>9</v>
      </c>
      <c r="D34" s="55">
        <v>0</v>
      </c>
      <c r="E34" s="620">
        <f t="shared" si="1"/>
        <v>-9</v>
      </c>
      <c r="P34" s="491" t="s">
        <v>6056</v>
      </c>
      <c r="Q34" s="521">
        <v>5</v>
      </c>
    </row>
    <row r="35" spans="2:17">
      <c r="B35" s="491" t="s">
        <v>7174</v>
      </c>
      <c r="C35" s="55">
        <v>13</v>
      </c>
      <c r="D35" s="55">
        <v>0</v>
      </c>
      <c r="E35" s="620">
        <f t="shared" si="1"/>
        <v>-13</v>
      </c>
      <c r="P35" s="491" t="s">
        <v>6057</v>
      </c>
      <c r="Q35" s="92">
        <v>4</v>
      </c>
    </row>
    <row r="36" spans="2:17">
      <c r="B36" s="491" t="s">
        <v>7175</v>
      </c>
      <c r="C36" s="55">
        <v>4</v>
      </c>
      <c r="D36" s="55">
        <v>3</v>
      </c>
      <c r="E36" s="620">
        <f t="shared" si="1"/>
        <v>-1</v>
      </c>
      <c r="P36" s="491" t="s">
        <v>6058</v>
      </c>
      <c r="Q36" s="569">
        <v>7</v>
      </c>
    </row>
    <row r="37" spans="2:17" ht="13.5" customHeight="1">
      <c r="B37" s="491" t="s">
        <v>7176</v>
      </c>
      <c r="C37" s="55">
        <v>9</v>
      </c>
      <c r="D37" s="55">
        <v>0</v>
      </c>
      <c r="E37" s="620">
        <f t="shared" si="1"/>
        <v>-9</v>
      </c>
      <c r="P37" s="491" t="s">
        <v>6059</v>
      </c>
      <c r="Q37" s="521">
        <f>(C98)</f>
        <v>8.625</v>
      </c>
    </row>
    <row r="38" spans="2:17">
      <c r="B38" s="491" t="s">
        <v>7177</v>
      </c>
      <c r="C38" s="55">
        <v>6</v>
      </c>
      <c r="D38" s="55">
        <v>5</v>
      </c>
      <c r="E38" s="620">
        <f t="shared" si="1"/>
        <v>-1</v>
      </c>
      <c r="P38" s="491" t="s">
        <v>6060</v>
      </c>
      <c r="Q38" s="92"/>
    </row>
    <row r="39" spans="2:17">
      <c r="B39" s="491" t="s">
        <v>7182</v>
      </c>
      <c r="C39" s="55">
        <v>8</v>
      </c>
      <c r="D39" s="55">
        <v>1</v>
      </c>
      <c r="E39" s="620">
        <f t="shared" si="1"/>
        <v>-7</v>
      </c>
      <c r="P39" s="491" t="s">
        <v>6061</v>
      </c>
      <c r="Q39" s="92"/>
    </row>
    <row r="40" spans="2:17">
      <c r="B40" s="491" t="s">
        <v>7178</v>
      </c>
      <c r="C40" s="55">
        <v>5</v>
      </c>
      <c r="D40" s="55">
        <v>3</v>
      </c>
      <c r="E40" s="620">
        <f t="shared" si="1"/>
        <v>-2</v>
      </c>
      <c r="P40" s="491" t="s">
        <v>6062</v>
      </c>
      <c r="Q40" s="92"/>
    </row>
    <row r="41" spans="2:17">
      <c r="B41" s="588" t="s">
        <v>934</v>
      </c>
      <c r="C41" s="588">
        <f>SUM(C32:C40)</f>
        <v>60</v>
      </c>
      <c r="D41" s="588">
        <f>SUM(D32:D40)</f>
        <v>14</v>
      </c>
      <c r="E41" s="621">
        <f>SUM(E30:E40)</f>
        <v>-46</v>
      </c>
      <c r="P41" s="491" t="s">
        <v>6063</v>
      </c>
      <c r="Q41" s="92"/>
    </row>
    <row r="42" spans="2:17">
      <c r="B42" s="764" t="s">
        <v>5934</v>
      </c>
      <c r="C42" s="765">
        <f>AVERAGE(C32:C40)</f>
        <v>6.666666666666667</v>
      </c>
      <c r="D42" s="765">
        <f>AVERAGE(D32:D40)</f>
        <v>1.5555555555555556</v>
      </c>
      <c r="E42" s="754">
        <f>AVERAGE(E32:E40)</f>
        <v>-5.1111111111111107</v>
      </c>
      <c r="P42" s="752" t="s">
        <v>6064</v>
      </c>
      <c r="Q42" s="753">
        <f>AVERAGE(Q33:Q41)</f>
        <v>6.3250000000000002</v>
      </c>
    </row>
    <row r="43" spans="2:17">
      <c r="B43" s="764"/>
      <c r="C43" s="765"/>
      <c r="D43" s="765"/>
      <c r="E43" s="755"/>
      <c r="P43" s="752"/>
      <c r="Q43" s="753"/>
    </row>
    <row r="44" spans="2:17">
      <c r="C44" s="10"/>
      <c r="D44" s="10"/>
    </row>
    <row r="57" spans="2:8" ht="13.2" customHeight="1">
      <c r="B57" s="740" t="s">
        <v>7199</v>
      </c>
      <c r="C57" s="741"/>
      <c r="D57" s="741"/>
      <c r="E57" s="741"/>
      <c r="F57" s="741"/>
      <c r="G57" s="741"/>
    </row>
    <row r="58" spans="2:8">
      <c r="B58" s="742"/>
      <c r="C58" s="743"/>
      <c r="D58" s="743"/>
      <c r="E58" s="743"/>
      <c r="F58" s="743"/>
      <c r="G58" s="743"/>
    </row>
    <row r="59" spans="2:8" ht="21" customHeight="1">
      <c r="B59" s="518" t="s">
        <v>5933</v>
      </c>
      <c r="C59" s="518" t="s">
        <v>6152</v>
      </c>
      <c r="D59" s="586" t="s">
        <v>7170</v>
      </c>
      <c r="E59" s="602" t="s">
        <v>7235</v>
      </c>
      <c r="F59" s="518" t="s">
        <v>7180</v>
      </c>
      <c r="G59" s="518" t="s">
        <v>7181</v>
      </c>
    </row>
    <row r="60" spans="2:8" ht="12.75" customHeight="1">
      <c r="B60" s="491" t="s">
        <v>7189</v>
      </c>
      <c r="C60" s="593">
        <f ca="1">IF(COUNTIFS(EXPEDIENTES!B:B,"="&amp;B60)&lt;=0,"",COUNTIFS(EXPEDIENTES!B:B,"="&amp;B60))</f>
        <v>11</v>
      </c>
      <c r="D60" s="593">
        <f ca="1">IF(COUNTIFS(EXPEDIENTES!H:H,"="&amp;B60,EXPEDIENTES!R:R,"&lt;&gt;Suspendida",EXPEDIENTES!O:O,"=SI",EXPEDIENTES!Q:Q,"&lt;&gt; _")&lt;=0," ",COUNTIFS(EXPEDIENTES!H:H,"="&amp;B60,EXPEDIENTES!R:R,"&lt;&gt;Suspendida",EXPEDIENTES!O:O,"=SI",EXPEDIENTES!Q:Q,"&lt;&gt; _"))</f>
        <v>7</v>
      </c>
      <c r="E60" s="593">
        <f t="shared" ref="E60:E70" ca="1" si="2">IF(OR(C60=" ",D60=" ")," ",D60-C60)</f>
        <v>-4</v>
      </c>
      <c r="F60" s="593" t="str">
        <f ca="1">IF(COUNTIFS(EXPEDIENTES!B:B,"="&amp;B60,EXPEDIENTES!V:V,"=AMARILLO")=0,"",COUNTIFS(EXPEDIENTES!B:B,"="&amp;B60,EXPEDIENTES!V:V,"=AMARILLO"))</f>
        <v/>
      </c>
      <c r="G60" s="593" t="str">
        <f ca="1">IF(COUNTIFS(EXPEDIENTES!B:B,"="&amp;B60,EXPEDIENTES!V:V,"=VERDE")=0,"",COUNTIFS(EXPEDIENTES!B:B,"="&amp;B60,EXPEDIENTES!V:V,"=VERDE"))</f>
        <v/>
      </c>
      <c r="H60" s="10"/>
    </row>
    <row r="61" spans="2:8">
      <c r="B61" s="491" t="s">
        <v>7190</v>
      </c>
      <c r="C61" s="593">
        <f ca="1">IF(COUNTIFS(EXPEDIENTES!B:B,"="&amp;B61)&lt;=0,"",COUNTIFS(EXPEDIENTES!B:B,"="&amp;B61))</f>
        <v>12</v>
      </c>
      <c r="D61" s="593">
        <f ca="1">IF(COUNTIFS(EXPEDIENTES!H:H,"="&amp;B61,EXPEDIENTES!R:R,"&lt;&gt;Suspendida",EXPEDIENTES!O:O,"=SI",EXPEDIENTES!Q:Q,"&lt;&gt; _")&lt;=0," ",COUNTIFS(EXPEDIENTES!H:H,"="&amp;B61,EXPEDIENTES!R:R,"&lt;&gt;Suspendida",EXPEDIENTES!O:O,"=SI",EXPEDIENTES!Q:Q,"&lt;&gt; _"))</f>
        <v>10</v>
      </c>
      <c r="E61" s="593">
        <f t="shared" ca="1" si="2"/>
        <v>-2</v>
      </c>
      <c r="F61" s="593" t="str">
        <f ca="1">IF(COUNTIFS(EXPEDIENTES!B:B,"="&amp;B61,EXPEDIENTES!V:V,"=AMARILLO")=0,"",COUNTIFS(EXPEDIENTES!B:B,"="&amp;B61,EXPEDIENTES!V:V,"=AMARILLO"))</f>
        <v/>
      </c>
      <c r="G61" s="593" t="str">
        <f ca="1">IF(COUNTIFS(EXPEDIENTES!B:B,"="&amp;B61,EXPEDIENTES!V:V,"=VERDE")=0,"",COUNTIFS(EXPEDIENTES!B:B,"="&amp;B61,EXPEDIENTES!V:V,"=VERDE"))</f>
        <v/>
      </c>
      <c r="H61" s="10"/>
    </row>
    <row r="62" spans="2:8">
      <c r="B62" s="491" t="s">
        <v>7191</v>
      </c>
      <c r="C62" s="593">
        <f ca="1">IF(COUNTIFS(EXPEDIENTES!B:B,"="&amp;B62)&lt;=0,"",COUNTIFS(EXPEDIENTES!B:B,"="&amp;B62))</f>
        <v>7</v>
      </c>
      <c r="D62" s="593">
        <f ca="1">IF(COUNTIFS(EXPEDIENTES!H:H,"="&amp;B62,EXPEDIENTES!R:R,"&lt;&gt;Suspendida",EXPEDIENTES!O:O,"=SI",EXPEDIENTES!Q:Q,"&lt;&gt; _")&lt;=0," ",COUNTIFS(EXPEDIENTES!H:H,"="&amp;B62,EXPEDIENTES!R:R,"&lt;&gt;Suspendida",EXPEDIENTES!O:O,"=SI",EXPEDIENTES!Q:Q,"&lt;&gt; _"))</f>
        <v>10</v>
      </c>
      <c r="E62" s="593">
        <f t="shared" ca="1" si="2"/>
        <v>3</v>
      </c>
      <c r="F62" s="593" t="str">
        <f ca="1">IF(COUNTIFS(EXPEDIENTES!B:B,"="&amp;B62,EXPEDIENTES!V:V,"=AMARILLO")=0,"",COUNTIFS(EXPEDIENTES!B:B,"="&amp;B62,EXPEDIENTES!V:V,"=AMARILLO"))</f>
        <v/>
      </c>
      <c r="G62" s="593" t="str">
        <f ca="1">IF(COUNTIFS(EXPEDIENTES!B:B,"="&amp;B62,EXPEDIENTES!V:V,"=VERDE")=0,"",COUNTIFS(EXPEDIENTES!B:B,"="&amp;B62,EXPEDIENTES!V:V,"=VERDE"))</f>
        <v/>
      </c>
      <c r="H62" s="10"/>
    </row>
    <row r="63" spans="2:8">
      <c r="B63" s="491" t="s">
        <v>7192</v>
      </c>
      <c r="C63" s="593">
        <f ca="1">IF(COUNTIFS(EXPEDIENTES!B:B,"="&amp;B63)&lt;=0,"",COUNTIFS(EXPEDIENTES!B:B,"="&amp;B63))</f>
        <v>16</v>
      </c>
      <c r="D63" s="593">
        <f ca="1">IF(COUNTIFS(EXPEDIENTES!H:H,"="&amp;B63,EXPEDIENTES!R:R,"&lt;&gt;Suspendida",EXPEDIENTES!O:O,"=SI",EXPEDIENTES!Q:Q,"&lt;&gt; _")&lt;=0," ",COUNTIFS(EXPEDIENTES!H:H,"="&amp;B63,EXPEDIENTES!R:R,"&lt;&gt;Suspendida",EXPEDIENTES!O:O,"=SI",EXPEDIENTES!Q:Q,"&lt;&gt; _"))</f>
        <v>8</v>
      </c>
      <c r="E63" s="593">
        <f t="shared" ca="1" si="2"/>
        <v>-8</v>
      </c>
      <c r="F63" s="593" t="str">
        <f ca="1">IF(COUNTIFS(EXPEDIENTES!B:B,"="&amp;B63,EXPEDIENTES!V:V,"=AMARILLO")=0,"",COUNTIFS(EXPEDIENTES!B:B,"="&amp;B63,EXPEDIENTES!V:V,"=AMARILLO"))</f>
        <v/>
      </c>
      <c r="G63" s="593" t="str">
        <f ca="1">IF(COUNTIFS(EXPEDIENTES!B:B,"="&amp;B63,EXPEDIENTES!V:V,"=VERDE")=0,"",COUNTIFS(EXPEDIENTES!B:B,"="&amp;B63,EXPEDIENTES!V:V,"=VERDE"))</f>
        <v/>
      </c>
      <c r="H63" s="10"/>
    </row>
    <row r="64" spans="2:8">
      <c r="B64" s="491" t="s">
        <v>7193</v>
      </c>
      <c r="C64" s="593">
        <f ca="1">IF(COUNTIFS(EXPEDIENTES!B:B,"="&amp;B64)&lt;=0,"",COUNTIFS(EXPEDIENTES!B:B,"="&amp;B64))</f>
        <v>8</v>
      </c>
      <c r="D64" s="593">
        <f ca="1">IF(COUNTIFS(EXPEDIENTES!H:H,"="&amp;B64,EXPEDIENTES!R:R,"&lt;&gt;Suspendida",EXPEDIENTES!O:O,"=SI",EXPEDIENTES!Q:Q,"&lt;&gt; _")&lt;=0," ",COUNTIFS(EXPEDIENTES!H:H,"="&amp;B64,EXPEDIENTES!R:R,"&lt;&gt;Suspendida",EXPEDIENTES!O:O,"=SI",EXPEDIENTES!Q:Q,"&lt;&gt; _"))</f>
        <v>9</v>
      </c>
      <c r="E64" s="593">
        <f t="shared" ca="1" si="2"/>
        <v>1</v>
      </c>
      <c r="F64" s="593">
        <f ca="1">IF(COUNTIFS(EXPEDIENTES!B:B,"="&amp;B64,EXPEDIENTES!V:V,"=AMARILLO")=0,"",COUNTIFS(EXPEDIENTES!B:B,"="&amp;B64,EXPEDIENTES!V:V,"=AMARILLO"))</f>
        <v>1</v>
      </c>
      <c r="G64" s="593" t="str">
        <f ca="1">IF(COUNTIFS(EXPEDIENTES!B:B,"="&amp;B64,EXPEDIENTES!V:V,"=VERDE")=0,"",COUNTIFS(EXPEDIENTES!B:B,"="&amp;B64,EXPEDIENTES!V:V,"=VERDE"))</f>
        <v/>
      </c>
      <c r="H64" s="10"/>
    </row>
    <row r="65" spans="2:13">
      <c r="B65" s="491" t="s">
        <v>7194</v>
      </c>
      <c r="C65" s="593">
        <f ca="1">IF(COUNTIFS(EXPEDIENTES!B:B,"="&amp;B65)&lt;=0,"",COUNTIFS(EXPEDIENTES!B:B,"="&amp;B65))</f>
        <v>8</v>
      </c>
      <c r="D65" s="593">
        <f ca="1">IF(COUNTIFS(EXPEDIENTES!H:H,"="&amp;B65,EXPEDIENTES!R:R,"&lt;&gt;Suspendida",EXPEDIENTES!O:O,"=SI",EXPEDIENTES!Q:Q,"&lt;&gt; _")&lt;=0," ",COUNTIFS(EXPEDIENTES!H:H,"="&amp;B65,EXPEDIENTES!R:R,"&lt;&gt;Suspendida",EXPEDIENTES!O:O,"=SI",EXPEDIENTES!Q:Q,"&lt;&gt; _"))</f>
        <v>10</v>
      </c>
      <c r="E65" s="593">
        <f t="shared" ca="1" si="2"/>
        <v>2</v>
      </c>
      <c r="F65" s="593">
        <f ca="1">IF(COUNTIFS(EXPEDIENTES!B:B,"="&amp;B65,EXPEDIENTES!V:V,"=AMARILLO")=0,"",COUNTIFS(EXPEDIENTES!B:B,"="&amp;B65,EXPEDIENTES!V:V,"=AMARILLO"))</f>
        <v>2</v>
      </c>
      <c r="G65" s="593" t="str">
        <f ca="1">IF(COUNTIFS(EXPEDIENTES!B:B,"="&amp;B65,EXPEDIENTES!V:V,"=VERDE")=0,"",COUNTIFS(EXPEDIENTES!B:B,"="&amp;B65,EXPEDIENTES!V:V,"=VERDE"))</f>
        <v/>
      </c>
      <c r="H65" s="10"/>
    </row>
    <row r="66" spans="2:13">
      <c r="B66" s="491" t="s">
        <v>7195</v>
      </c>
      <c r="C66" s="593">
        <f ca="1">IF(COUNTIFS(EXPEDIENTES!B:B,"="&amp;B66)&lt;=0,"",COUNTIFS(EXPEDIENTES!B:B,"="&amp;B66))</f>
        <v>9</v>
      </c>
      <c r="D66" s="593">
        <f ca="1">IF(COUNTIFS(EXPEDIENTES!H:H,"="&amp;B66,EXPEDIENTES!R:R,"&lt;&gt;Suspendida",EXPEDIENTES!O:O,"=SI",EXPEDIENTES!Q:Q,"&lt;&gt; _")&lt;=0," ",COUNTIFS(EXPEDIENTES!H:H,"="&amp;B66,EXPEDIENTES!R:R,"&lt;&gt;Suspendida",EXPEDIENTES!O:O,"=SI",EXPEDIENTES!Q:Q,"&lt;&gt; _"))</f>
        <v>12</v>
      </c>
      <c r="E66" s="593">
        <f t="shared" ca="1" si="2"/>
        <v>3</v>
      </c>
      <c r="F66" s="593">
        <f ca="1">IF(COUNTIFS(EXPEDIENTES!B:B,"="&amp;B66,EXPEDIENTES!V:V,"=AMARILLO")=0,"",COUNTIFS(EXPEDIENTES!B:B,"="&amp;B66,EXPEDIENTES!V:V,"=AMARILLO"))</f>
        <v>2</v>
      </c>
      <c r="G66" s="593">
        <f ca="1">IF(COUNTIFS(EXPEDIENTES!B:B,"="&amp;B66,EXPEDIENTES!V:V,"=VERDE")=0,"",COUNTIFS(EXPEDIENTES!B:B,"="&amp;B66,EXPEDIENTES!V:V,"=VERDE"))</f>
        <v>1</v>
      </c>
      <c r="H66" s="10"/>
    </row>
    <row r="67" spans="2:13">
      <c r="B67" s="491" t="s">
        <v>7196</v>
      </c>
      <c r="C67" s="593">
        <f ca="1">IF(COUNTIFS(EXPEDIENTES!B:B,"="&amp;B67)&lt;=0,"",COUNTIFS(EXPEDIENTES!B:B,"="&amp;B67))</f>
        <v>9</v>
      </c>
      <c r="D67" s="593">
        <f ca="1">IF(COUNTIFS(EXPEDIENTES!H:H,"="&amp;B67,EXPEDIENTES!R:R,"&lt;&gt;Suspendida",EXPEDIENTES!O:O,"=SI",EXPEDIENTES!Q:Q,"&lt;&gt; _")&lt;=0," ",COUNTIFS(EXPEDIENTES!H:H,"="&amp;B67,EXPEDIENTES!R:R,"&lt;&gt;Suspendida",EXPEDIENTES!O:O,"=SI",EXPEDIENTES!Q:Q,"&lt;&gt; _"))</f>
        <v>6</v>
      </c>
      <c r="E67" s="593">
        <f t="shared" ca="1" si="2"/>
        <v>-3</v>
      </c>
      <c r="F67" s="593">
        <f ca="1">IF(COUNTIFS(EXPEDIENTES!B:B,"="&amp;B67,EXPEDIENTES!V:V,"=AMARILLO")=0,"",COUNTIFS(EXPEDIENTES!B:B,"="&amp;B67,EXPEDIENTES!V:V,"=AMARILLO"))</f>
        <v>5</v>
      </c>
      <c r="G67" s="593" t="str">
        <f ca="1">IF(COUNTIFS(EXPEDIENTES!B:B,"="&amp;B67,EXPEDIENTES!V:V,"=VERDE")=0,"",COUNTIFS(EXPEDIENTES!B:B,"="&amp;B67,EXPEDIENTES!V:V,"=VERDE"))</f>
        <v/>
      </c>
      <c r="H67" s="10"/>
    </row>
    <row r="68" spans="2:13">
      <c r="B68" s="491" t="s">
        <v>7197</v>
      </c>
      <c r="C68" s="593">
        <f ca="1">IF(COUNTIFS(EXPEDIENTES!B:B,"="&amp;B68)&lt;=0,"",COUNTIFS(EXPEDIENTES!B:B,"="&amp;B68))</f>
        <v>12</v>
      </c>
      <c r="D68" s="593">
        <f ca="1">IF(COUNTIFS(EXPEDIENTES!H:H,"="&amp;B68,EXPEDIENTES!R:R,"&lt;&gt;Suspendida",EXPEDIENTES!O:O,"=SI",EXPEDIENTES!Q:Q,"&lt;&gt; _")&lt;=0," ",COUNTIFS(EXPEDIENTES!H:H,"="&amp;B68,EXPEDIENTES!R:R,"&lt;&gt;Suspendida",EXPEDIENTES!O:O,"=SI",EXPEDIENTES!Q:Q,"&lt;&gt; _"))</f>
        <v>10</v>
      </c>
      <c r="E68" s="593">
        <f t="shared" ca="1" si="2"/>
        <v>-2</v>
      </c>
      <c r="F68" s="593">
        <f ca="1">IF(COUNTIFS(EXPEDIENTES!B:B,"="&amp;B68,EXPEDIENTES!V:V,"=AMARILLO")=0,"",COUNTIFS(EXPEDIENTES!B:B,"="&amp;B68,EXPEDIENTES!V:V,"=AMARILLO"))</f>
        <v>5</v>
      </c>
      <c r="G68" s="593">
        <f ca="1">IF(COUNTIFS(EXPEDIENTES!B:B,"="&amp;B68,EXPEDIENTES!V:V,"=VERDE")=0,"",COUNTIFS(EXPEDIENTES!B:B,"="&amp;B68,EXPEDIENTES!V:V,"=VERDE"))</f>
        <v>7</v>
      </c>
      <c r="H68" s="10"/>
    </row>
    <row r="69" spans="2:13">
      <c r="B69" s="491" t="s">
        <v>7198</v>
      </c>
      <c r="C69" s="593">
        <f ca="1">IF(COUNTIFS(EXPEDIENTES!B:B,"="&amp;B69)&lt;=0,"",COUNTIFS(EXPEDIENTES!B:B,"="&amp;B69))</f>
        <v>1</v>
      </c>
      <c r="D69" s="593" t="str">
        <f ca="1">IF(COUNTIFS(EXPEDIENTES!H:H,"="&amp;B69,EXPEDIENTES!R:R,"&lt;&gt;Suspendida",EXPEDIENTES!O:O,"=SI",EXPEDIENTES!Q:Q,"&lt;&gt; _")&lt;=0," ",COUNTIFS(EXPEDIENTES!H:H,"="&amp;B69,EXPEDIENTES!R:R,"&lt;&gt;Suspendida",EXPEDIENTES!O:O,"=SI",EXPEDIENTES!Q:Q,"&lt;&gt; _"))</f>
        <v xml:space="preserve"> </v>
      </c>
      <c r="E69" s="593" t="str">
        <f t="shared" ca="1" si="2"/>
        <v xml:space="preserve"> </v>
      </c>
      <c r="F69" s="593" t="str">
        <f ca="1">IF(COUNTIFS(EXPEDIENTES!B:B,"="&amp;B69,EXPEDIENTES!V:V,"=AMARILLO")=0,"",COUNTIFS(EXPEDIENTES!B:B,"="&amp;B69,EXPEDIENTES!V:V,"=AMARILLO"))</f>
        <v/>
      </c>
      <c r="G69" s="593">
        <f ca="1">IF(COUNTIFS(EXPEDIENTES!B:B,"="&amp;B69,EXPEDIENTES!V:V,"=VERDE")=0,"",COUNTIFS(EXPEDIENTES!B:B,"="&amp;B69,EXPEDIENTES!V:V,"=VERDE"))</f>
        <v>1</v>
      </c>
      <c r="H69" s="10"/>
    </row>
    <row r="70" spans="2:13">
      <c r="B70" s="580">
        <v>45412</v>
      </c>
      <c r="C70" s="593" t="str">
        <f ca="1">IF(COUNTIFS(EXPEDIENTES!B:B,"="&amp;B70)&lt;=0,"",COUNTIFS(EXPEDIENTES!B:B,"="&amp;B70))</f>
        <v/>
      </c>
      <c r="D70" s="593" t="str">
        <f ca="1">IF(COUNTIFS(EXPEDIENTES!H:H,"="&amp;B70,EXPEDIENTES!R:R,"&lt;&gt;Suspendida",EXPEDIENTES!O:O,"=SI",EXPEDIENTES!Q:Q,"&lt;&gt; _")&lt;=0," ",COUNTIFS(EXPEDIENTES!H:H,"="&amp;B70,EXPEDIENTES!R:R,"&lt;&gt;Suspendida",EXPEDIENTES!O:O,"=SI",EXPEDIENTES!Q:Q,"&lt;&gt; _"))</f>
        <v xml:space="preserve"> </v>
      </c>
      <c r="E70" s="593" t="str">
        <f t="shared" ca="1" si="2"/>
        <v xml:space="preserve"> </v>
      </c>
      <c r="F70" s="593" t="str">
        <f ca="1">IF(COUNTIFS(EXPEDIENTES!B:B,"="&amp;B70,EXPEDIENTES!V:V,"=AMARILLO")=0,"",COUNTIFS(EXPEDIENTES!B:B,"="&amp;B70,EXPEDIENTES!V:V,"=AMARILLO"))</f>
        <v/>
      </c>
      <c r="G70" s="593" t="str">
        <f ca="1">IF(COUNTIFS(EXPEDIENTES!B:B,"="&amp;B70,EXPEDIENTES!V:V,"=VERDE")=0,"",COUNTIFS(EXPEDIENTES!B:B,"="&amp;B70,EXPEDIENTES!V:V,"=VERDE"))</f>
        <v/>
      </c>
      <c r="H70" s="10"/>
    </row>
    <row r="71" spans="2:13">
      <c r="B71" s="587" t="s">
        <v>934</v>
      </c>
      <c r="C71" s="596">
        <f ca="1">SUM(C60:C70)</f>
        <v>93</v>
      </c>
      <c r="D71" s="596">
        <f ca="1">SUM(D60:D70)</f>
        <v>82</v>
      </c>
      <c r="E71" s="596">
        <f ca="1">SUM(E60:E70)</f>
        <v>-10</v>
      </c>
      <c r="F71" s="596">
        <f ca="1">SUM(F60:F70)</f>
        <v>15</v>
      </c>
      <c r="G71" s="596">
        <f ca="1">SUM(G60:G70)</f>
        <v>9</v>
      </c>
      <c r="H71" s="10"/>
    </row>
    <row r="72" spans="2:13">
      <c r="B72" s="766" t="s">
        <v>5934</v>
      </c>
      <c r="C72" s="755">
        <f ca="1">AVERAGE(C60:C70)</f>
        <v>9.3000000000000007</v>
      </c>
      <c r="D72" s="755">
        <f ca="1">AVERAGE(D60:D70)</f>
        <v>9.1111111111111107</v>
      </c>
      <c r="G72" s="10"/>
      <c r="H72" s="10"/>
    </row>
    <row r="73" spans="2:13">
      <c r="B73" s="764"/>
      <c r="C73" s="765"/>
      <c r="D73" s="765"/>
      <c r="G73" s="10"/>
      <c r="H73" s="10"/>
      <c r="I73" s="10"/>
      <c r="J73" s="10"/>
    </row>
    <row r="74" spans="2:13">
      <c r="E74" s="10"/>
      <c r="F74" s="10"/>
      <c r="G74" s="10"/>
      <c r="H74" s="10"/>
      <c r="I74" s="10"/>
      <c r="J74" s="10"/>
    </row>
    <row r="75" spans="2:13">
      <c r="E75" s="10"/>
      <c r="F75" s="10"/>
      <c r="G75" s="10"/>
      <c r="H75" s="10"/>
      <c r="I75" s="10"/>
      <c r="J75" s="10"/>
      <c r="K75" s="10"/>
      <c r="L75" s="10"/>
      <c r="M75" s="10"/>
    </row>
    <row r="76" spans="2:13">
      <c r="E76" s="10"/>
      <c r="F76" s="10"/>
      <c r="H76" s="10"/>
      <c r="I76" s="10"/>
      <c r="J76" s="10"/>
      <c r="K76" s="10"/>
      <c r="L76" s="10"/>
      <c r="M76" s="10"/>
    </row>
    <row r="77" spans="2:13">
      <c r="E77" s="10"/>
      <c r="F77" s="10"/>
      <c r="H77" s="10"/>
      <c r="I77" s="10"/>
      <c r="J77" s="10"/>
      <c r="K77" s="10"/>
      <c r="L77" s="10"/>
      <c r="M77" s="10"/>
    </row>
    <row r="78" spans="2:13">
      <c r="E78" s="10"/>
      <c r="F78" s="10"/>
      <c r="H78" s="10"/>
      <c r="I78" s="10"/>
      <c r="J78" s="10"/>
      <c r="K78" s="10"/>
      <c r="L78" s="10"/>
      <c r="M78" s="10"/>
    </row>
    <row r="79" spans="2:13">
      <c r="F79" s="10"/>
      <c r="H79" s="10"/>
      <c r="I79" s="10"/>
      <c r="J79" s="10"/>
      <c r="K79" s="10"/>
      <c r="L79" s="10"/>
      <c r="M79" s="10"/>
    </row>
    <row r="80" spans="2:13">
      <c r="E80" s="10"/>
      <c r="F80" s="10"/>
      <c r="H80" s="10"/>
      <c r="I80" s="10"/>
      <c r="J80" s="10"/>
      <c r="K80" s="10"/>
      <c r="L80" s="10"/>
      <c r="M80" s="10"/>
    </row>
    <row r="81" spans="2:13">
      <c r="F81" s="10"/>
      <c r="H81" s="10"/>
      <c r="I81" s="10"/>
      <c r="J81" s="10"/>
      <c r="K81" s="10"/>
      <c r="L81" s="10"/>
      <c r="M81" s="10"/>
    </row>
    <row r="82" spans="2:13">
      <c r="B82" s="756" t="s">
        <v>7222</v>
      </c>
      <c r="C82" s="757"/>
      <c r="D82" s="758"/>
    </row>
    <row r="83" spans="2:13">
      <c r="B83" s="759"/>
      <c r="C83" s="760"/>
      <c r="D83" s="761"/>
    </row>
    <row r="84" spans="2:13">
      <c r="B84" s="762"/>
      <c r="C84" s="763"/>
      <c r="D84" s="761"/>
    </row>
    <row r="85" spans="2:13">
      <c r="B85" s="518" t="s">
        <v>5933</v>
      </c>
      <c r="C85" s="518" t="s">
        <v>7187</v>
      </c>
      <c r="D85" s="518" t="s">
        <v>7186</v>
      </c>
      <c r="E85" s="518" t="s">
        <v>7235</v>
      </c>
      <c r="F85" s="518" t="s">
        <v>7236</v>
      </c>
    </row>
    <row r="86" spans="2:13">
      <c r="B86" s="491" t="s">
        <v>7189</v>
      </c>
      <c r="C86" s="590">
        <f>IF(COUNTIFS([3]EXPEDIENTES!$B:$B,"="&amp;B60)&lt;=0,"",COUNTIFS([3]EXPEDIENTES!$B:$B,"="&amp;B60))</f>
        <v>3</v>
      </c>
      <c r="D86" s="590">
        <f>IF(COUNTIFS([3]EXPEDIENTES!$H:$H,"="&amp;B60,[3]EXPEDIENTES!$Q:$Q,"=ELEVADA A JUICIO")&lt;=0," ",COUNTIFS([3]EXPEDIENTES!$H:$H,"="&amp;B60,[3]EXPEDIENTES!$Q:$Q,"=ELEVADA A JUICIO"))</f>
        <v>1</v>
      </c>
      <c r="E86" s="590">
        <f t="shared" ref="E86:E96" si="3">IF(OR(C86=" ",D86=" ")," ",D86-C86)</f>
        <v>-2</v>
      </c>
      <c r="F86" s="590">
        <f>IF(COUNTIFS([3]EXPEDIENTES!$B:$B,"="&amp;B60)&lt;=0,"",COUNTIFS([3]EXPEDIENTES!$B:$B,"="&amp;B60,[3]EXPEDIENTES!$AJ:$AJ,"=PRESO"))</f>
        <v>0</v>
      </c>
    </row>
    <row r="87" spans="2:13" ht="13.5" customHeight="1">
      <c r="B87" s="491" t="s">
        <v>7190</v>
      </c>
      <c r="C87" s="607">
        <f>IF(COUNTIFS([3]EXPEDIENTES!$B:$B,"="&amp;B61)&lt;=0,"",COUNTIFS([3]EXPEDIENTES!$B:$B,"="&amp;B61))</f>
        <v>15</v>
      </c>
      <c r="D87" s="607">
        <f>IF(COUNTIFS([3]EXPEDIENTES!$H:$H,"="&amp;B61,[3]EXPEDIENTES!$Q:$Q,"=ELEVADA A JUICIO")&lt;=0," ",COUNTIFS([3]EXPEDIENTES!$H:$H,"="&amp;B61,[3]EXPEDIENTES!$Q:$Q,"=ELEVADA A JUICIO"))</f>
        <v>2</v>
      </c>
      <c r="E87" s="590">
        <f t="shared" si="3"/>
        <v>-13</v>
      </c>
      <c r="F87" s="590">
        <f>IF(COUNTIFS([3]EXPEDIENTES!$B:$B,"="&amp;B61)&lt;=0,"",COUNTIFS([3]EXPEDIENTES!$B:$B,"="&amp;B61,[3]EXPEDIENTES!$AJ:$AJ,"=PRESO"))</f>
        <v>1</v>
      </c>
    </row>
    <row r="88" spans="2:13" ht="13.5" customHeight="1">
      <c r="B88" s="491" t="s">
        <v>7191</v>
      </c>
      <c r="C88" s="607">
        <f>IF(COUNTIFS([3]EXPEDIENTES!$B:$B,"="&amp;B62)&lt;=0,"",COUNTIFS([3]EXPEDIENTES!$B:$B,"="&amp;B62))</f>
        <v>8</v>
      </c>
      <c r="D88" s="590">
        <f>IF(COUNTIFS([3]EXPEDIENTES!$H:$H,"="&amp;B62,[3]EXPEDIENTES!$Q:$Q,"=ELEVADA A JUICIO")&lt;=0," ",COUNTIFS([3]EXPEDIENTES!$H:$H,"="&amp;B62,[3]EXPEDIENTES!$Q:$Q,"=ELEVADA A JUICIO"))</f>
        <v>2</v>
      </c>
      <c r="E88" s="590">
        <f t="shared" si="3"/>
        <v>-6</v>
      </c>
      <c r="F88" s="590">
        <f>IF(COUNTIFS([3]EXPEDIENTES!$B:$B,"="&amp;B62)&lt;=0,"",COUNTIFS([3]EXPEDIENTES!$B:$B,"="&amp;B62,[3]EXPEDIENTES!$AJ:$AJ,"=PRESO"))</f>
        <v>0</v>
      </c>
    </row>
    <row r="89" spans="2:13" ht="12.75" customHeight="1">
      <c r="B89" s="491" t="s">
        <v>7192</v>
      </c>
      <c r="C89" s="607">
        <f>IF(COUNTIFS([3]EXPEDIENTES!$B:$B,"="&amp;B63)&lt;=0,"",COUNTIFS([3]EXPEDIENTES!$B:$B,"="&amp;B63))</f>
        <v>12</v>
      </c>
      <c r="D89" s="590">
        <f>IF(COUNTIFS([3]EXPEDIENTES!$H:$H,"="&amp;B63,[3]EXPEDIENTES!$Q:$Q,"=ELEVADA A JUICIO")&lt;=0," ",COUNTIFS([3]EXPEDIENTES!$H:$H,"="&amp;B63,[3]EXPEDIENTES!$Q:$Q,"=ELEVADA A JUICIO"))</f>
        <v>2</v>
      </c>
      <c r="E89" s="590">
        <f t="shared" si="3"/>
        <v>-10</v>
      </c>
      <c r="F89" s="590">
        <f>IF(COUNTIFS([3]EXPEDIENTES!$B:$B,"="&amp;B63)&lt;=0,"",COUNTIFS([3]EXPEDIENTES!$B:$B,"="&amp;B63,[3]EXPEDIENTES!$AJ:$AJ,"=PRESO"))</f>
        <v>3</v>
      </c>
    </row>
    <row r="90" spans="2:13">
      <c r="B90" s="491" t="s">
        <v>7193</v>
      </c>
      <c r="C90" s="607">
        <f>IF(COUNTIFS([3]EXPEDIENTES!$B:$B,"="&amp;B64)&lt;=0,"",COUNTIFS([3]EXPEDIENTES!$B:$B,"="&amp;B64))</f>
        <v>7</v>
      </c>
      <c r="D90" s="590" t="str">
        <f>IF(COUNTIFS([3]EXPEDIENTES!$H:$H,"="&amp;B64,[3]EXPEDIENTES!$Q:$Q,"=ELEVADA A JUICIO")&lt;=0," ",COUNTIFS([3]EXPEDIENTES!$H:$H,"="&amp;B64,[3]EXPEDIENTES!$Q:$Q,"=ELEVADA A JUICIO"))</f>
        <v xml:space="preserve"> </v>
      </c>
      <c r="E90" s="590" t="str">
        <f t="shared" si="3"/>
        <v xml:space="preserve"> </v>
      </c>
      <c r="F90" s="590">
        <f>IF(COUNTIFS([3]EXPEDIENTES!$B:$B,"="&amp;B64)&lt;=0,"",COUNTIFS([3]EXPEDIENTES!$B:$B,"="&amp;B64,[3]EXPEDIENTES!$AJ:$AJ,"=PRESO"))</f>
        <v>0</v>
      </c>
    </row>
    <row r="91" spans="2:13">
      <c r="B91" s="491" t="s">
        <v>7194</v>
      </c>
      <c r="C91" s="607">
        <f>IF(COUNTIFS([3]EXPEDIENTES!$B:$B,"="&amp;B65)&lt;=0,"",COUNTIFS([3]EXPEDIENTES!$B:$B,"="&amp;B65))</f>
        <v>12</v>
      </c>
      <c r="D91" s="590">
        <f>IF(COUNTIFS([3]EXPEDIENTES!$H:$H,"="&amp;B65,[3]EXPEDIENTES!$Q:$Q,"=ELEVADA A JUICIO")&lt;=0," ",COUNTIFS([3]EXPEDIENTES!$H:$H,"="&amp;B65,[3]EXPEDIENTES!$Q:$Q,"=ELEVADA A JUICIO"))</f>
        <v>1</v>
      </c>
      <c r="E91" s="590">
        <f t="shared" si="3"/>
        <v>-11</v>
      </c>
      <c r="F91" s="590">
        <f>IF(COUNTIFS([3]EXPEDIENTES!$B:$B,"="&amp;B65)&lt;=0,"",COUNTIFS([3]EXPEDIENTES!$B:$B,"="&amp;B65,[3]EXPEDIENTES!$AJ:$AJ,"=PRESO"))</f>
        <v>2</v>
      </c>
    </row>
    <row r="92" spans="2:13">
      <c r="B92" s="491" t="s">
        <v>7195</v>
      </c>
      <c r="C92" s="607">
        <f>IF(COUNTIFS([3]EXPEDIENTES!$B:$B,"="&amp;B66)&lt;=0,"",COUNTIFS([3]EXPEDIENTES!$B:$B,"="&amp;B66))</f>
        <v>5</v>
      </c>
      <c r="D92" s="590">
        <f>IF(COUNTIFS([3]EXPEDIENTES!$H:$H,"="&amp;B66,[3]EXPEDIENTES!$Q:$Q,"=ELEVADA A JUICIO")&lt;=0," ",COUNTIFS([3]EXPEDIENTES!$H:$H,"="&amp;B66,[3]EXPEDIENTES!$Q:$Q,"=ELEVADA A JUICIO"))</f>
        <v>4</v>
      </c>
      <c r="E92" s="590">
        <f t="shared" si="3"/>
        <v>-1</v>
      </c>
      <c r="F92" s="590">
        <f>IF(COUNTIFS([3]EXPEDIENTES!$B:$B,"="&amp;B66)&lt;=0,"",COUNTIFS([3]EXPEDIENTES!$B:$B,"="&amp;B66,[3]EXPEDIENTES!$AJ:$AJ,"=PRESO"))</f>
        <v>2</v>
      </c>
    </row>
    <row r="93" spans="2:13">
      <c r="B93" s="491" t="s">
        <v>7196</v>
      </c>
      <c r="C93" s="607">
        <f>IF(COUNTIFS([3]EXPEDIENTES!$B:$B,"="&amp;B67)&lt;=0,"",COUNTIFS([3]EXPEDIENTES!$B:$B,"="&amp;B67))</f>
        <v>7</v>
      </c>
      <c r="D93" s="590">
        <f>IF(COUNTIFS([3]EXPEDIENTES!$H:$H,"="&amp;B67,[3]EXPEDIENTES!$Q:$Q,"=ELEVADA A JUICIO")&lt;=0," ",COUNTIFS([3]EXPEDIENTES!$H:$H,"="&amp;B67,[3]EXPEDIENTES!$Q:$Q,"=ELEVADA A JUICIO"))</f>
        <v>2</v>
      </c>
      <c r="E93" s="590">
        <f t="shared" si="3"/>
        <v>-5</v>
      </c>
      <c r="F93" s="590">
        <f>IF(COUNTIFS([3]EXPEDIENTES!$B:$B,"="&amp;B67)&lt;=0,"",COUNTIFS([3]EXPEDIENTES!$B:$B,"="&amp;B67,[3]EXPEDIENTES!$AJ:$AJ,"=PRESO"))</f>
        <v>1</v>
      </c>
    </row>
    <row r="94" spans="2:13">
      <c r="B94" s="491" t="s">
        <v>7197</v>
      </c>
      <c r="C94" s="607" t="str">
        <f>IF(COUNTIFS([3]EXPEDIENTES!$B:$B,"="&amp;B68)&lt;=0,"",COUNTIFS([3]EXPEDIENTES!$B:$B,"="&amp;B68))</f>
        <v/>
      </c>
      <c r="D94" s="590" t="str">
        <f>IF(COUNTIFS([3]EXPEDIENTES!$H:$H,"="&amp;B68,[3]EXPEDIENTES!$Q:$Q,"=ELEVADA A JUICIO")&lt;=0," ",COUNTIFS([3]EXPEDIENTES!$H:$H,"="&amp;B68,[3]EXPEDIENTES!$Q:$Q,"=ELEVADA A JUICIO"))</f>
        <v xml:space="preserve"> </v>
      </c>
      <c r="E94" s="590" t="str">
        <f t="shared" si="3"/>
        <v xml:space="preserve"> </v>
      </c>
      <c r="F94" s="590" t="str">
        <f>IF(COUNTIFS([3]EXPEDIENTES!$B:$B,"="&amp;B68)&lt;=0,"",COUNTIFS([3]EXPEDIENTES!$B:$B,"="&amp;B68,[3]EXPEDIENTES!$AJ:$AJ,"=PRESO"))</f>
        <v/>
      </c>
    </row>
    <row r="95" spans="2:13">
      <c r="B95" s="491" t="s">
        <v>7198</v>
      </c>
      <c r="C95" s="607" t="str">
        <f>IF(COUNTIFS([3]EXPEDIENTES!$B:$B,"="&amp;B69)&lt;=0,"",COUNTIFS([3]EXPEDIENTES!$B:$B,"="&amp;B69))</f>
        <v/>
      </c>
      <c r="D95" s="590" t="str">
        <f>IF(COUNTIFS([3]EXPEDIENTES!$H:$H,"="&amp;B69,[3]EXPEDIENTES!$Q:$Q,"=ELEVADA A JUICIO")&lt;=0," ",COUNTIFS([3]EXPEDIENTES!$H:$H,"="&amp;B69,[3]EXPEDIENTES!$Q:$Q,"=ELEVADA A JUICIO"))</f>
        <v xml:space="preserve"> </v>
      </c>
      <c r="E95" s="590" t="str">
        <f t="shared" si="3"/>
        <v xml:space="preserve"> </v>
      </c>
      <c r="F95" s="590" t="str">
        <f>IF(COUNTIFS([3]EXPEDIENTES!$B:$B,"="&amp;B69)&lt;=0,"",COUNTIFS([3]EXPEDIENTES!$B:$B,"="&amp;B69,[3]EXPEDIENTES!$AJ:$AJ,"=PRESO"))</f>
        <v/>
      </c>
    </row>
    <row r="96" spans="2:13">
      <c r="B96" s="491" t="s">
        <v>7223</v>
      </c>
      <c r="C96" s="607" t="str">
        <f>IF(COUNTIFS([3]EXPEDIENTES!$B:$B,"="&amp;B70)&lt;=0,"",COUNTIFS([3]EXPEDIENTES!$B:$B,"="&amp;B70))</f>
        <v/>
      </c>
      <c r="D96" s="590" t="str">
        <f>IF(COUNTIFS([3]EXPEDIENTES!$H:$H,"="&amp;B70,[3]EXPEDIENTES!$Q:$Q,"=ELEVADA A JUICIO")&lt;=0," ",COUNTIFS([3]EXPEDIENTES!$H:$H,"="&amp;B70,[3]EXPEDIENTES!$Q:$Q,"=ELEVADA A JUICIO"))</f>
        <v xml:space="preserve"> </v>
      </c>
      <c r="E96" s="590" t="str">
        <f t="shared" si="3"/>
        <v xml:space="preserve"> </v>
      </c>
      <c r="F96" s="590" t="str">
        <f>IF(COUNTIFS([3]EXPEDIENTES!$B:$B,"="&amp;B70)&lt;=0,"",COUNTIFS([3]EXPEDIENTES!$B:$B,"="&amp;B70,[3]EXPEDIENTES!$AJ:$AJ,"=PRESO"))</f>
        <v/>
      </c>
    </row>
    <row r="97" spans="2:6">
      <c r="B97" s="587" t="s">
        <v>934</v>
      </c>
      <c r="C97" s="589">
        <f>SUM(C86:C96)</f>
        <v>69</v>
      </c>
      <c r="D97" s="589">
        <f>SUM(D86:D96)</f>
        <v>14</v>
      </c>
      <c r="E97" s="589">
        <f>SUM(E86:E96)</f>
        <v>-48</v>
      </c>
      <c r="F97" s="589">
        <f>SUM(F86:F96)</f>
        <v>9</v>
      </c>
    </row>
    <row r="98" spans="2:6">
      <c r="B98" s="764" t="s">
        <v>5934</v>
      </c>
      <c r="C98" s="765">
        <f>AVERAGE(C86:C96)</f>
        <v>8.625</v>
      </c>
      <c r="D98" s="755">
        <f>AVERAGE(D86:D96)</f>
        <v>2</v>
      </c>
    </row>
    <row r="99" spans="2:6">
      <c r="B99" s="764"/>
      <c r="C99" s="765"/>
      <c r="D99" s="765"/>
    </row>
  </sheetData>
  <mergeCells count="23">
    <mergeCell ref="B82:D84"/>
    <mergeCell ref="B98:B99"/>
    <mergeCell ref="C98:C99"/>
    <mergeCell ref="D98:D99"/>
    <mergeCell ref="B17:B18"/>
    <mergeCell ref="C17:C18"/>
    <mergeCell ref="D17:D18"/>
    <mergeCell ref="B72:B73"/>
    <mergeCell ref="C72:C73"/>
    <mergeCell ref="D72:D73"/>
    <mergeCell ref="B57:G58"/>
    <mergeCell ref="D42:D43"/>
    <mergeCell ref="B28:D30"/>
    <mergeCell ref="B42:B43"/>
    <mergeCell ref="C42:C43"/>
    <mergeCell ref="B4:G5"/>
    <mergeCell ref="Q18:Q19"/>
    <mergeCell ref="P18:P19"/>
    <mergeCell ref="P5:Q6"/>
    <mergeCell ref="P42:P43"/>
    <mergeCell ref="Q42:Q43"/>
    <mergeCell ref="P30:Q31"/>
    <mergeCell ref="E42:E43"/>
  </mergeCells>
  <conditionalFormatting sqref="E7:E15">
    <cfRule type="colorScale" priority="7">
      <colorScale>
        <cfvo type="num" val="-1"/>
        <cfvo type="formula" val="$E$7:$E$15&gt;=0"/>
        <color rgb="FFFF0000"/>
        <color rgb="FF00B050"/>
      </colorScale>
    </cfRule>
    <cfRule type="colorScale" priority="8">
      <colorScale>
        <cfvo type="min" val="0"/>
        <cfvo type="num" val="0"/>
        <color rgb="FFFF0000"/>
        <color rgb="FF00B050"/>
      </colorScale>
    </cfRule>
  </conditionalFormatting>
  <conditionalFormatting sqref="E60:E70">
    <cfRule type="colorScale" priority="11">
      <colorScale>
        <cfvo type="num" val="-1"/>
        <cfvo type="formula" val="$E$7:$E$15&gt;=0"/>
        <color rgb="FFFF0000"/>
        <color rgb="FF00B050"/>
      </colorScale>
    </cfRule>
    <cfRule type="colorScale" priority="12">
      <colorScale>
        <cfvo type="min" val="0"/>
        <cfvo type="num" val="0"/>
        <color rgb="FFFF0000"/>
        <color rgb="FF00B050"/>
      </colorScale>
    </cfRule>
  </conditionalFormatting>
  <conditionalFormatting sqref="E86:E96">
    <cfRule type="colorScale" priority="3">
      <colorScale>
        <cfvo type="num" val="-1"/>
        <cfvo type="formula" val="$E$7:$E$15&gt;=0"/>
        <color rgb="FFFF0000"/>
        <color rgb="FF00B050"/>
      </colorScale>
    </cfRule>
    <cfRule type="colorScale" priority="4">
      <colorScale>
        <cfvo type="min" val="0"/>
        <cfvo type="num" val="0"/>
        <color rgb="FFFF0000"/>
        <color rgb="FF00B050"/>
      </colorScale>
    </cfRule>
  </conditionalFormatting>
  <conditionalFormatting sqref="E32:E40">
    <cfRule type="colorScale" priority="1">
      <colorScale>
        <cfvo type="num" val="-1"/>
        <cfvo type="formula" val="$E$7:$E$15&gt;=0"/>
        <color rgb="FFFF0000"/>
        <color rgb="FF00B050"/>
      </colorScale>
    </cfRule>
    <cfRule type="colorScale" priority="2">
      <colorScale>
        <cfvo type="min" val="0"/>
        <cfvo type="num" val="0"/>
        <color rgb="FFFF0000"/>
        <color rgb="FF00B050"/>
      </colorScale>
    </cfRule>
  </conditionalFormatting>
  <pageMargins left="0.70866141732283472" right="0.70866141732283472" top="0.74803149606299213" bottom="0.74803149606299213" header="0.31496062992125984" footer="0.31496062992125984"/>
  <pageSetup paperSize="5" scale="85" orientation="landscape" horizontalDpi="4294967294" verticalDpi="4294967294" r:id="rId1"/>
  <drawing r:id="rId2"/>
</worksheet>
</file>

<file path=xl/worksheets/sheet7.xml><?xml version="1.0" encoding="utf-8"?>
<worksheet xmlns="http://schemas.openxmlformats.org/spreadsheetml/2006/main" xmlns:r="http://schemas.openxmlformats.org/officeDocument/2006/relationships">
  <sheetPr codeName="Hoja17">
    <pageSetUpPr autoPageBreaks="0"/>
  </sheetPr>
  <dimension ref="A1:CQ112"/>
  <sheetViews>
    <sheetView showGridLines="0" showWhiteSpace="0" topLeftCell="AM1" zoomScale="70" zoomScaleNormal="70" zoomScaleSheetLayoutView="80" zoomScalePageLayoutView="40" workbookViewId="0">
      <selection activeCell="AX60" sqref="AX60"/>
    </sheetView>
  </sheetViews>
  <sheetFormatPr baseColWidth="10" defaultColWidth="11.33203125" defaultRowHeight="13.2"/>
  <cols>
    <col min="1" max="1" width="8.88671875" style="191" bestFit="1" customWidth="1"/>
    <col min="2" max="2" width="11.6640625" style="191" bestFit="1" customWidth="1"/>
    <col min="3" max="3" width="27.109375" style="191" customWidth="1"/>
    <col min="4" max="4" width="18.109375" style="186" customWidth="1"/>
    <col min="5" max="7" width="11.33203125" style="186"/>
    <col min="8" max="8" width="4.33203125" style="187" customWidth="1"/>
    <col min="9" max="9" width="8.33203125" style="187" bestFit="1" customWidth="1"/>
    <col min="10" max="10" width="44.33203125" style="186" bestFit="1" customWidth="1"/>
    <col min="11" max="11" width="11.33203125" style="186"/>
    <col min="12" max="12" width="3.5546875" style="186" customWidth="1"/>
    <col min="13" max="13" width="11.33203125" style="186"/>
    <col min="14" max="14" width="11.33203125" style="186" customWidth="1"/>
    <col min="15" max="15" width="23.44140625" style="186" customWidth="1"/>
    <col min="16" max="37" width="11.33203125" style="186"/>
    <col min="38" max="38" width="12.44140625" style="186" bestFit="1" customWidth="1"/>
    <col min="39" max="41" width="11.33203125" style="186"/>
    <col min="42" max="42" width="11.6640625" style="186" customWidth="1"/>
    <col min="43" max="43" width="14" style="186" customWidth="1"/>
    <col min="44" max="44" width="51.33203125" style="186" customWidth="1"/>
    <col min="45" max="54" width="11.33203125" style="186"/>
    <col min="55" max="55" width="30" style="186" customWidth="1"/>
    <col min="56" max="57" width="11.33203125" style="186"/>
    <col min="58" max="58" width="11.33203125" style="186" customWidth="1"/>
    <col min="59" max="59" width="16.44140625" style="186" customWidth="1"/>
    <col min="60" max="60" width="13.44140625" style="186" customWidth="1"/>
    <col min="61" max="61" width="14.6640625" style="186" customWidth="1"/>
    <col min="62" max="76" width="11.33203125" style="186"/>
    <col min="77" max="77" width="26.109375" style="186" customWidth="1"/>
    <col min="78" max="78" width="13.6640625" style="186" customWidth="1"/>
    <col min="79" max="79" width="15.6640625" style="186" customWidth="1"/>
    <col min="80" max="16384" width="11.33203125" style="186"/>
  </cols>
  <sheetData>
    <row r="1" spans="1:95" ht="17.399999999999999">
      <c r="A1" s="786"/>
      <c r="B1" s="786"/>
      <c r="C1" s="786"/>
      <c r="D1" s="786"/>
      <c r="E1" s="786"/>
      <c r="F1" s="786"/>
      <c r="G1" s="786"/>
      <c r="H1" s="786"/>
      <c r="I1" s="786"/>
      <c r="J1" s="786"/>
      <c r="K1" s="185"/>
      <c r="AQ1" s="786" t="s">
        <v>1989</v>
      </c>
      <c r="AR1" s="786"/>
      <c r="AS1" s="786"/>
      <c r="AT1" s="786"/>
      <c r="AU1" s="786"/>
      <c r="AV1" s="786"/>
      <c r="AW1" s="786"/>
      <c r="AX1" s="786"/>
      <c r="AY1" s="786"/>
      <c r="AZ1" s="786"/>
      <c r="BA1" s="786"/>
    </row>
    <row r="2" spans="1:95" ht="33" customHeight="1">
      <c r="AS2" s="284" t="s">
        <v>7442</v>
      </c>
      <c r="BG2" s="452" t="s">
        <v>5887</v>
      </c>
      <c r="BY2" s="477" t="s">
        <v>5897</v>
      </c>
    </row>
    <row r="3" spans="1:95" ht="30.75" customHeight="1">
      <c r="A3" s="186"/>
      <c r="B3" s="788" t="s">
        <v>5882</v>
      </c>
      <c r="C3" s="788"/>
      <c r="D3" s="788"/>
      <c r="O3" s="187"/>
      <c r="P3" s="187"/>
      <c r="AK3" s="185" t="s">
        <v>382</v>
      </c>
      <c r="AL3" s="185" t="s">
        <v>31</v>
      </c>
      <c r="AQ3" s="787" t="s">
        <v>1985</v>
      </c>
      <c r="AR3" s="787"/>
      <c r="AS3" s="787"/>
      <c r="AT3" s="787"/>
      <c r="AU3" s="787"/>
      <c r="AV3" s="787"/>
      <c r="AW3" s="787"/>
      <c r="AX3" s="787"/>
      <c r="AY3" s="787"/>
      <c r="AZ3" s="787"/>
      <c r="BA3" s="787"/>
      <c r="BG3" s="453" t="s">
        <v>5888</v>
      </c>
    </row>
    <row r="4" spans="1:95" ht="27" customHeight="1" thickBot="1">
      <c r="A4" s="186"/>
      <c r="B4" s="186"/>
      <c r="C4" s="187"/>
      <c r="D4" s="187"/>
      <c r="O4" s="187"/>
      <c r="P4" s="187"/>
      <c r="Z4" s="185"/>
      <c r="AK4" s="283" t="s">
        <v>927</v>
      </c>
      <c r="AL4" s="282" t="s">
        <v>1293</v>
      </c>
      <c r="AM4" s="282" t="s">
        <v>928</v>
      </c>
    </row>
    <row r="5" spans="1:95" ht="45" customHeight="1">
      <c r="A5" s="186"/>
      <c r="B5" s="186"/>
      <c r="C5" s="187"/>
      <c r="D5" s="187"/>
      <c r="O5" s="187"/>
      <c r="P5" s="187"/>
      <c r="T5" s="185"/>
      <c r="AK5" s="277" t="e">
        <v>#VALUE!</v>
      </c>
      <c r="AL5" s="276" t="e">
        <f>AK5/AK11</f>
        <v>#VALUE!</v>
      </c>
      <c r="AM5" s="278" t="s">
        <v>577</v>
      </c>
      <c r="AP5" s="195" t="s">
        <v>927</v>
      </c>
      <c r="AQ5" s="195" t="s">
        <v>6243</v>
      </c>
      <c r="AR5" s="195" t="s">
        <v>928</v>
      </c>
      <c r="AW5" s="187"/>
      <c r="AX5" s="187"/>
      <c r="BC5" s="58"/>
      <c r="BG5" s="777" t="s">
        <v>5890</v>
      </c>
      <c r="BH5" s="778"/>
      <c r="BI5" s="779"/>
      <c r="BJ5" s="484"/>
      <c r="BK5" s="484"/>
      <c r="BL5" s="484"/>
      <c r="BM5" s="484"/>
      <c r="BN5" s="484"/>
      <c r="BO5" s="484"/>
      <c r="BP5" s="484"/>
      <c r="BQ5" s="484"/>
      <c r="BR5" s="484"/>
      <c r="BS5" s="484"/>
      <c r="BY5" s="479" t="s">
        <v>5901</v>
      </c>
      <c r="BZ5" s="479" t="s">
        <v>927</v>
      </c>
      <c r="CA5" s="479" t="s">
        <v>1293</v>
      </c>
    </row>
    <row r="6" spans="1:95" ht="28.35" customHeight="1">
      <c r="A6" s="284"/>
      <c r="B6" s="284"/>
      <c r="C6" s="187"/>
      <c r="D6" s="187"/>
      <c r="F6" s="284"/>
      <c r="G6" s="284"/>
      <c r="M6" s="284"/>
      <c r="N6" s="284"/>
      <c r="O6" s="187"/>
      <c r="P6" s="187"/>
      <c r="T6" s="185"/>
      <c r="AK6" s="277" t="e">
        <v>#VALUE!</v>
      </c>
      <c r="AL6" s="276" t="e">
        <f>AK6/AK11</f>
        <v>#VALUE!</v>
      </c>
      <c r="AM6" s="278" t="s">
        <v>1318</v>
      </c>
      <c r="AP6" s="196">
        <f ca="1">COUNTIFS(EXPEDIENTES!R:R,$AR6,EXPEDIENTES!O:O,"SI")</f>
        <v>860</v>
      </c>
      <c r="AQ6" s="603">
        <f ca="1">AP6/AP15</f>
        <v>0.43654822335025378</v>
      </c>
      <c r="AR6" s="197" t="s">
        <v>100</v>
      </c>
      <c r="AU6" s="188"/>
      <c r="AW6" s="187"/>
      <c r="AX6" s="187"/>
      <c r="BC6" s="58"/>
      <c r="BG6" s="454" t="s">
        <v>3138</v>
      </c>
      <c r="BH6" s="485" t="s">
        <v>927</v>
      </c>
      <c r="BI6" s="455" t="s">
        <v>1293</v>
      </c>
      <c r="BJ6" s="484"/>
      <c r="BK6" s="484"/>
      <c r="BL6" s="484"/>
      <c r="BM6" s="484"/>
      <c r="BN6" s="484"/>
      <c r="BO6" s="484"/>
      <c r="BP6" s="484"/>
      <c r="BQ6" s="484"/>
      <c r="BR6" s="484"/>
      <c r="BS6" s="484"/>
      <c r="BY6" s="480" t="s">
        <v>5898</v>
      </c>
      <c r="BZ6" s="480">
        <v>69</v>
      </c>
      <c r="CA6" s="481">
        <f ca="1">BZ6/AP15</f>
        <v>3.5025380710659901E-2</v>
      </c>
    </row>
    <row r="7" spans="1:95" ht="28.35" customHeight="1">
      <c r="A7" s="186"/>
      <c r="B7" s="186"/>
      <c r="C7" s="187"/>
      <c r="D7" s="187"/>
      <c r="O7" s="187"/>
      <c r="P7" s="187"/>
      <c r="T7" s="185"/>
      <c r="AK7" s="277" t="e">
        <v>#VALUE!</v>
      </c>
      <c r="AL7" s="276" t="e">
        <f>AK7/AK11</f>
        <v>#VALUE!</v>
      </c>
      <c r="AM7" s="278" t="s">
        <v>1319</v>
      </c>
      <c r="AP7" s="196">
        <f ca="1">COUNTIFS(EXPEDIENTES!R:R,$AR7,EXPEDIENTES!O:O,"SI")</f>
        <v>624</v>
      </c>
      <c r="AQ7" s="603">
        <f ca="1">AP7/AP15</f>
        <v>0.31675126903553297</v>
      </c>
      <c r="AR7" s="197" t="s">
        <v>151</v>
      </c>
      <c r="AU7" s="188"/>
      <c r="AW7" s="187"/>
      <c r="AX7" s="187"/>
      <c r="BC7" s="58"/>
      <c r="BG7" s="456" t="s">
        <v>3139</v>
      </c>
      <c r="BH7" s="457">
        <f ca="1">COUNTIFS(EXPEDIENTES!R:R,"Prisión preventiva",EXPEDIENTES!O:O,"SI",EXPEDIENTES!H:H,"&gt;=01/02/2023",EXPEDIENTES!H:H,"&lt;=28/02/2023")</f>
        <v>0</v>
      </c>
      <c r="BI7" s="486">
        <f ca="1">BH7/COUNTIFS(EXPEDIENTES!H:H,"&gt;=01/02/2023",EXPEDIENTES!H:H,"&lt;=28/02/2023",EXPEDIENTES!O:O,"=SI")</f>
        <v>0</v>
      </c>
      <c r="BJ7" s="484"/>
      <c r="BK7" s="484"/>
      <c r="BL7" s="484"/>
      <c r="BM7" s="484"/>
      <c r="BN7" s="484"/>
      <c r="BO7" s="484"/>
      <c r="BP7" s="484"/>
      <c r="BQ7" s="484"/>
      <c r="BR7" s="484"/>
      <c r="BS7" s="484"/>
      <c r="BY7" s="480" t="s">
        <v>5902</v>
      </c>
      <c r="BZ7" s="480">
        <v>1149</v>
      </c>
      <c r="CA7" s="481">
        <f ca="1">BZ7/AP15</f>
        <v>0.58324873096446705</v>
      </c>
    </row>
    <row r="8" spans="1:95" ht="28.35" customHeight="1">
      <c r="A8" s="186"/>
      <c r="B8" s="186"/>
      <c r="C8" s="187"/>
      <c r="D8" s="187"/>
      <c r="O8" s="187"/>
      <c r="P8" s="187"/>
      <c r="T8" s="185"/>
      <c r="AK8" s="277" t="e">
        <v>#VALUE!</v>
      </c>
      <c r="AL8" s="276" t="e">
        <f>AK8/AK11</f>
        <v>#VALUE!</v>
      </c>
      <c r="AM8" s="278" t="s">
        <v>900</v>
      </c>
      <c r="AP8" s="196">
        <f ca="1">COUNTIFS(EXPEDIENTES!R:R,$AR8,EXPEDIENTES!O:O,"SI")</f>
        <v>232</v>
      </c>
      <c r="AQ8" s="603">
        <f ca="1">AP8/AP15</f>
        <v>0.11776649746192894</v>
      </c>
      <c r="AR8" s="197" t="s">
        <v>900</v>
      </c>
      <c r="AU8" s="188"/>
      <c r="AW8" s="187"/>
      <c r="AX8" s="187"/>
      <c r="BC8" s="58"/>
      <c r="BG8" s="456" t="s">
        <v>3140</v>
      </c>
      <c r="BH8" s="457">
        <f ca="1">COUNTIFS(EXPEDIENTES!R:R,"Prisión preventiva",EXPEDIENTES!O:O,"SI",EXPEDIENTES!H:H,"&gt;=01/03/2023",EXPEDIENTES!H:H,"&lt;=31/03/2023")</f>
        <v>28</v>
      </c>
      <c r="BI8" s="486">
        <f ca="1">BH8/COUNTIFS(EXPEDIENTES!H:H,"&gt;=01/03/2023",EXPEDIENTES!H:H,"&lt;=31/03/2023",EXPEDIENTES!O:O,"=SI")</f>
        <v>0.33333333333333331</v>
      </c>
      <c r="BJ8" s="484"/>
      <c r="BK8" s="484"/>
      <c r="BL8" s="484"/>
      <c r="BM8" s="484"/>
      <c r="BN8" s="484"/>
      <c r="BO8" s="484"/>
      <c r="BP8" s="484"/>
      <c r="BQ8" s="484"/>
      <c r="BR8" s="484"/>
      <c r="BS8" s="484"/>
      <c r="BY8" s="480" t="s">
        <v>5899</v>
      </c>
      <c r="BZ8" s="480">
        <v>78</v>
      </c>
      <c r="CA8" s="481">
        <f ca="1">BZ8/AP15</f>
        <v>3.9593908629441621E-2</v>
      </c>
    </row>
    <row r="9" spans="1:95" ht="28.35" customHeight="1">
      <c r="A9" s="186"/>
      <c r="B9" s="186"/>
      <c r="C9" s="187"/>
      <c r="D9" s="187"/>
      <c r="O9" s="187"/>
      <c r="P9" s="187"/>
      <c r="T9" s="185"/>
      <c r="AK9" s="280" t="e">
        <v>#VALUE!</v>
      </c>
      <c r="AL9" s="276" t="e">
        <f>AK9/AK11</f>
        <v>#VALUE!</v>
      </c>
      <c r="AM9" s="278" t="s">
        <v>1320</v>
      </c>
      <c r="AP9" s="196">
        <f ca="1">COUNTIFS(EXPEDIENTES!R:R,$AR9,EXPEDIENTES!O:O,"SI")</f>
        <v>126</v>
      </c>
      <c r="AQ9" s="603">
        <f ca="1">AP9/AP15</f>
        <v>6.3959390862944165E-2</v>
      </c>
      <c r="AR9" s="197" t="s">
        <v>947</v>
      </c>
      <c r="AU9" s="188"/>
      <c r="AW9" s="187"/>
      <c r="AX9" s="187"/>
      <c r="BC9" s="58"/>
      <c r="BG9" s="456" t="s">
        <v>3141</v>
      </c>
      <c r="BH9" s="457">
        <f ca="1">COUNTIFS(EXPEDIENTES!R:R,"Prisión preventiva",EXPEDIENTES!O:O,"SI",EXPEDIENTES!H:H,"&gt;=01/04/2023",EXPEDIENTES!H:H,"&lt;=30/04/2023")</f>
        <v>20</v>
      </c>
      <c r="BI9" s="486">
        <f ca="1">BH9/COUNTIFS(EXPEDIENTES!H:H,"&gt;=01/04/2023",EXPEDIENTES!H:H,"&lt;=30/04/2023",EXPEDIENTES!O:O,"=SI")</f>
        <v>0.31746031746031744</v>
      </c>
      <c r="BJ9" s="484"/>
      <c r="BK9" s="484"/>
      <c r="BL9" s="484"/>
      <c r="BM9" s="484"/>
      <c r="BN9" s="484"/>
      <c r="BO9" s="484"/>
      <c r="BP9" s="484"/>
      <c r="BQ9" s="484"/>
      <c r="BR9" s="484"/>
      <c r="BS9" s="484"/>
      <c r="BY9" s="480" t="s">
        <v>5900</v>
      </c>
      <c r="BZ9" s="480">
        <v>377</v>
      </c>
      <c r="CA9" s="481">
        <f ca="1">BZ9/AP15</f>
        <v>0.19137055837563452</v>
      </c>
    </row>
    <row r="10" spans="1:95" ht="28.35" customHeight="1">
      <c r="A10" s="186"/>
      <c r="B10" s="186"/>
      <c r="C10" s="187"/>
      <c r="D10" s="187"/>
      <c r="O10" s="187"/>
      <c r="P10" s="187"/>
      <c r="T10" s="185"/>
      <c r="AK10" s="277" t="e">
        <v>#VALUE!</v>
      </c>
      <c r="AL10" s="276" t="e">
        <f>AK10/AK11</f>
        <v>#VALUE!</v>
      </c>
      <c r="AM10" s="278" t="s">
        <v>947</v>
      </c>
      <c r="AP10" s="196">
        <f ca="1">COUNTIFS(EXPEDIENTES!R:R,$AR10,EXPEDIENTES!O:O,"SI")</f>
        <v>75</v>
      </c>
      <c r="AQ10" s="603">
        <f ca="1">AP10/AP15</f>
        <v>3.8071065989847719E-2</v>
      </c>
      <c r="AR10" s="197" t="s">
        <v>911</v>
      </c>
      <c r="AU10" s="188"/>
      <c r="AW10" s="187"/>
      <c r="AX10" s="187"/>
      <c r="BC10" s="58"/>
      <c r="BG10" s="456" t="s">
        <v>3142</v>
      </c>
      <c r="BH10" s="457">
        <f ca="1">COUNTIFS(EXPEDIENTES!R:R,"Prisión preventiva",EXPEDIENTES!O:O,"SI",EXPEDIENTES!H:H,"&gt;=01/05/2023",EXPEDIENTES!H:H,"&lt;=31/05/2023")</f>
        <v>10</v>
      </c>
      <c r="BI10" s="486">
        <f ca="1">BH10/COUNTIFS(EXPEDIENTES!H:H,"&gt;=01/05/2023",EXPEDIENTES!H:H,"&lt;=31/05/2023",EXPEDIENTES!O:O,"=SI")</f>
        <v>0.22727272727272727</v>
      </c>
      <c r="BJ10" s="484"/>
      <c r="BK10" s="484"/>
      <c r="BL10" s="484"/>
      <c r="BM10" s="484"/>
      <c r="BN10" s="484"/>
      <c r="BO10" s="484"/>
      <c r="BP10" s="484"/>
      <c r="BQ10" s="484"/>
      <c r="BR10" s="484"/>
      <c r="BS10" s="484"/>
    </row>
    <row r="11" spans="1:95" ht="28.35" customHeight="1">
      <c r="A11" s="186"/>
      <c r="B11" s="186"/>
      <c r="C11" s="187"/>
      <c r="D11" s="187"/>
      <c r="O11" s="187"/>
      <c r="P11" s="187"/>
      <c r="T11" s="185"/>
      <c r="AK11" s="274" t="e">
        <f>SUM(AK5:AK10)</f>
        <v>#VALUE!</v>
      </c>
      <c r="AL11" s="273" t="e">
        <f>SUM(AL5:AL10)</f>
        <v>#VALUE!</v>
      </c>
      <c r="AM11" s="272" t="s">
        <v>370</v>
      </c>
      <c r="AP11" s="196">
        <f ca="1">COUNTIFS(EXPEDIENTES!R:R,$AR11,EXPEDIENTES!O:O,"SI")+COUNTIFS(EXPEDIENTES!R:R,"Probation",EXPEDIENTES!O:O,"SI")</f>
        <v>39</v>
      </c>
      <c r="AQ11" s="603">
        <f ca="1">AP11/AP15</f>
        <v>1.979695431472081E-2</v>
      </c>
      <c r="AR11" s="198" t="s">
        <v>907</v>
      </c>
      <c r="AU11" s="188"/>
      <c r="AW11" s="187"/>
      <c r="AX11" s="187"/>
      <c r="BC11" s="58"/>
      <c r="BG11" s="456" t="s">
        <v>3143</v>
      </c>
      <c r="BH11" s="457">
        <f ca="1">COUNTIFS(EXPEDIENTES!R:R,"Prisión preventiva",EXPEDIENTES!O:O,"SI",EXPEDIENTES!H:H,"&gt;=01/06/2023",EXPEDIENTES!H:H,"&lt;=30/06/2023")</f>
        <v>25</v>
      </c>
      <c r="BI11" s="486">
        <f ca="1">BH11/COUNTIFS(EXPEDIENTES!H:H,"&gt;=01/06/2023",EXPEDIENTES!H:H,"&lt;=30/06/2023",EXPEDIENTES!O:O,"=SI")</f>
        <v>0.28735632183908044</v>
      </c>
      <c r="BJ11" s="484"/>
      <c r="BK11" s="484"/>
      <c r="BL11" s="484"/>
      <c r="BM11" s="484"/>
      <c r="BN11" s="484"/>
      <c r="BO11" s="484"/>
      <c r="BP11" s="484"/>
      <c r="BQ11" s="484"/>
      <c r="BR11" s="484"/>
      <c r="BS11" s="484"/>
    </row>
    <row r="12" spans="1:95" ht="28.35" customHeight="1">
      <c r="A12" s="186"/>
      <c r="B12" s="186"/>
      <c r="C12" s="187"/>
      <c r="D12" s="187"/>
      <c r="O12" s="187"/>
      <c r="P12" s="187"/>
      <c r="T12" s="185"/>
      <c r="AP12" s="196">
        <f ca="1">COUNTIFS(EXPEDIENTES!R:R,$AR12,EXPEDIENTES!O:O,"SI")</f>
        <v>2</v>
      </c>
      <c r="AQ12" s="603">
        <f ca="1">AP12/AP15</f>
        <v>1.0152284263959391E-3</v>
      </c>
      <c r="AR12" s="196" t="s">
        <v>905</v>
      </c>
      <c r="AU12" s="188"/>
      <c r="AW12" s="187"/>
      <c r="AX12" s="187"/>
      <c r="BC12" s="58"/>
      <c r="BG12" s="456" t="s">
        <v>3144</v>
      </c>
      <c r="BH12" s="457">
        <f ca="1">COUNTIFS(EXPEDIENTES!R:R,"Prisión preventiva",EXPEDIENTES!O:O,"SI",EXPEDIENTES!H:H,"&gt;=01/07/2023",EXPEDIENTES!H:H,"&lt;=31/07/2023")</f>
        <v>44</v>
      </c>
      <c r="BI12" s="486">
        <f ca="1">BH12/COUNTIFS(EXPEDIENTES!H:H,"&gt;=01/07/2023",EXPEDIENTES!H:H,"&lt;=31/07/2023",EXPEDIENTES!O:O,"=SI")</f>
        <v>0.34375</v>
      </c>
      <c r="BJ12" s="484"/>
      <c r="BK12" s="484"/>
      <c r="BL12" s="484"/>
      <c r="BM12" s="484"/>
      <c r="BN12" s="484"/>
      <c r="BO12" s="484"/>
      <c r="BP12" s="484"/>
      <c r="BQ12" s="484"/>
      <c r="BR12" s="484"/>
      <c r="BS12" s="484"/>
      <c r="CQ12" s="186">
        <v>6</v>
      </c>
    </row>
    <row r="13" spans="1:95" ht="28.35" customHeight="1">
      <c r="A13" s="186"/>
      <c r="B13" s="186"/>
      <c r="C13" s="187"/>
      <c r="D13" s="187"/>
      <c r="O13" s="187"/>
      <c r="P13" s="187"/>
      <c r="T13" s="185"/>
      <c r="AP13" s="196">
        <f ca="1">COUNTIFS(EXPEDIENTES!R:R,$AR13,EXPEDIENTES!O:O,"SI")</f>
        <v>9</v>
      </c>
      <c r="AQ13" s="603">
        <f ca="1">AP13/AP15</f>
        <v>4.5685279187817262E-3</v>
      </c>
      <c r="AR13" s="352" t="s">
        <v>1892</v>
      </c>
      <c r="AS13" s="184"/>
      <c r="AT13" s="184"/>
      <c r="AU13" s="184"/>
      <c r="AV13" s="184"/>
      <c r="AW13" s="184"/>
      <c r="AX13" s="184"/>
      <c r="AY13" s="184"/>
      <c r="AZ13" s="185"/>
      <c r="BC13" s="58"/>
      <c r="BG13" s="456" t="s">
        <v>3145</v>
      </c>
      <c r="BH13" s="457">
        <f ca="1">COUNTIFS(EXPEDIENTES!R:R,"Prisión preventiva",EXPEDIENTES!O:O,"SI",EXPEDIENTES!H:H,"&gt;=01/08/2023",EXPEDIENTES!H:H,"&lt;=31/08/2023")</f>
        <v>48</v>
      </c>
      <c r="BI13" s="486">
        <f ca="1">BH13/COUNTIFS(EXPEDIENTES!H:H,"&gt;=01/08/2023",EXPEDIENTES!H:H,"&lt;=31/08/2023",EXPEDIENTES!O:O,"=SI")</f>
        <v>0.375</v>
      </c>
      <c r="BJ13" s="484"/>
      <c r="BK13" s="484"/>
      <c r="BL13" s="484"/>
      <c r="BM13" s="484"/>
      <c r="BN13" s="484"/>
      <c r="BO13" s="484"/>
      <c r="BP13" s="484"/>
      <c r="BQ13" s="484"/>
      <c r="BR13" s="484"/>
      <c r="BS13" s="484"/>
      <c r="BY13" s="478" t="s">
        <v>5903</v>
      </c>
    </row>
    <row r="14" spans="1:95" ht="28.35" customHeight="1">
      <c r="A14" s="186"/>
      <c r="B14" s="186"/>
      <c r="C14" s="187"/>
      <c r="D14" s="187"/>
      <c r="O14" s="187"/>
      <c r="P14" s="187"/>
      <c r="AP14" s="196">
        <f ca="1">COUNTIFS(EXPEDIENTES!R:R,$AR14,EXPEDIENTES!O:O,"SI")</f>
        <v>3</v>
      </c>
      <c r="AQ14" s="603">
        <f ca="1">AP14/AP15</f>
        <v>1.5228426395939086E-3</v>
      </c>
      <c r="AR14" s="196" t="s">
        <v>4745</v>
      </c>
      <c r="AS14" s="194"/>
      <c r="AT14" s="194"/>
      <c r="AU14" s="194"/>
      <c r="AV14" s="194"/>
      <c r="AW14" s="194"/>
      <c r="AX14" s="194"/>
      <c r="AY14" s="194"/>
      <c r="AZ14" s="185"/>
      <c r="BC14" s="58"/>
      <c r="BG14" s="456" t="s">
        <v>4246</v>
      </c>
      <c r="BH14" s="457">
        <f ca="1">COUNTIFS(EXPEDIENTES!R:R,"Prisión preventiva",EXPEDIENTES!O:O,"SI",EXPEDIENTES!H:H,"&gt;=01/09/2023",EXPEDIENTES!H:H,"&lt;=30/09/2023")</f>
        <v>45</v>
      </c>
      <c r="BI14" s="486">
        <f ca="1">BH14/COUNTIFS(EXPEDIENTES!H:H,"&gt;=01/09/2023",EXPEDIENTES!H:H,"&lt;=30/09/2023",EXPEDIENTES!O:O,"=SI")</f>
        <v>0.38461538461538464</v>
      </c>
      <c r="BJ14" s="484"/>
      <c r="BK14" s="484"/>
      <c r="BL14" s="484"/>
      <c r="BM14" s="484"/>
      <c r="BN14" s="484"/>
      <c r="BO14" s="484"/>
      <c r="BP14" s="484"/>
      <c r="BQ14" s="484"/>
      <c r="BR14" s="484"/>
      <c r="BS14" s="484"/>
    </row>
    <row r="15" spans="1:95" ht="28.35" customHeight="1">
      <c r="A15" s="186"/>
      <c r="B15" s="186"/>
      <c r="C15" s="187"/>
      <c r="D15" s="187"/>
      <c r="O15" s="187"/>
      <c r="P15" s="187"/>
      <c r="AP15" s="195">
        <f ca="1">SUM(AP6:AP14)</f>
        <v>1970</v>
      </c>
      <c r="AQ15" s="195"/>
      <c r="AR15" s="195" t="s">
        <v>370</v>
      </c>
      <c r="AS15" s="194"/>
      <c r="AT15" s="194"/>
      <c r="AU15" s="194"/>
      <c r="AV15" s="194"/>
      <c r="AW15" s="194"/>
      <c r="AX15" s="194"/>
      <c r="AY15" s="194"/>
      <c r="AZ15" s="185"/>
      <c r="BC15" s="58"/>
      <c r="BG15" s="456" t="s">
        <v>3147</v>
      </c>
      <c r="BH15" s="457">
        <f ca="1">COUNTIFS(EXPEDIENTES!R:R,"Prisión preventiva",EXPEDIENTES!O:O,"SI",EXPEDIENTES!H:H,"&gt;=01/10/2023",EXPEDIENTES!H:H,"&lt;=31/10/2023")</f>
        <v>59</v>
      </c>
      <c r="BI15" s="486">
        <f ca="1">BH15/COUNTIFS(EXPEDIENTES!H:H,"&gt;=01/10/2023",EXPEDIENTES!H:H,"&lt;=31/10/2023",EXPEDIENTES!O:O,"=SI")</f>
        <v>0.37579617834394907</v>
      </c>
      <c r="BJ15" s="484"/>
      <c r="BK15" s="484"/>
      <c r="BL15" s="484"/>
      <c r="BM15" s="484"/>
      <c r="BN15" s="484"/>
      <c r="BO15" s="484"/>
      <c r="BP15" s="484"/>
      <c r="BQ15" s="484"/>
      <c r="BR15" s="484"/>
      <c r="BS15" s="484"/>
      <c r="BY15" s="776" t="s">
        <v>5904</v>
      </c>
      <c r="BZ15" s="776"/>
      <c r="CA15" s="776"/>
    </row>
    <row r="16" spans="1:95" ht="28.35" customHeight="1">
      <c r="A16" s="186"/>
      <c r="B16" s="186"/>
      <c r="C16" s="187"/>
      <c r="D16" s="187"/>
      <c r="O16" s="187"/>
      <c r="P16" s="187"/>
      <c r="AW16" s="187"/>
      <c r="AX16" s="187"/>
      <c r="AZ16" s="190"/>
      <c r="BC16" s="58"/>
      <c r="BG16" s="456" t="s">
        <v>3148</v>
      </c>
      <c r="BH16" s="457">
        <f ca="1">COUNTIFS(EXPEDIENTES!R:R,"Prisión preventiva",EXPEDIENTES!O:O,"SI",EXPEDIENTES!H:H,"&gt;=01/11/2023",EXPEDIENTES!H:H,"&lt;=30/11/2023")</f>
        <v>52</v>
      </c>
      <c r="BI16" s="486">
        <f ca="1">BH16/COUNTIFS(EXPEDIENTES!H:H,"&gt;=01/11/2023",EXPEDIENTES!H:H,"&lt;=30/11/2023",EXPEDIENTES!O:O,"=SI")</f>
        <v>0.30952380952380953</v>
      </c>
      <c r="BJ16" s="484"/>
      <c r="BK16" s="484"/>
      <c r="BL16" s="484"/>
      <c r="BM16" s="484"/>
      <c r="BN16" s="484"/>
      <c r="BO16" s="484"/>
      <c r="BP16" s="484"/>
      <c r="BQ16" s="484"/>
      <c r="BR16" s="484"/>
      <c r="BS16" s="484"/>
      <c r="BY16" s="482" t="s">
        <v>5907</v>
      </c>
      <c r="BZ16" s="480">
        <v>655</v>
      </c>
      <c r="CA16" s="481">
        <f ca="1">BZ16/AP15</f>
        <v>0.33248730964467005</v>
      </c>
    </row>
    <row r="17" spans="1:79" ht="28.35" customHeight="1">
      <c r="A17" s="186"/>
      <c r="B17" s="186"/>
      <c r="C17" s="187"/>
      <c r="D17" s="187"/>
      <c r="O17" s="187"/>
      <c r="P17" s="187"/>
      <c r="AS17" s="191"/>
      <c r="AX17" s="187"/>
      <c r="AY17" s="187"/>
      <c r="BC17" s="58"/>
      <c r="BG17" s="456" t="s">
        <v>3149</v>
      </c>
      <c r="BH17" s="457">
        <f ca="1">COUNTIFS(EXPEDIENTES!R:R,"Prisión preventiva",EXPEDIENTES!O:O,"SI",EXPEDIENTES!H:H,"&gt;=01/12/2023",EXPEDIENTES!H:H,"&lt;=31/12/2023")</f>
        <v>48</v>
      </c>
      <c r="BI17" s="486">
        <f ca="1">BH17/COUNTIFS(EXPEDIENTES!H:H,"&gt;=01/12/2023",EXPEDIENTES!H:H,"&lt;=31/12/2023",EXPEDIENTES!O:O,"=SI")</f>
        <v>0.2513089005235602</v>
      </c>
      <c r="BJ17" s="484"/>
      <c r="BK17" s="484"/>
      <c r="BL17" s="484"/>
      <c r="BM17" s="484"/>
      <c r="BN17" s="484"/>
      <c r="BO17" s="484"/>
      <c r="BP17" s="484"/>
      <c r="BQ17" s="484"/>
      <c r="BR17" s="484"/>
      <c r="BS17" s="484"/>
      <c r="BY17" s="482" t="s">
        <v>5906</v>
      </c>
      <c r="BZ17" s="480">
        <v>427</v>
      </c>
      <c r="CA17" s="481">
        <f ca="1">BZ17/AP15</f>
        <v>0.21675126903553299</v>
      </c>
    </row>
    <row r="18" spans="1:79" ht="28.35" customHeight="1">
      <c r="A18" s="186"/>
      <c r="B18" s="186"/>
      <c r="C18" s="187"/>
      <c r="D18" s="187"/>
      <c r="O18" s="187"/>
      <c r="P18" s="187"/>
      <c r="AQ18" s="189"/>
      <c r="AR18" s="189"/>
      <c r="AS18" s="189"/>
      <c r="AX18" s="187"/>
      <c r="AY18" s="187"/>
      <c r="BC18" s="58"/>
      <c r="BG18" s="456" t="s">
        <v>5734</v>
      </c>
      <c r="BH18" s="457">
        <f ca="1">COUNTIFS(EXPEDIENTES!R:R,"Prisión preventiva",EXPEDIENTES!O:O,"SI",EXPEDIENTES!H:H,"&gt;=01/01/2024",EXPEDIENTES!H:H,"&lt;=31/01/2024")</f>
        <v>64</v>
      </c>
      <c r="BI18" s="486">
        <f ca="1">BH18/COUNTIFS(EXPEDIENTES!H:H,"&gt;=01/01/2024",EXPEDIENTES!H:H,"&lt;=31/01/2024",EXPEDIENTES!O:O,"=SI")</f>
        <v>0.33684210526315789</v>
      </c>
      <c r="BJ18" s="484"/>
      <c r="BK18" s="484"/>
      <c r="BL18" s="484"/>
      <c r="BM18" s="484"/>
      <c r="BN18" s="484"/>
      <c r="BO18" s="484"/>
      <c r="BP18" s="484"/>
      <c r="BQ18" s="484"/>
      <c r="BR18" s="484"/>
      <c r="BS18" s="484"/>
      <c r="BY18" s="480" t="s">
        <v>5905</v>
      </c>
      <c r="BZ18" s="480">
        <v>342</v>
      </c>
      <c r="CA18" s="481">
        <f ca="1">BZ18/AP15</f>
        <v>0.17360406091370559</v>
      </c>
    </row>
    <row r="19" spans="1:79" ht="28.35" customHeight="1">
      <c r="BC19" s="58"/>
      <c r="BG19" s="487" t="s">
        <v>3139</v>
      </c>
      <c r="BH19" s="457">
        <f ca="1">COUNTIFS(EXPEDIENTES!R:R,"Prisión preventiva",EXPEDIENTES!O:O,"SI",EXPEDIENTES!H:H,"&gt;=01/02/2024",EXPEDIENTES!H:H,"&lt;=29/02/2024")</f>
        <v>62</v>
      </c>
      <c r="BI19" s="486">
        <f ca="1">BH19/COUNTIFS(EXPEDIENTES!H:H,"&gt;=01/02/2024",EXPEDIENTES!H:H,"&lt;=29/02/2024",EXPEDIENTES!O:O,"=SI")</f>
        <v>0.30845771144278605</v>
      </c>
      <c r="BJ19" s="484"/>
      <c r="BK19" s="484"/>
      <c r="BL19" s="484"/>
      <c r="BM19" s="484"/>
      <c r="BN19" s="484"/>
      <c r="BO19" s="484"/>
      <c r="BP19" s="484"/>
      <c r="BQ19" s="484"/>
      <c r="BR19" s="484"/>
      <c r="BS19" s="484"/>
    </row>
    <row r="20" spans="1:79" ht="28.35" customHeight="1" thickBot="1">
      <c r="BC20" s="58"/>
      <c r="BG20" s="488" t="s">
        <v>5891</v>
      </c>
      <c r="BH20" s="489">
        <f ca="1">AVERAGE(BH7:BH19)</f>
        <v>38.846153846153847</v>
      </c>
      <c r="BI20" s="490">
        <f ca="1">AVERAGE(BI8:BI19)</f>
        <v>0.32089306580150884</v>
      </c>
      <c r="BJ20" s="484"/>
      <c r="BK20" s="484"/>
      <c r="BL20" s="484"/>
      <c r="BM20" s="484"/>
      <c r="BN20" s="484"/>
      <c r="BO20" s="484"/>
      <c r="BP20" s="484"/>
      <c r="BQ20" s="484"/>
      <c r="BR20" s="484"/>
      <c r="BS20" s="484"/>
    </row>
    <row r="21" spans="1:79" ht="28.35" customHeight="1" thickBot="1"/>
    <row r="22" spans="1:79" ht="28.35" customHeight="1">
      <c r="AQ22" s="591" t="s">
        <v>7237</v>
      </c>
      <c r="AR22" s="445"/>
      <c r="AS22" s="445"/>
      <c r="AT22" s="445"/>
      <c r="AU22" s="445"/>
      <c r="AV22" s="445"/>
      <c r="AW22" s="445"/>
      <c r="AX22" s="445"/>
      <c r="AY22" s="445"/>
      <c r="AZ22" s="445"/>
      <c r="BB22" s="221"/>
      <c r="BG22" s="780" t="s">
        <v>5889</v>
      </c>
      <c r="BH22" s="781"/>
      <c r="BI22" s="782"/>
    </row>
    <row r="23" spans="1:79" ht="24.6" customHeight="1">
      <c r="AQ23" s="769" t="s">
        <v>2423</v>
      </c>
      <c r="AR23" s="769"/>
      <c r="AS23" s="769"/>
      <c r="AT23" s="769"/>
      <c r="AU23" s="769"/>
      <c r="AV23" s="769"/>
      <c r="AW23" s="769"/>
      <c r="AX23" s="769"/>
      <c r="AY23" s="769"/>
      <c r="AZ23" s="769"/>
      <c r="BG23" s="783"/>
      <c r="BH23" s="784"/>
      <c r="BI23" s="785"/>
    </row>
    <row r="24" spans="1:79" ht="24.6">
      <c r="AQ24" s="195" t="s">
        <v>927</v>
      </c>
      <c r="AR24" s="195" t="s">
        <v>928</v>
      </c>
      <c r="BB24" s="222"/>
      <c r="BG24" s="458" t="s">
        <v>3138</v>
      </c>
      <c r="BH24" s="463" t="s">
        <v>927</v>
      </c>
      <c r="BI24" s="459" t="s">
        <v>1293</v>
      </c>
    </row>
    <row r="25" spans="1:79" ht="30.6" customHeight="1">
      <c r="AQ25" s="196">
        <f ca="1">COUNTIFS(EXPEDIENTES!Q:Q,$AR25,EXPEDIENTES!O:O,"SI")</f>
        <v>2</v>
      </c>
      <c r="AR25" s="197" t="s">
        <v>1021</v>
      </c>
      <c r="BG25" s="460" t="s">
        <v>3139</v>
      </c>
      <c r="BH25" s="461">
        <f ca="1">COUNTIFS(EXPEDIENTES!R:R,"Juicio Abreviado",EXPEDIENTES!O:O,"SI",EXPEDIENTES!H:H,"&gt;=01/02/2023",EXPEDIENTES!H:H,"&lt;=28/02/2023")</f>
        <v>3</v>
      </c>
      <c r="BI25" s="462">
        <f ca="1">BH25/COUNTIFS(EXPEDIENTES!H:H,"&gt;=01/02/2023",EXPEDIENTES!H:H,"&lt;=28/02/2023",EXPEDIENTES!O:O,"=SI")</f>
        <v>0.75</v>
      </c>
    </row>
    <row r="26" spans="1:79" ht="28.2" customHeight="1">
      <c r="AQ26" s="196">
        <f ca="1">COUNTIFS(EXPEDIENTES!Q:Q,"Juicio Abreviado - Condicional y reglas de conducta",EXPEDIENTES!O:O,"SI")</f>
        <v>276</v>
      </c>
      <c r="AR26" s="197" t="s">
        <v>5909</v>
      </c>
      <c r="BG26" s="460" t="s">
        <v>3140</v>
      </c>
      <c r="BH26" s="461">
        <f ca="1">COUNTIFS(EXPEDIENTES!R:R,"Juicio Abreviado",EXPEDIENTES!O:O,"SI",EXPEDIENTES!H:H,"&gt;=01/03/2023",EXPEDIENTES!H:H,"&lt;=31/03/2023")</f>
        <v>40</v>
      </c>
      <c r="BI26" s="462">
        <f ca="1">BH26/COUNTIFS(EXPEDIENTES!H:H,"&gt;=01/03/2023",EXPEDIENTES!H:H,"&lt;=31/03/2023",EXPEDIENTES!O:O,"=SI")</f>
        <v>0.47619047619047616</v>
      </c>
    </row>
    <row r="27" spans="1:79" ht="24.9" customHeight="1">
      <c r="M27" s="185" t="s">
        <v>1316</v>
      </c>
      <c r="N27" s="185" t="s">
        <v>1324</v>
      </c>
      <c r="AK27" s="185"/>
      <c r="AL27" s="185"/>
      <c r="AQ27" s="196">
        <f ca="1">COUNTIFS(EXPEDIENTES!Q:Q,$AR27,EXPEDIENTES!O:O,"SI")</f>
        <v>584</v>
      </c>
      <c r="AR27" s="197" t="s">
        <v>902</v>
      </c>
      <c r="BG27" s="460" t="s">
        <v>3141</v>
      </c>
      <c r="BH27" s="461">
        <f ca="1">COUNTIFS(EXPEDIENTES!R:R,"Juicio Abreviado",EXPEDIENTES!O:O,"SI",EXPEDIENTES!H:H,"&gt;=01/04/2023",EXPEDIENTES!H:H,"&lt;=30/04/2023")</f>
        <v>35</v>
      </c>
      <c r="BI27" s="462">
        <f ca="1">BH27/COUNTIFS(EXPEDIENTES!H:H,"&gt;=01/04/2023",EXPEDIENTES!H:H,"&lt;=30/04/2023",EXPEDIENTES!O:O,"=SI")</f>
        <v>0.55555555555555558</v>
      </c>
    </row>
    <row r="28" spans="1:79" ht="34.950000000000003" customHeight="1">
      <c r="M28" s="283" t="s">
        <v>927</v>
      </c>
      <c r="N28" s="282" t="s">
        <v>1293</v>
      </c>
      <c r="O28" s="282" t="s">
        <v>928</v>
      </c>
      <c r="AK28" s="283" t="s">
        <v>927</v>
      </c>
      <c r="AL28" s="282" t="s">
        <v>1293</v>
      </c>
      <c r="AM28" s="282" t="s">
        <v>928</v>
      </c>
      <c r="AQ28" s="196">
        <f ca="1">COUNTIFS(EXPEDIENTES!Q:Q,$AR28,EXPEDIENTES!O:O,"SI")</f>
        <v>15</v>
      </c>
      <c r="AR28" s="197" t="s">
        <v>900</v>
      </c>
      <c r="BG28" s="460" t="s">
        <v>3142</v>
      </c>
      <c r="BH28" s="461">
        <f ca="1">COUNTIFS(EXPEDIENTES!R:R,"Juicio Abreviado",EXPEDIENTES!O:O,"SI",EXPEDIENTES!H:H,"&gt;=01/05/2023",EXPEDIENTES!H:H,"&lt;=31/05/2023")</f>
        <v>23</v>
      </c>
      <c r="BI28" s="462">
        <f ca="1">BH28/COUNTIFS(EXPEDIENTES!H:H,"&gt;=01/05/2023",EXPEDIENTES!H:H,"&lt;=31/05/2023",EXPEDIENTES!O:O,"=SI")</f>
        <v>0.52272727272727271</v>
      </c>
    </row>
    <row r="29" spans="1:79" ht="30" customHeight="1">
      <c r="M29" s="277" t="e">
        <v>#VALUE!</v>
      </c>
      <c r="N29" s="276" t="e">
        <f>M29/M35</f>
        <v>#VALUE!</v>
      </c>
      <c r="O29" s="278" t="s">
        <v>577</v>
      </c>
      <c r="AK29" s="277" t="e">
        <v>#VALUE!</v>
      </c>
      <c r="AL29" s="276" t="e">
        <f>AK29/AK35</f>
        <v>#VALUE!</v>
      </c>
      <c r="AM29" s="278" t="s">
        <v>577</v>
      </c>
      <c r="AQ29" s="196">
        <f ca="1">COUNTIFS(EXPEDIENTES!Q:Q,$AR29,EXPEDIENTES!O:O,"SI")</f>
        <v>217</v>
      </c>
      <c r="AR29" s="197" t="s">
        <v>897</v>
      </c>
      <c r="BG29" s="460" t="s">
        <v>3143</v>
      </c>
      <c r="BH29" s="461">
        <f ca="1">COUNTIFS(EXPEDIENTES!R:R,"Juicio Abreviado",EXPEDIENTES!O:O,"SI",EXPEDIENTES!H:H,"&gt;=01/06/2023",EXPEDIENTES!H:H,"&lt;=30/06/2023")</f>
        <v>49</v>
      </c>
      <c r="BI29" s="462">
        <f ca="1">BH29/COUNTIFS(EXPEDIENTES!H:H,"&gt;=01/06/2023",EXPEDIENTES!H:H,"&lt;=30/06/2023",EXPEDIENTES!O:O,"=SI")</f>
        <v>0.56321839080459768</v>
      </c>
      <c r="BY29" s="186" t="s">
        <v>5908</v>
      </c>
    </row>
    <row r="30" spans="1:79" ht="30" customHeight="1">
      <c r="M30" s="277" t="e">
        <v>#VALUE!</v>
      </c>
      <c r="N30" s="276" t="e">
        <f>M30/M35</f>
        <v>#VALUE!</v>
      </c>
      <c r="O30" s="291" t="s">
        <v>1318</v>
      </c>
      <c r="AK30" s="277" t="e">
        <v>#VALUE!</v>
      </c>
      <c r="AL30" s="276" t="e">
        <f>AK30/AK35</f>
        <v>#VALUE!</v>
      </c>
      <c r="AM30" s="278" t="s">
        <v>1318</v>
      </c>
      <c r="AQ30" s="196">
        <f ca="1">COUNTIFS(EXPEDIENTES!Q:Q,$AR30,EXPEDIENTES!O:O,"SI")</f>
        <v>70</v>
      </c>
      <c r="AR30" s="197" t="s">
        <v>911</v>
      </c>
      <c r="BG30" s="460" t="s">
        <v>3144</v>
      </c>
      <c r="BH30" s="461">
        <f ca="1">COUNTIFS(EXPEDIENTES!R:R,"Juicio Abreviado",EXPEDIENTES!O:O,"SI",EXPEDIENTES!H:H,"&gt;=01/07/2023",EXPEDIENTES!H:H,"&lt;=31/07/2023")</f>
        <v>55</v>
      </c>
      <c r="BI30" s="462">
        <f ca="1">BH30/COUNTIFS(EXPEDIENTES!H:H,"&gt;=01/07/2023",EXPEDIENTES!H:H,"&lt;=31/07/2023",EXPEDIENTES!O:O,"=SI")</f>
        <v>0.4296875</v>
      </c>
    </row>
    <row r="31" spans="1:79" ht="30" customHeight="1">
      <c r="M31" s="277" t="e">
        <v>#VALUE!</v>
      </c>
      <c r="N31" s="276" t="e">
        <f>M31/M35</f>
        <v>#VALUE!</v>
      </c>
      <c r="O31" s="278" t="s">
        <v>1319</v>
      </c>
      <c r="AK31" s="277" t="e">
        <v>#VALUE!</v>
      </c>
      <c r="AL31" s="276" t="e">
        <f>AK31/AK35</f>
        <v>#VALUE!</v>
      </c>
      <c r="AM31" s="278" t="s">
        <v>1319</v>
      </c>
      <c r="AQ31" s="196">
        <f ca="1">COUNTIFS(EXPEDIENTES!Q:Q,$AR31,EXPEDIENTES!O:O,"SI")</f>
        <v>5</v>
      </c>
      <c r="AR31" s="197" t="s">
        <v>972</v>
      </c>
      <c r="BG31" s="460" t="s">
        <v>3145</v>
      </c>
      <c r="BH31" s="461">
        <f ca="1">COUNTIFS(EXPEDIENTES!R:R,"Juicio Abreviado",EXPEDIENTES!O:O,"SI",EXPEDIENTES!H:H,"&gt;=01/08/2023",EXPEDIENTES!H:H,"&lt;=31/08/2023")</f>
        <v>50</v>
      </c>
      <c r="BI31" s="462">
        <f ca="1">BH31/COUNTIFS(EXPEDIENTES!H:H,"&gt;=01/08/2023",EXPEDIENTES!H:H,"&lt;=31/08/2023",EXPEDIENTES!O:O,"=SI")</f>
        <v>0.390625</v>
      </c>
    </row>
    <row r="32" spans="1:79" ht="30" customHeight="1">
      <c r="M32" s="277" t="e">
        <v>#VALUE!</v>
      </c>
      <c r="N32" s="276" t="e">
        <f>M32/M35</f>
        <v>#VALUE!</v>
      </c>
      <c r="O32" s="278" t="s">
        <v>900</v>
      </c>
      <c r="AK32" s="277" t="e">
        <v>#VALUE!</v>
      </c>
      <c r="AL32" s="276" t="e">
        <f>AK32/AK35</f>
        <v>#VALUE!</v>
      </c>
      <c r="AM32" s="278" t="s">
        <v>900</v>
      </c>
      <c r="AQ32" s="196">
        <f ca="1">COUNTIFS(EXPEDIENTES!R:R,$AR32,EXPEDIENTES!O:O,"SI")</f>
        <v>624</v>
      </c>
      <c r="AR32" s="197" t="s">
        <v>151</v>
      </c>
      <c r="BG32" s="460" t="s">
        <v>4246</v>
      </c>
      <c r="BH32" s="461">
        <f ca="1">COUNTIFS(EXPEDIENTES!R:R,"Juicio Abreviado",EXPEDIENTES!O:O,"SI",EXPEDIENTES!H:H,"&gt;=01/09/2023",EXPEDIENTES!H:H,"&lt;=30/09/2023")</f>
        <v>52</v>
      </c>
      <c r="BI32" s="462">
        <f ca="1">BH32/COUNTIFS(EXPEDIENTES!H:H,"&gt;=01/09/2023",EXPEDIENTES!H:H,"&lt;=30/09/2023",EXPEDIENTES!O:O,"=SI")</f>
        <v>0.44444444444444442</v>
      </c>
    </row>
    <row r="33" spans="1:61" ht="30" customHeight="1">
      <c r="M33" s="280" t="e">
        <v>#VALUE!</v>
      </c>
      <c r="N33" s="276" t="e">
        <f>M33/M35</f>
        <v>#VALUE!</v>
      </c>
      <c r="O33" s="278" t="s">
        <v>1320</v>
      </c>
      <c r="AK33" s="280" t="e">
        <v>#VALUE!</v>
      </c>
      <c r="AL33" s="276" t="e">
        <f>AK33/AK35</f>
        <v>#VALUE!</v>
      </c>
      <c r="AM33" s="278" t="s">
        <v>1320</v>
      </c>
      <c r="AQ33" s="196">
        <f ca="1">COUNTIFS(EXPEDIENTES!Q:Q,$AR33,EXPEDIENTES!O:O,"SI")</f>
        <v>39</v>
      </c>
      <c r="AR33" s="197" t="s">
        <v>907</v>
      </c>
      <c r="BG33" s="460" t="s">
        <v>3147</v>
      </c>
      <c r="BH33" s="461">
        <f ca="1">COUNTIFS(EXPEDIENTES!R:R,"Juicio Abreviado",EXPEDIENTES!O:O,"SI",EXPEDIENTES!H:H,"&gt;=01/10/2023",EXPEDIENTES!H:H,"&lt;=31/10/2023")</f>
        <v>68</v>
      </c>
      <c r="BI33" s="462">
        <f ca="1">BH33/COUNTIFS(EXPEDIENTES!H:H,"&gt;=01/10/2023",EXPEDIENTES!H:H,"&lt;=31/10/2023",EXPEDIENTES!O:O,"=SI")</f>
        <v>0.43312101910828027</v>
      </c>
    </row>
    <row r="34" spans="1:61" ht="30" customHeight="1">
      <c r="M34" s="277" t="e">
        <v>#VALUE!</v>
      </c>
      <c r="N34" s="276" t="e">
        <f>M34/M35</f>
        <v>#VALUE!</v>
      </c>
      <c r="O34" s="278" t="s">
        <v>947</v>
      </c>
      <c r="AK34" s="277" t="e">
        <v>#VALUE!</v>
      </c>
      <c r="AL34" s="276" t="e">
        <f>AK34/AK35</f>
        <v>#VALUE!</v>
      </c>
      <c r="AM34" s="278" t="s">
        <v>947</v>
      </c>
      <c r="AQ34" s="196">
        <f ca="1">COUNTIFS(EXPEDIENTES!Q:Q,$AR34,EXPEDIENTES!O:O,"SI")</f>
        <v>9</v>
      </c>
      <c r="AR34" s="197" t="s">
        <v>1892</v>
      </c>
      <c r="BG34" s="460" t="s">
        <v>3148</v>
      </c>
      <c r="BH34" s="461">
        <f ca="1">COUNTIFS(EXPEDIENTES!R:R,"Juicio Abreviado",EXPEDIENTES!O:O,"SI",EXPEDIENTES!H:H,"&gt;=01/11/2023",EXPEDIENTES!H:H,"&lt;=30/11/2023")</f>
        <v>70</v>
      </c>
      <c r="BI34" s="462">
        <f ca="1">BH34/COUNTIFS(EXPEDIENTES!H:H,"&gt;=01/11/2023",EXPEDIENTES!H:H,"&lt;=30/11/2023",EXPEDIENTES!O:O,"=SI")</f>
        <v>0.41666666666666669</v>
      </c>
    </row>
    <row r="35" spans="1:61" ht="30" customHeight="1">
      <c r="M35" s="274" t="e">
        <f>SUM(M29:M34)</f>
        <v>#VALUE!</v>
      </c>
      <c r="N35" s="273" t="e">
        <f>SUM(N29:N34)</f>
        <v>#VALUE!</v>
      </c>
      <c r="O35" s="272" t="s">
        <v>370</v>
      </c>
      <c r="AK35" s="274" t="e">
        <f>SUM(AK29:AK34)</f>
        <v>#VALUE!</v>
      </c>
      <c r="AL35" s="273" t="e">
        <f>SUM(AL29:AL34)</f>
        <v>#VALUE!</v>
      </c>
      <c r="AM35" s="272" t="s">
        <v>370</v>
      </c>
      <c r="AQ35" s="196">
        <f ca="1">COUNTIFS(EXPEDIENTES!Q:Q,$AR35,EXPEDIENTES!O:O,"SI")</f>
        <v>3</v>
      </c>
      <c r="AR35" s="196" t="s">
        <v>4745</v>
      </c>
      <c r="BG35" s="460" t="s">
        <v>3149</v>
      </c>
      <c r="BH35" s="461">
        <f ca="1">COUNTIFS(EXPEDIENTES!R:R,"Juicio Abreviado",EXPEDIENTES!O:O,"SI",EXPEDIENTES!H:H,"&gt;=01/12/2023",EXPEDIENTES!H:H,"&lt;=31/12/2023")</f>
        <v>85</v>
      </c>
      <c r="BI35" s="462">
        <f ca="1">BH35/COUNTIFS(EXPEDIENTES!H:H,"&gt;=01/12/2023",EXPEDIENTES!H:H,"&lt;=31/12/2023",EXPEDIENTES!O:O,"=SI")</f>
        <v>0.44502617801047123</v>
      </c>
    </row>
    <row r="36" spans="1:61" ht="30" customHeight="1">
      <c r="AQ36" s="483">
        <f ca="1">COUNTIFS(EXPEDIENTES!R:R,$AR36,EXPEDIENTES!O:O,"SI")+COUNTIFS(EXPEDIENTES!Q:Q,"Audiencia cancelada - inimputabilidad",EXPEDIENTES!O:O,"SI")</f>
        <v>126</v>
      </c>
      <c r="AR36" s="197" t="s">
        <v>947</v>
      </c>
      <c r="BG36" s="460" t="s">
        <v>5734</v>
      </c>
      <c r="BH36" s="461">
        <f ca="1">COUNTIFS(EXPEDIENTES!R:R,"Juicio Abreviado",EXPEDIENTES!O:O,"SI",EXPEDIENTES!H:H,"&gt;=01/01/2024",EXPEDIENTES!H:H,"&lt;=31/01/2024")</f>
        <v>81</v>
      </c>
      <c r="BI36" s="462">
        <f ca="1">BH36/COUNTIFS(EXPEDIENTES!H:H,"&gt;=01/01/2024",EXPEDIENTES!H:H,"&lt;=31/01/2024",EXPEDIENTES!O:O,"=SI")</f>
        <v>0.4263157894736842</v>
      </c>
    </row>
    <row r="37" spans="1:61" ht="30" customHeight="1">
      <c r="AQ37" s="195">
        <f ca="1">SUM(AQ25:AQ36)</f>
        <v>1970</v>
      </c>
      <c r="AR37" s="195" t="s">
        <v>370</v>
      </c>
      <c r="BG37" s="464" t="s">
        <v>3139</v>
      </c>
      <c r="BH37" s="461">
        <f ca="1">COUNTIFS(EXPEDIENTES!R:R,"Juicio Abreviado",EXPEDIENTES!O:O,"SI",EXPEDIENTES!H:H,"&gt;=01/02/2024",EXPEDIENTES!H:H,"&lt;=29/02/2024")</f>
        <v>87</v>
      </c>
      <c r="BI37" s="462">
        <f ca="1">BH37/COUNTIFS(EXPEDIENTES!H:H,"&gt;=01/02/2024",EXPEDIENTES!H:H,"&lt;=29/02/2024",EXPEDIENTES!O:O,"=SI")</f>
        <v>0.43283582089552236</v>
      </c>
    </row>
    <row r="38" spans="1:61" ht="30" customHeight="1" thickBot="1">
      <c r="BG38" s="363" t="s">
        <v>5891</v>
      </c>
      <c r="BH38" s="465">
        <f ca="1">AVERAGE(BH26:BH37)</f>
        <v>57.916666666666664</v>
      </c>
      <c r="BI38" s="466">
        <f ca="1">AVERAGE(BI26:BI37)</f>
        <v>0.46136784282308096</v>
      </c>
    </row>
    <row r="39" spans="1:61" ht="30" customHeight="1" thickBot="1">
      <c r="AK39" s="283" t="s">
        <v>927</v>
      </c>
      <c r="AL39" s="282" t="s">
        <v>1293</v>
      </c>
      <c r="AM39" s="282" t="s">
        <v>928</v>
      </c>
    </row>
    <row r="40" spans="1:61" ht="30" customHeight="1">
      <c r="AK40" s="277" t="e">
        <v>#VALUE!</v>
      </c>
      <c r="AL40" s="276" t="e">
        <f>AK40/AK51</f>
        <v>#VALUE!</v>
      </c>
      <c r="AM40" s="278" t="s">
        <v>577</v>
      </c>
      <c r="BG40" s="770" t="s">
        <v>5890</v>
      </c>
      <c r="BH40" s="771"/>
      <c r="BI40" s="772"/>
    </row>
    <row r="41" spans="1:61" ht="30" customHeight="1">
      <c r="AK41" s="277" t="e">
        <v>#VALUE!</v>
      </c>
      <c r="AL41" s="276" t="e">
        <f>AK41/AK51</f>
        <v>#VALUE!</v>
      </c>
      <c r="AM41" s="278" t="s">
        <v>1318</v>
      </c>
      <c r="BG41" s="773"/>
      <c r="BH41" s="774"/>
      <c r="BI41" s="775"/>
    </row>
    <row r="42" spans="1:61" ht="30" customHeight="1">
      <c r="A42" s="186"/>
      <c r="B42" s="186"/>
      <c r="C42" s="186"/>
      <c r="E42" s="187"/>
      <c r="F42" s="187"/>
      <c r="AK42" s="277" t="e">
        <v>#VALUE!</v>
      </c>
      <c r="AL42" s="276" t="e">
        <f>AK42/AK51</f>
        <v>#VALUE!</v>
      </c>
      <c r="AM42" s="278" t="s">
        <v>1319</v>
      </c>
      <c r="AQ42" s="591" t="s">
        <v>7237</v>
      </c>
      <c r="AR42" s="591"/>
      <c r="AS42" s="591"/>
      <c r="AT42" s="591"/>
      <c r="AU42" s="591"/>
      <c r="AV42" s="591"/>
      <c r="AW42" s="591"/>
      <c r="AX42" s="591"/>
      <c r="AY42" s="591"/>
      <c r="AZ42" s="591"/>
      <c r="BG42" s="458" t="s">
        <v>3138</v>
      </c>
      <c r="BH42" s="463" t="s">
        <v>927</v>
      </c>
      <c r="BI42" s="459" t="s">
        <v>1293</v>
      </c>
    </row>
    <row r="43" spans="1:61" ht="28.95" customHeight="1">
      <c r="A43" s="186"/>
      <c r="B43" s="186"/>
      <c r="C43" s="186"/>
      <c r="E43" s="187"/>
      <c r="F43" s="187"/>
      <c r="AK43" s="277" t="e">
        <v>#VALUE!</v>
      </c>
      <c r="AL43" s="276" t="e">
        <f>AK43/AK51</f>
        <v>#VALUE!</v>
      </c>
      <c r="AM43" s="278" t="s">
        <v>900</v>
      </c>
      <c r="AQ43" s="769" t="s">
        <v>7238</v>
      </c>
      <c r="AR43" s="769"/>
      <c r="AS43" s="769"/>
      <c r="AT43" s="769"/>
      <c r="AU43" s="769"/>
      <c r="AV43" s="769"/>
      <c r="AW43" s="769"/>
      <c r="AX43" s="769"/>
      <c r="AY43" s="769"/>
      <c r="AZ43" s="769"/>
      <c r="BG43" s="460" t="s">
        <v>3139</v>
      </c>
      <c r="BH43" s="467">
        <f ca="1">COUNTIFS(EXPEDIENTES!R:R,"Prisión preventiva",EXPEDIENTES!O:O,"SI",EXPEDIENTES!H:H,"&gt;=01/02/2023",EXPEDIENTES!H:H,"&lt;=28/02/2023")</f>
        <v>0</v>
      </c>
      <c r="BI43" s="462">
        <f ca="1">BH43/COUNTIFS(EXPEDIENTES!H:H,"&gt;=01/02/2023",EXPEDIENTES!H:H,"&lt;=28/02/2023",EXPEDIENTES!O:O,"=SI")</f>
        <v>0</v>
      </c>
    </row>
    <row r="44" spans="1:61" ht="21" customHeight="1">
      <c r="A44" s="186"/>
      <c r="B44" s="186"/>
      <c r="C44" s="186"/>
      <c r="E44" s="187"/>
      <c r="F44" s="187"/>
      <c r="AQ44" s="604" t="s">
        <v>7242</v>
      </c>
      <c r="BC44" s="58"/>
      <c r="BG44" s="460" t="s">
        <v>3140</v>
      </c>
      <c r="BH44" s="467">
        <f ca="1">COUNTIFS(EXPEDIENTES!R:R,"Libertad",EXPEDIENTES!O:O,"SI",EXPEDIENTES!H:H,"&gt;=01/03/2023",EXPEDIENTES!H:H,"&lt;=31/03/2023")+COUNTIFS(EXPEDIENTES!R:R,"Prision domiciliaria",EXPEDIENTES!O:O,"SI",EXPEDIENTES!H:H,"&gt;=01/03/2023",EXPEDIENTES!H:H,"&lt;=31/03/2023")+COUNTIFS(EXPEDIENTES!R:R,"Suspensión de juicio a prueba",EXPEDIENTES!O:O,"SI",EXPEDIENTES!H:H,"&gt;=01/03/2023",EXPEDIENTES!H:H,"&lt;=31/03/2023")</f>
        <v>10</v>
      </c>
      <c r="BI44" s="462">
        <f ca="1">BH44/COUNTIFS(EXPEDIENTES!H:H,"&gt;=01/03/2023",EXPEDIENTES!H:H,"&lt;=31/03/2023",EXPEDIENTES!O:O,"=SI")</f>
        <v>0.11904761904761904</v>
      </c>
    </row>
    <row r="45" spans="1:61" ht="30" customHeight="1">
      <c r="A45" s="186"/>
      <c r="B45" s="186"/>
      <c r="C45" s="186"/>
      <c r="E45" s="187"/>
      <c r="F45" s="187"/>
      <c r="G45" s="284"/>
      <c r="BC45" s="58"/>
      <c r="BG45" s="460" t="s">
        <v>3141</v>
      </c>
      <c r="BH45" s="467">
        <f ca="1">COUNTIFS(EXPEDIENTES!R:R,"Libertad",EXPEDIENTES!O:O,"SI",EXPEDIENTES!H:H,"&gt;=01/04/2023",EXPEDIENTES!H:H,"&lt;=30/04/2023")+COUNTIFS(EXPEDIENTES!R:R,"Prision domiciliaria",EXPEDIENTES!O:O,"SI",EXPEDIENTES!H:H,"&gt;=01/04/2023",EXPEDIENTES!H:H,"&lt;=30/04/2023")+COUNTIFS(EXPEDIENTES!R:R,"Suspensión de juicio a prueba",EXPEDIENTES!O:O,"SI",EXPEDIENTES!H:H,"&gt;=01/04/2023",EXPEDIENTES!H:H,"&lt;=30/04/2023")</f>
        <v>5</v>
      </c>
      <c r="BI45" s="462">
        <f ca="1">BH45/COUNTIFS(EXPEDIENTES!H:H,"&gt;=01/04/2023",EXPEDIENTES!H:H,"&lt;=30/04/2023",EXPEDIENTES!O:O,"=SI")</f>
        <v>7.9365079365079361E-2</v>
      </c>
    </row>
    <row r="46" spans="1:61" ht="33.75" customHeight="1">
      <c r="A46" s="186"/>
      <c r="B46" s="186"/>
      <c r="C46" s="186"/>
      <c r="E46" s="187"/>
      <c r="F46" s="187"/>
      <c r="AP46" s="195" t="s">
        <v>927</v>
      </c>
      <c r="AQ46" s="195" t="s">
        <v>1293</v>
      </c>
      <c r="AR46" s="195"/>
      <c r="BC46" s="58"/>
      <c r="BG46" s="460" t="s">
        <v>3142</v>
      </c>
      <c r="BH46" s="467">
        <f ca="1">COUNTIFS(EXPEDIENTES!R:R,"Libertad",EXPEDIENTES!O:O,"SI",EXPEDIENTES!H:H,"&gt;=01/05/2023",EXPEDIENTES!H:H,"&lt;=31/05/2023")+COUNTIFS(EXPEDIENTES!R:R,"Prision domiciliaria",EXPEDIENTES!O:O,"SI",EXPEDIENTES!H:H,"&gt;=01/05/2023",EXPEDIENTES!H:H,"&lt;=31/05/2023")+COUNTIFS(EXPEDIENTES!R:R,"Suspensión de juicio a prueba",EXPEDIENTES!O:O,"SI",EXPEDIENTES!H:H,"&gt;=01/05/2023",EXPEDIENTES!H:H,"&lt;=31/05/2023")</f>
        <v>11</v>
      </c>
      <c r="BI46" s="462">
        <f ca="1">BH46/COUNTIFS(EXPEDIENTES!H:H,"&gt;=01/05/2023",EXPEDIENTES!H:H,"&lt;=31/05/2023",EXPEDIENTES!O:O,"=SI")</f>
        <v>0.25</v>
      </c>
    </row>
    <row r="47" spans="1:61" ht="30.75" customHeight="1">
      <c r="A47" s="186"/>
      <c r="B47" s="186"/>
      <c r="C47" s="186"/>
      <c r="E47" s="187"/>
      <c r="F47" s="187"/>
      <c r="AP47" s="196">
        <f>COUNTIFS('no realizadas'!A:A,"&lt;&gt;EXPTE",'no realizadas'!A:A,"&lt;&gt;")</f>
        <v>4</v>
      </c>
      <c r="AQ47" s="603">
        <f ca="1">AP47/$AP$50</f>
        <v>1.9193857965451055E-3</v>
      </c>
      <c r="AR47" s="196" t="s">
        <v>7239</v>
      </c>
      <c r="BG47" s="460" t="s">
        <v>3143</v>
      </c>
      <c r="BH47" s="467">
        <f ca="1">COUNTIFS(EXPEDIENTES!R:R,"Libertad",EXPEDIENTES!O:O,"SI",EXPEDIENTES!H:H,"&gt;=01/06/2023",EXPEDIENTES!H:H,"&lt;=30/06/2023")+COUNTIFS(EXPEDIENTES!R:R,"Prision domiciliaria",EXPEDIENTES!O:O,"SI",EXPEDIENTES!H:H,"&gt;=01/06/2023",EXPEDIENTES!H:H,"&lt;=30/06/2023")+COUNTIFS(EXPEDIENTES!R:R,"Suspensión de juicio a prueba",EXPEDIENTES!O:O,"SI",EXPEDIENTES!H:H,"&gt;=01/06/2023",EXPEDIENTES!H:H,"&lt;=30/06/2023")</f>
        <v>9</v>
      </c>
      <c r="BI47" s="462">
        <f ca="1">BH47/COUNTIFS(EXPEDIENTES!H:H,"&gt;=01/06/2023",EXPEDIENTES!H:H,"&lt;=30/06/2023",EXPEDIENTES!O:O,"=SI")</f>
        <v>0.10344827586206896</v>
      </c>
    </row>
    <row r="48" spans="1:61" ht="26.25" customHeight="1">
      <c r="A48" s="186"/>
      <c r="B48" s="186"/>
      <c r="C48" s="186"/>
      <c r="E48" s="187"/>
      <c r="F48" s="187"/>
      <c r="AP48" s="196">
        <f ca="1">AQ37</f>
        <v>1970</v>
      </c>
      <c r="AQ48" s="603">
        <f t="shared" ref="AQ48:AQ49" ca="1" si="0">AP48/$AP$50</f>
        <v>0.94529750479846453</v>
      </c>
      <c r="AR48" s="196" t="s">
        <v>7240</v>
      </c>
      <c r="BG48" s="460" t="s">
        <v>3144</v>
      </c>
      <c r="BH48" s="467">
        <f ca="1">COUNTIFS(EXPEDIENTES!R:R,"Libertad",EXPEDIENTES!O:O,"SI",EXPEDIENTES!H:H,"&gt;=01/07/2023",EXPEDIENTES!H:H,"&lt;=31/07/2023")+COUNTIFS(EXPEDIENTES!R:R,"Prision domiciliaria",EXPEDIENTES!O:O,"SI",EXPEDIENTES!H:H,"&gt;=01/07/2023",EXPEDIENTES!H:H,"&lt;=31/07/2023")+COUNTIFS(EXPEDIENTES!R:R,"Suspensión de juicio a prueba",EXPEDIENTES!O:O,"SI",EXPEDIENTES!H:H,"&gt;=01/07/2023",EXPEDIENTES!H:H,"&lt;=31/07/2023")</f>
        <v>26</v>
      </c>
      <c r="BI48" s="462">
        <f ca="1">BH48/COUNTIFS(EXPEDIENTES!H:H,"&gt;=01/07/2023",EXPEDIENTES!H:H,"&lt;=31/07/2023",EXPEDIENTES!O:O,"=SI")</f>
        <v>0.203125</v>
      </c>
    </row>
    <row r="49" spans="1:61" ht="27.75" customHeight="1">
      <c r="A49" s="186"/>
      <c r="B49" s="186"/>
      <c r="C49" s="186"/>
      <c r="E49" s="187"/>
      <c r="F49" s="187"/>
      <c r="AK49" s="280" t="e">
        <v>#VALUE!</v>
      </c>
      <c r="AL49" s="276" t="e">
        <f>AK49/AK51</f>
        <v>#VALUE!</v>
      </c>
      <c r="AM49" s="278" t="s">
        <v>1320</v>
      </c>
      <c r="AP49" s="196">
        <f ca="1">EXPEDIENTES!A1-AP48</f>
        <v>110</v>
      </c>
      <c r="AQ49" s="603">
        <f t="shared" ca="1" si="0"/>
        <v>5.2783109404990404E-2</v>
      </c>
      <c r="AR49" s="196" t="s">
        <v>7241</v>
      </c>
      <c r="BG49" s="460" t="s">
        <v>3145</v>
      </c>
      <c r="BH49" s="467">
        <f ca="1">COUNTIFS(EXPEDIENTES!R:R,"Libertad",EXPEDIENTES!O:O,"SI",EXPEDIENTES!H:H,"&gt;=01/08/2023",EXPEDIENTES!H:H,"&lt;=31/08/2023")+COUNTIFS(EXPEDIENTES!R:R,"Prision domiciliaria",EXPEDIENTES!O:O,"SI",EXPEDIENTES!H:H,"&gt;=01/08/2023",EXPEDIENTES!H:H,"&lt;=31/08/2023")+COUNTIFS(EXPEDIENTES!R:R,"Suspensión de juicio a prueba",EXPEDIENTES!O:O,"SI",EXPEDIENTES!H:H,"&gt;=01/08/2023",EXPEDIENTES!H:H,"&lt;=31/08/2023")</f>
        <v>25</v>
      </c>
      <c r="BI49" s="462">
        <f ca="1">BH49/COUNTIFS(EXPEDIENTES!H:H,"&gt;=01/08/2023",EXPEDIENTES!H:H,"&lt;=31/08/2023",EXPEDIENTES!O:O,"=SI")</f>
        <v>0.1953125</v>
      </c>
    </row>
    <row r="50" spans="1:61" ht="26.25" customHeight="1">
      <c r="A50" s="186"/>
      <c r="B50" s="186"/>
      <c r="C50" s="186"/>
      <c r="E50" s="187"/>
      <c r="F50" s="187"/>
      <c r="M50" s="185" t="s">
        <v>1316</v>
      </c>
      <c r="N50" s="185" t="s">
        <v>1325</v>
      </c>
      <c r="AK50" s="277" t="e">
        <v>#VALUE!</v>
      </c>
      <c r="AL50" s="276" t="e">
        <f>AK50/AK51</f>
        <v>#VALUE!</v>
      </c>
      <c r="AM50" s="278" t="s">
        <v>947</v>
      </c>
      <c r="AP50" s="195">
        <f ca="1">SUM(AP47:AP49)</f>
        <v>2084</v>
      </c>
      <c r="AQ50" s="605">
        <f ca="1">SUM(AQ47:AQ49)</f>
        <v>1</v>
      </c>
      <c r="AR50" s="195" t="s">
        <v>934</v>
      </c>
      <c r="BG50" s="460" t="s">
        <v>4246</v>
      </c>
      <c r="BH50" s="467">
        <f ca="1">COUNTIFS(EXPEDIENTES!R:R,"Libertad",EXPEDIENTES!O:O,"SI",EXPEDIENTES!H:H,"&gt;=01/09/2023",EXPEDIENTES!H:H,"&lt;=30/09/2023")+COUNTIFS(EXPEDIENTES!R:R,"Prision domiciliaria",EXPEDIENTES!O:O,"SI",EXPEDIENTES!H:H,"&gt;=01/09/2023",EXPEDIENTES!H:H,"&lt;=30/09/2023")+COUNTIFS(EXPEDIENTES!R:R,"Suspensión de juicio a prueba",EXPEDIENTES!O:O,"SI",EXPEDIENTES!H:H,"&gt;=01/09/2023",EXPEDIENTES!H:H,"&lt;=30/09/2023")</f>
        <v>19</v>
      </c>
      <c r="BI50" s="462">
        <f ca="1">BH50/COUNTIFS(EXPEDIENTES!H:H,"&gt;=01/09/2023",EXPEDIENTES!H:H,"&lt;=30/09/2023",EXPEDIENTES!O:O,"=SI")</f>
        <v>0.1623931623931624</v>
      </c>
    </row>
    <row r="51" spans="1:61" ht="34.5" customHeight="1">
      <c r="A51" s="186"/>
      <c r="B51" s="186"/>
      <c r="C51" s="186"/>
      <c r="E51" s="187"/>
      <c r="F51" s="187"/>
      <c r="M51" s="283" t="s">
        <v>927</v>
      </c>
      <c r="N51" s="282" t="s">
        <v>1293</v>
      </c>
      <c r="O51" s="282" t="s">
        <v>928</v>
      </c>
      <c r="AK51" s="274" t="e">
        <f>SUM(AK40:AK50)</f>
        <v>#VALUE!</v>
      </c>
      <c r="AL51" s="273" t="e">
        <f>SUM(AL40:AL50)</f>
        <v>#VALUE!</v>
      </c>
      <c r="AM51" s="272" t="s">
        <v>370</v>
      </c>
      <c r="BG51" s="460" t="s">
        <v>3147</v>
      </c>
      <c r="BH51" s="467">
        <f ca="1">COUNTIFS(EXPEDIENTES!R:R,"Libertad",EXPEDIENTES!O:O,"SI",EXPEDIENTES!H:H,"&gt;=01/10/2023",EXPEDIENTES!H:H,"&lt;=31/10/2023")+COUNTIFS(EXPEDIENTES!R:R,"Prision domiciliaria",EXPEDIENTES!O:O,"SI",EXPEDIENTES!H:H,"&gt;=01/10/2023",EXPEDIENTES!H:H,"&lt;=31/10/2023")+COUNTIFS(EXPEDIENTES!R:R,"Suspensión de juicio a prueba",EXPEDIENTES!O:O,"SI",EXPEDIENTES!H:H,"&gt;=01/10/2023",EXPEDIENTES!H:H,"&lt;=31/10/2023")</f>
        <v>26</v>
      </c>
      <c r="BI51" s="462">
        <f ca="1">BH51/COUNTIFS(EXPEDIENTES!H:H,"&gt;=01/10/2023",EXPEDIENTES!H:H,"&lt;=31/10/2023",EXPEDIENTES!O:O,"=SI")</f>
        <v>0.16560509554140126</v>
      </c>
    </row>
    <row r="52" spans="1:61" ht="35.1" customHeight="1">
      <c r="A52" s="186"/>
      <c r="B52" s="186"/>
      <c r="C52" s="186"/>
      <c r="E52" s="187"/>
      <c r="F52" s="187"/>
      <c r="M52" s="277" t="e">
        <v>#VALUE!</v>
      </c>
      <c r="N52" s="276" t="e">
        <f>M52/M58</f>
        <v>#VALUE!</v>
      </c>
      <c r="O52" s="278" t="s">
        <v>577</v>
      </c>
      <c r="BG52" s="460" t="s">
        <v>3148</v>
      </c>
      <c r="BH52" s="467">
        <f ca="1">COUNTIFS(EXPEDIENTES!R:R,"Libertad",EXPEDIENTES!O:O,"SI",EXPEDIENTES!H:H,"&gt;=01/11/2023",EXPEDIENTES!H:H,"&lt;=30/11/2023")+COUNTIFS(EXPEDIENTES!R:R,"Prision domiciliaria",EXPEDIENTES!O:O,"SI",EXPEDIENTES!H:H,"&gt;=01/11/2023",EXPEDIENTES!H:H,"&lt;=30/11/2023")+COUNTIFS(EXPEDIENTES!R:R,"Suspensión de juicio a prueba",EXPEDIENTES!O:O,"SI",EXPEDIENTES!H:H,"&gt;=01/11/2023",EXPEDIENTES!H:H,"&lt;=30/11/2023")</f>
        <v>30</v>
      </c>
      <c r="BI52" s="462">
        <f ca="1">BH52/COUNTIFS(EXPEDIENTES!H:H,"&gt;=01/11/2023",EXPEDIENTES!H:H,"&lt;=30/11/2023",EXPEDIENTES!O:O,"=SI")</f>
        <v>0.17857142857142858</v>
      </c>
    </row>
    <row r="53" spans="1:61" ht="30" customHeight="1">
      <c r="A53" s="186"/>
      <c r="B53" s="186"/>
      <c r="C53" s="186"/>
      <c r="E53" s="187"/>
      <c r="F53" s="187"/>
      <c r="M53" s="277" t="e">
        <v>#VALUE!</v>
      </c>
      <c r="N53" s="276" t="e">
        <f>M53/M58</f>
        <v>#VALUE!</v>
      </c>
      <c r="O53" s="278" t="s">
        <v>1318</v>
      </c>
      <c r="AK53" s="185" t="s">
        <v>382</v>
      </c>
      <c r="AL53" s="185" t="s">
        <v>78</v>
      </c>
      <c r="BG53" s="460" t="s">
        <v>3149</v>
      </c>
      <c r="BH53" s="467">
        <f ca="1">COUNTIFS(EXPEDIENTES!R:R,"Libertad",EXPEDIENTES!O:O,"SI",EXPEDIENTES!H:H,"&gt;=01/12/2023",EXPEDIENTES!H:H,"&lt;=31/12/2023")+COUNTIFS(EXPEDIENTES!R:R,"Prision domiciliaria",EXPEDIENTES!O:O,"SI",EXPEDIENTES!H:H,"&gt;=01/12/2023",EXPEDIENTES!H:H,"&lt;=31/12/2023")+COUNTIFS(EXPEDIENTES!R:R,"Suspensión de juicio a prueba",EXPEDIENTES!O:O,"SI",EXPEDIENTES!H:H,"&gt;=01/12/2023",EXPEDIENTES!H:H,"&lt;=31/12/2023")</f>
        <v>42</v>
      </c>
      <c r="BI53" s="462">
        <f ca="1">BH53/COUNTIFS(EXPEDIENTES!H:H,"&gt;=01/12/2023",EXPEDIENTES!H:H,"&lt;=31/12/2023",EXPEDIENTES!O:O,"=SI")</f>
        <v>0.21989528795811519</v>
      </c>
    </row>
    <row r="54" spans="1:61" ht="24.9" customHeight="1">
      <c r="A54" s="186"/>
      <c r="B54" s="186"/>
      <c r="C54" s="186"/>
      <c r="E54" s="187"/>
      <c r="F54" s="187"/>
      <c r="M54" s="277" t="e">
        <v>#VALUE!</v>
      </c>
      <c r="N54" s="276" t="e">
        <f>M54/M58</f>
        <v>#VALUE!</v>
      </c>
      <c r="O54" s="278" t="s">
        <v>1319</v>
      </c>
      <c r="AK54" s="283" t="s">
        <v>927</v>
      </c>
      <c r="AL54" s="282" t="s">
        <v>1293</v>
      </c>
      <c r="AM54" s="282" t="s">
        <v>928</v>
      </c>
      <c r="BG54" s="460" t="s">
        <v>5734</v>
      </c>
      <c r="BH54" s="467">
        <f ca="1">COUNTIFS(EXPEDIENTES!R:R,"Libertad",EXPEDIENTES!O:O,"SI",EXPEDIENTES!H:H,"&gt;=01/01/2024",EXPEDIENTES!H:H,"&lt;=31/01/2024")+COUNTIFS(EXPEDIENTES!R:R,"Prision domiciliaria",EXPEDIENTES!O:O,"SI",EXPEDIENTES!H:H,"&gt;=01/01/2024",EXPEDIENTES!H:H,"&lt;=31/01/2024")+COUNTIFS(EXPEDIENTES!R:R,"Suspensión de juicio a prueba",EXPEDIENTES!O:O,"SI",EXPEDIENTES!H:H,"&gt;=01/01/2024",EXPEDIENTES!H:H,"&lt;=31/01/2024")</f>
        <v>32</v>
      </c>
      <c r="BI54" s="462">
        <f ca="1">BH54/COUNTIFS(EXPEDIENTES!H:H,"&gt;=01/01/2024",EXPEDIENTES!H:H,"&lt;=31/01/2024",EXPEDIENTES!O:O,"=SI")</f>
        <v>0.16842105263157894</v>
      </c>
    </row>
    <row r="55" spans="1:61" ht="24.9" customHeight="1">
      <c r="M55" s="277" t="e">
        <v>#VALUE!</v>
      </c>
      <c r="N55" s="276" t="e">
        <f>M55/M58</f>
        <v>#VALUE!</v>
      </c>
      <c r="O55" s="278" t="s">
        <v>900</v>
      </c>
      <c r="AK55" s="277" t="e">
        <v>#VALUE!</v>
      </c>
      <c r="AL55" s="276" t="e">
        <f>AK55/AK61</f>
        <v>#VALUE!</v>
      </c>
      <c r="AM55" s="278" t="s">
        <v>577</v>
      </c>
      <c r="BG55" s="464" t="s">
        <v>3139</v>
      </c>
      <c r="BH55" s="467">
        <f ca="1">COUNTIFS(EXPEDIENTES!R:R,"Libertad",EXPEDIENTES!O:O,"SI",EXPEDIENTES!H:H,"&gt;=01/02/2024",EXPEDIENTES!H:H,"&lt;=29/02/2024")+COUNTIFS(EXPEDIENTES!R:R,"Prision domiciliaria",EXPEDIENTES!O:O,"SI",EXPEDIENTES!H:H,"&gt;=01/02/2024",EXPEDIENTES!H:H,"&lt;=29/02/2024")+COUNTIFS(EXPEDIENTES!R:R,"Suspensión de juicio a prueba",EXPEDIENTES!O:O,"SI",EXPEDIENTES!H:H,"&gt;=01/02/2024",EXPEDIENTES!H:H,"&lt;=29/02/2024")</f>
        <v>37</v>
      </c>
      <c r="BI55" s="462">
        <f ca="1">BH55/COUNTIFS(EXPEDIENTES!H:H,"&gt;=01/02/2024",EXPEDIENTES!H:H,"&lt;=29/02/2024",EXPEDIENTES!O:O,"=SI")</f>
        <v>0.18407960199004975</v>
      </c>
    </row>
    <row r="56" spans="1:61" ht="24.9" customHeight="1" thickBot="1">
      <c r="M56" s="280" t="e">
        <v>#VALUE!</v>
      </c>
      <c r="N56" s="276" t="e">
        <f>M56/M58</f>
        <v>#VALUE!</v>
      </c>
      <c r="O56" s="278" t="s">
        <v>1320</v>
      </c>
      <c r="AK56" s="277" t="e">
        <v>#VALUE!</v>
      </c>
      <c r="AL56" s="276" t="e">
        <f>AK56/AK61</f>
        <v>#VALUE!</v>
      </c>
      <c r="AM56" s="278" t="s">
        <v>1318</v>
      </c>
      <c r="BG56" s="468" t="s">
        <v>5891</v>
      </c>
      <c r="BH56" s="469">
        <f ca="1">AVERAGE(BH43:BH55)</f>
        <v>20.923076923076923</v>
      </c>
      <c r="BI56" s="470">
        <f ca="1">AVERAGE(BI44:BI55)</f>
        <v>0.16910534194670865</v>
      </c>
    </row>
    <row r="57" spans="1:61" ht="24.9" customHeight="1">
      <c r="M57" s="277" t="e">
        <v>#VALUE!</v>
      </c>
      <c r="N57" s="276" t="e">
        <f>M57/M58</f>
        <v>#VALUE!</v>
      </c>
      <c r="O57" s="278" t="s">
        <v>947</v>
      </c>
      <c r="AK57" s="277" t="e">
        <v>#VALUE!</v>
      </c>
      <c r="AL57" s="276" t="e">
        <f>AK57/AK61</f>
        <v>#VALUE!</v>
      </c>
      <c r="AM57" s="278" t="s">
        <v>1319</v>
      </c>
    </row>
    <row r="58" spans="1:61" ht="24.9" customHeight="1">
      <c r="M58" s="274" t="e">
        <f>SUM(M52:M57)</f>
        <v>#VALUE!</v>
      </c>
      <c r="N58" s="273" t="e">
        <f>SUM(N52:N57)</f>
        <v>#VALUE!</v>
      </c>
      <c r="O58" s="272" t="s">
        <v>370</v>
      </c>
      <c r="AK58" s="277" t="e">
        <v>#VALUE!</v>
      </c>
      <c r="AL58" s="276" t="e">
        <f>AK58/AK61</f>
        <v>#VALUE!</v>
      </c>
      <c r="AM58" s="278" t="s">
        <v>900</v>
      </c>
    </row>
    <row r="59" spans="1:61" ht="24.9" customHeight="1">
      <c r="AK59" s="280" t="e">
        <v>#VALUE!</v>
      </c>
      <c r="AL59" s="276" t="e">
        <f>AK59/AK61</f>
        <v>#VALUE!</v>
      </c>
      <c r="AM59" s="278" t="s">
        <v>1320</v>
      </c>
    </row>
    <row r="60" spans="1:61" ht="24.9" customHeight="1">
      <c r="AK60" s="277" t="e">
        <v>#VALUE!</v>
      </c>
      <c r="AL60" s="276" t="e">
        <f>AK60/AK61</f>
        <v>#VALUE!</v>
      </c>
      <c r="AM60" s="278" t="s">
        <v>947</v>
      </c>
    </row>
    <row r="61" spans="1:61" ht="24.9" customHeight="1">
      <c r="AK61" s="274" t="e">
        <f>SUM(AK55:AK60)</f>
        <v>#VALUE!</v>
      </c>
      <c r="AL61" s="273" t="e">
        <f>SUM(AL55:AL60)</f>
        <v>#VALUE!</v>
      </c>
      <c r="AM61" s="272" t="s">
        <v>370</v>
      </c>
    </row>
    <row r="62" spans="1:61" ht="24.9" customHeight="1"/>
    <row r="63" spans="1:61" ht="24.9" customHeight="1">
      <c r="AQ63" s="768" t="s">
        <v>1989</v>
      </c>
      <c r="AR63" s="768"/>
      <c r="AS63" s="768"/>
      <c r="AT63" s="768"/>
      <c r="AU63" s="768"/>
      <c r="AV63" s="768"/>
      <c r="AW63" s="768"/>
      <c r="AX63" s="768"/>
      <c r="AY63" s="768"/>
      <c r="AZ63" s="768"/>
    </row>
    <row r="64" spans="1:61" ht="24.9" customHeight="1">
      <c r="AQ64" s="769" t="s">
        <v>2904</v>
      </c>
      <c r="AR64" s="769"/>
      <c r="AS64" s="769"/>
      <c r="AT64" s="769"/>
      <c r="AU64" s="769"/>
      <c r="AV64" s="769"/>
      <c r="AW64" s="769"/>
      <c r="AX64" s="769"/>
      <c r="AY64" s="769"/>
      <c r="AZ64" s="769"/>
    </row>
    <row r="66" spans="1:44" ht="17.399999999999999">
      <c r="AP66" s="195" t="s">
        <v>927</v>
      </c>
      <c r="AQ66" s="502" t="s">
        <v>6243</v>
      </c>
      <c r="AR66" s="195" t="s">
        <v>928</v>
      </c>
    </row>
    <row r="67" spans="1:44" ht="28.35" customHeight="1">
      <c r="A67" s="186"/>
      <c r="H67" s="186"/>
      <c r="I67" s="186"/>
      <c r="K67" s="185"/>
      <c r="AP67" s="196">
        <f ca="1">COUNTIFS(EXPEDIENTES!Q:Q,$AR67,EXPEDIENTES!O:O,"SI")</f>
        <v>52</v>
      </c>
      <c r="AQ67" s="533">
        <f ca="1">AP67/AP71</f>
        <v>0.41269841269841268</v>
      </c>
      <c r="AR67" s="531" t="s">
        <v>910</v>
      </c>
    </row>
    <row r="68" spans="1:44" ht="28.35" customHeight="1">
      <c r="AP68" s="196">
        <f ca="1">COUNTIFS(EXPEDIENTES!Q:Q,$AR68,EXPEDIENTES!O:O,"SI")</f>
        <v>40</v>
      </c>
      <c r="AQ68" s="533">
        <f ca="1">AP68/AP71</f>
        <v>0.31746031746031744</v>
      </c>
      <c r="AR68" s="531" t="s">
        <v>909</v>
      </c>
    </row>
    <row r="69" spans="1:44" ht="28.35" customHeight="1">
      <c r="AP69" s="196">
        <f ca="1">COUNTIFS(EXPEDIENTES!Q:Q,$AR69,EXPEDIENTES!O:O,"SI")</f>
        <v>31</v>
      </c>
      <c r="AQ69" s="533">
        <f ca="1">AP69/AP71</f>
        <v>0.24603174603174602</v>
      </c>
      <c r="AR69" s="531" t="s">
        <v>1010</v>
      </c>
    </row>
    <row r="70" spans="1:44" ht="28.35" customHeight="1">
      <c r="AP70" s="196">
        <f ca="1">COUNTIFS(EXPEDIENTES!Q:Q,"Suspendida por inimputabilidad",EXPEDIENTES!O:O,"SI")</f>
        <v>3</v>
      </c>
      <c r="AQ70" s="533">
        <f ca="1">AP70/AP71</f>
        <v>2.3809523809523808E-2</v>
      </c>
      <c r="AR70" s="532" t="s">
        <v>645</v>
      </c>
    </row>
    <row r="71" spans="1:44" ht="28.35" customHeight="1">
      <c r="AP71" s="195">
        <f ca="1">SUM(AP67:AP70)</f>
        <v>126</v>
      </c>
      <c r="AQ71" s="502"/>
      <c r="AR71" s="195" t="s">
        <v>370</v>
      </c>
    </row>
    <row r="72" spans="1:44" ht="28.35" customHeight="1">
      <c r="AQ72" s="288"/>
      <c r="AR72" s="288"/>
    </row>
    <row r="73" spans="1:44" ht="28.35" customHeight="1">
      <c r="AQ73" s="287"/>
      <c r="AR73" s="286"/>
    </row>
    <row r="74" spans="1:44" ht="28.35" customHeight="1">
      <c r="AQ74" s="288"/>
      <c r="AR74" s="288"/>
    </row>
    <row r="75" spans="1:44" ht="28.35" customHeight="1">
      <c r="AQ75" s="287"/>
      <c r="AR75" s="286"/>
    </row>
    <row r="76" spans="1:44" ht="28.35" customHeight="1">
      <c r="M76" s="185" t="s">
        <v>1316</v>
      </c>
      <c r="N76" s="185" t="s">
        <v>1326</v>
      </c>
    </row>
    <row r="77" spans="1:44" ht="28.35" customHeight="1">
      <c r="M77" s="283" t="s">
        <v>927</v>
      </c>
      <c r="N77" s="282" t="s">
        <v>1293</v>
      </c>
      <c r="O77" s="282" t="s">
        <v>928</v>
      </c>
    </row>
    <row r="78" spans="1:44" ht="28.35" customHeight="1">
      <c r="M78" s="277" t="e">
        <v>#VALUE!</v>
      </c>
      <c r="N78" s="276" t="e">
        <f>M78/M84</f>
        <v>#VALUE!</v>
      </c>
      <c r="O78" s="278" t="s">
        <v>577</v>
      </c>
    </row>
    <row r="79" spans="1:44" ht="28.35" customHeight="1">
      <c r="M79" s="277" t="e">
        <v>#VALUE!</v>
      </c>
      <c r="N79" s="276" t="e">
        <f>M79/M84</f>
        <v>#VALUE!</v>
      </c>
      <c r="O79" s="278" t="s">
        <v>1318</v>
      </c>
    </row>
    <row r="80" spans="1:44" ht="28.35" customHeight="1">
      <c r="M80" s="277" t="e">
        <v>#VALUE!</v>
      </c>
      <c r="N80" s="276" t="e">
        <f>M80/M84</f>
        <v>#VALUE!</v>
      </c>
      <c r="O80" s="278" t="s">
        <v>1319</v>
      </c>
    </row>
    <row r="81" spans="13:44" ht="28.35" customHeight="1">
      <c r="M81" s="277" t="e">
        <v>#VALUE!</v>
      </c>
      <c r="N81" s="276" t="e">
        <f>M81/M84</f>
        <v>#VALUE!</v>
      </c>
      <c r="O81" s="278" t="s">
        <v>900</v>
      </c>
      <c r="AQ81" s="287"/>
      <c r="AR81" s="286"/>
    </row>
    <row r="82" spans="13:44" ht="18" customHeight="1">
      <c r="M82" s="280" t="e">
        <v>#VALUE!</v>
      </c>
      <c r="N82" s="276" t="e">
        <f>M82/M84</f>
        <v>#VALUE!</v>
      </c>
      <c r="O82" s="278" t="s">
        <v>1320</v>
      </c>
      <c r="AQ82" s="287"/>
      <c r="AR82" s="286"/>
    </row>
    <row r="83" spans="13:44" ht="21" customHeight="1">
      <c r="M83" s="277" t="e">
        <v>#VALUE!</v>
      </c>
      <c r="N83" s="276" t="e">
        <f>M83/M84</f>
        <v>#VALUE!</v>
      </c>
      <c r="O83" s="278" t="s">
        <v>947</v>
      </c>
    </row>
    <row r="84" spans="13:44" ht="22.5" customHeight="1">
      <c r="M84" s="274" t="e">
        <f>SUM(M78:M83)</f>
        <v>#VALUE!</v>
      </c>
      <c r="N84" s="273" t="e">
        <f>SUM(N78:N83)</f>
        <v>#VALUE!</v>
      </c>
      <c r="O84" s="272" t="s">
        <v>370</v>
      </c>
    </row>
    <row r="85" spans="13:44" ht="23.25" customHeight="1"/>
    <row r="86" spans="13:44" ht="21" customHeight="1"/>
    <row r="103" spans="13:15" ht="27.75" customHeight="1">
      <c r="M103" s="185" t="s">
        <v>1316</v>
      </c>
      <c r="N103" s="185" t="s">
        <v>1983</v>
      </c>
    </row>
    <row r="104" spans="13:15" ht="27" customHeight="1">
      <c r="M104" s="283" t="s">
        <v>927</v>
      </c>
      <c r="N104" s="282" t="s">
        <v>1293</v>
      </c>
      <c r="O104" s="282" t="s">
        <v>928</v>
      </c>
    </row>
    <row r="105" spans="13:15" ht="23.25" customHeight="1">
      <c r="M105" s="277" t="e">
        <v>#VALUE!</v>
      </c>
      <c r="N105" s="276" t="e">
        <f>M105/M111</f>
        <v>#VALUE!</v>
      </c>
      <c r="O105" s="278" t="s">
        <v>577</v>
      </c>
    </row>
    <row r="106" spans="13:15" ht="24" customHeight="1">
      <c r="M106" s="277" t="e">
        <v>#VALUE!</v>
      </c>
      <c r="N106" s="276" t="e">
        <f>M106/M111</f>
        <v>#VALUE!</v>
      </c>
      <c r="O106" s="278" t="s">
        <v>1318</v>
      </c>
    </row>
    <row r="107" spans="13:15" ht="24" customHeight="1">
      <c r="M107" s="277" t="e">
        <v>#VALUE!</v>
      </c>
      <c r="N107" s="276" t="e">
        <f>M107/M111</f>
        <v>#VALUE!</v>
      </c>
      <c r="O107" s="278" t="s">
        <v>1319</v>
      </c>
    </row>
    <row r="108" spans="13:15" ht="24.75" customHeight="1">
      <c r="M108" s="277" t="e">
        <v>#VALUE!</v>
      </c>
      <c r="N108" s="276" t="e">
        <f>M108/M111</f>
        <v>#VALUE!</v>
      </c>
      <c r="O108" s="278" t="s">
        <v>900</v>
      </c>
    </row>
    <row r="109" spans="13:15" ht="24.75" customHeight="1">
      <c r="M109" s="280" t="e">
        <v>#VALUE!</v>
      </c>
      <c r="N109" s="276" t="e">
        <f>M109/M111</f>
        <v>#VALUE!</v>
      </c>
      <c r="O109" s="278" t="s">
        <v>1320</v>
      </c>
    </row>
    <row r="110" spans="13:15" ht="19.5" customHeight="1">
      <c r="M110" s="277" t="e">
        <v>#VALUE!</v>
      </c>
      <c r="N110" s="276" t="e">
        <f>M110/M111</f>
        <v>#VALUE!</v>
      </c>
      <c r="O110" s="278" t="s">
        <v>947</v>
      </c>
    </row>
    <row r="111" spans="13:15" ht="23.25" customHeight="1">
      <c r="M111" s="274" t="e">
        <f>SUM(M105:M110)</f>
        <v>#VALUE!</v>
      </c>
      <c r="N111" s="273" t="e">
        <f>SUM(N105:N110)</f>
        <v>#VALUE!</v>
      </c>
      <c r="O111" s="272" t="s">
        <v>370</v>
      </c>
    </row>
    <row r="112" spans="13:15" ht="24.75" customHeight="1"/>
  </sheetData>
  <mergeCells count="12">
    <mergeCell ref="A1:J1"/>
    <mergeCell ref="AQ1:BA1"/>
    <mergeCell ref="AQ3:BA3"/>
    <mergeCell ref="AQ23:AZ23"/>
    <mergeCell ref="B3:D3"/>
    <mergeCell ref="AQ63:AZ63"/>
    <mergeCell ref="AQ64:AZ64"/>
    <mergeCell ref="BG40:BI41"/>
    <mergeCell ref="BY15:CA15"/>
    <mergeCell ref="BG5:BI5"/>
    <mergeCell ref="BG22:BI23"/>
    <mergeCell ref="AQ43:AZ43"/>
  </mergeCells>
  <pageMargins left="0.19685039370078741" right="0.19685039370078741" top="0.19685039370078741" bottom="0.19685039370078741" header="0.11811023622047245" footer="0.11811023622047245"/>
  <pageSetup paperSize="5" scale="90" orientation="landscape" r:id="rId1"/>
  <drawing r:id="rId2"/>
</worksheet>
</file>

<file path=xl/worksheets/sheet8.xml><?xml version="1.0" encoding="utf-8"?>
<worksheet xmlns="http://schemas.openxmlformats.org/spreadsheetml/2006/main" xmlns:r="http://schemas.openxmlformats.org/officeDocument/2006/relationships">
  <sheetPr codeName="Hoja15"/>
  <dimension ref="A2:M35"/>
  <sheetViews>
    <sheetView tabSelected="1" topLeftCell="A4" workbookViewId="0">
      <selection activeCell="N11" sqref="N11"/>
    </sheetView>
  </sheetViews>
  <sheetFormatPr baseColWidth="10" defaultRowHeight="13.2"/>
  <cols>
    <col min="1" max="1" width="12.6640625" customWidth="1"/>
    <col min="2" max="2" width="12" customWidth="1"/>
    <col min="3" max="3" width="29.44140625" customWidth="1"/>
    <col min="4" max="4" width="15.44140625" bestFit="1" customWidth="1"/>
    <col min="6" max="6" width="15.44140625" bestFit="1" customWidth="1"/>
  </cols>
  <sheetData>
    <row r="2" spans="1:13" ht="17.399999999999999">
      <c r="A2" s="60"/>
      <c r="B2" s="60"/>
      <c r="C2" s="60"/>
      <c r="D2" s="236"/>
      <c r="E2" s="237"/>
      <c r="F2" s="236"/>
    </row>
    <row r="3" spans="1:13" ht="17.399999999999999">
      <c r="C3" s="60" t="s">
        <v>2664</v>
      </c>
    </row>
    <row r="4" spans="1:13" ht="27.75" customHeight="1">
      <c r="A4" s="60"/>
      <c r="B4" s="60"/>
      <c r="C4" s="60" t="s">
        <v>3121</v>
      </c>
      <c r="D4" s="236">
        <v>45404</v>
      </c>
      <c r="E4" s="260" t="s">
        <v>2567</v>
      </c>
      <c r="F4" s="236">
        <v>45408</v>
      </c>
    </row>
    <row r="5" spans="1:13" ht="27.75" customHeight="1">
      <c r="A5" s="238" t="s">
        <v>927</v>
      </c>
      <c r="B5" s="239" t="s">
        <v>1293</v>
      </c>
      <c r="C5" s="239" t="s">
        <v>928</v>
      </c>
      <c r="D5" s="60"/>
      <c r="E5" s="60"/>
    </row>
    <row r="6" spans="1:13" ht="31.5" customHeight="1">
      <c r="A6" s="240">
        <f>COUNTIFS(EXPEDIENTES!R:R,"=Prisión Preventiva",EXPEDIENTES!H:H,"&gt;="&amp;$D$4,EXPEDIENTES!H:H,"&lt;="&amp;$F$4)</f>
        <v>11</v>
      </c>
      <c r="B6" s="334">
        <f>A6/A14</f>
        <v>0.20370370370370369</v>
      </c>
      <c r="C6" s="241" t="s">
        <v>577</v>
      </c>
      <c r="D6" s="58"/>
      <c r="M6" s="10"/>
    </row>
    <row r="7" spans="1:13" ht="30.75" customHeight="1">
      <c r="A7" s="183">
        <f>COUNTIFS(EXPEDIENTES!R:R,"Juicio Abreviado",EXPEDIENTES!H:H,"&gt;="&amp;$D$4,EXPEDIENTES!H:H,"&lt;="&amp;$F$4)</f>
        <v>30</v>
      </c>
      <c r="B7" s="334">
        <f>A7/A14</f>
        <v>0.55555555555555558</v>
      </c>
      <c r="C7" s="241" t="s">
        <v>986</v>
      </c>
      <c r="D7" s="58"/>
    </row>
    <row r="8" spans="1:13" ht="24" customHeight="1">
      <c r="A8" s="183">
        <f>COUNTIFS(EXPEDIENTES!R:R,"Libertad",EXPEDIENTES!H:H,"&gt;="&amp;$D$4,EXPEDIENTES!H:H,"&lt;="&amp;$F$4)</f>
        <v>1</v>
      </c>
      <c r="B8" s="334">
        <f>A8/A14</f>
        <v>1.8518518518518517E-2</v>
      </c>
      <c r="C8" s="241" t="s">
        <v>900</v>
      </c>
      <c r="D8" s="58"/>
    </row>
    <row r="9" spans="1:13" ht="29.4" customHeight="1">
      <c r="A9" s="183">
        <f>COUNTIFS(EXPEDIENTES!R:R,"Prision domiciliaria",EXPEDIENTES!H:H,"&gt;="&amp;D4,EXPEDIENTES!H:H,"&lt;="&amp;F4)</f>
        <v>3</v>
      </c>
      <c r="B9" s="334">
        <f>A9/A14</f>
        <v>5.5555555555555552E-2</v>
      </c>
      <c r="C9" s="241" t="s">
        <v>911</v>
      </c>
      <c r="D9" s="58"/>
    </row>
    <row r="10" spans="1:13" ht="32.25" customHeight="1">
      <c r="A10" s="183">
        <f>COUNTIFS(EXPEDIENTES!Q:Q,"Suspendida por pedido de las partes",EXPEDIENTES!H:H,"&gt;="&amp;$D$4,EXPEDIENTES!H:H,"&lt;="&amp;$F$4)</f>
        <v>4</v>
      </c>
      <c r="B10" s="334">
        <f>A10/A14</f>
        <v>7.407407407407407E-2</v>
      </c>
      <c r="C10" s="423" t="s">
        <v>909</v>
      </c>
      <c r="D10" s="58"/>
    </row>
    <row r="11" spans="1:13" ht="47.4" customHeight="1">
      <c r="A11" s="183">
        <f>COUNTIFS(EXPEDIENTES!Q:Q,"Suspensión por incomparecencia de las partes",EXPEDIENTES!H:H,"&gt;="&amp;$D$4,EXPEDIENTES!H:H,"&lt;="&amp;$F$4)</f>
        <v>3</v>
      </c>
      <c r="B11" s="334">
        <f>A11/A14</f>
        <v>5.5555555555555552E-2</v>
      </c>
      <c r="C11" s="423" t="s">
        <v>1010</v>
      </c>
      <c r="D11" s="58"/>
    </row>
    <row r="12" spans="1:13" ht="52.95" customHeight="1">
      <c r="A12" s="183">
        <f>COUNTIFS(EXPEDIENTES!Q:Q,"Suspensión de juicio a prueba",EXPEDIENTES!H:H,"&gt;="&amp;$D$4,EXPEDIENTES!H:H,"&lt;="&amp;$F$4)</f>
        <v>1</v>
      </c>
      <c r="B12" s="334">
        <f>A12/A14</f>
        <v>1.8518518518518517E-2</v>
      </c>
      <c r="C12" s="423" t="s">
        <v>907</v>
      </c>
      <c r="D12" s="58"/>
    </row>
    <row r="13" spans="1:13" ht="48.6" customHeight="1">
      <c r="A13" s="183">
        <f>COUNTIFS(EXPEDIENTES!Q:Q,"Sobreseimiento",EXPEDIENTES!H:H,"&gt;="&amp;$D$4,EXPEDIENTES!H:H,"&lt;="&amp;$F$4)</f>
        <v>1</v>
      </c>
      <c r="B13" s="334">
        <f>A13/A14</f>
        <v>1.8518518518518517E-2</v>
      </c>
      <c r="C13" s="423" t="s">
        <v>1892</v>
      </c>
      <c r="D13" s="58"/>
    </row>
    <row r="14" spans="1:13" ht="24" customHeight="1">
      <c r="A14" s="242">
        <f>SUM(A6:A13)</f>
        <v>54</v>
      </c>
      <c r="B14" s="243">
        <f>SUM(B6:B13)</f>
        <v>1</v>
      </c>
      <c r="C14" s="242" t="s">
        <v>370</v>
      </c>
    </row>
    <row r="25" spans="1:6" ht="17.399999999999999">
      <c r="C25" s="60" t="s">
        <v>2664</v>
      </c>
      <c r="D25" s="10" t="s">
        <v>5401</v>
      </c>
    </row>
    <row r="26" spans="1:6" ht="17.399999999999999">
      <c r="A26" s="60"/>
      <c r="B26" s="60"/>
      <c r="C26" s="60" t="s">
        <v>3121</v>
      </c>
      <c r="D26" s="236">
        <v>45293</v>
      </c>
      <c r="E26" s="260" t="s">
        <v>2567</v>
      </c>
      <c r="F26" s="236">
        <v>45306</v>
      </c>
    </row>
    <row r="27" spans="1:6" ht="17.399999999999999">
      <c r="A27" s="238" t="s">
        <v>927</v>
      </c>
      <c r="B27" s="239" t="s">
        <v>1293</v>
      </c>
      <c r="C27" s="239" t="s">
        <v>928</v>
      </c>
      <c r="D27" s="60"/>
      <c r="E27" s="60"/>
    </row>
    <row r="28" spans="1:6" ht="15">
      <c r="A28" s="240">
        <f>COUNTIFS(EXPEDIENTES!R:R,"=Prisión Preventiva",EXPEDIENTES!H:H,"&gt;=02/01/2024",EXPEDIENTES!H:H,"&lt;=15/01/2024") +COUNTIFS(EXPEDIENTES!R:R,"Prision domiciliaria",EXPEDIENTES!H:H,"&gt;=02/01/2024",EXPEDIENTES!H:H,"&lt;=15/01/2024")</f>
        <v>28</v>
      </c>
      <c r="B28" s="334">
        <f>A28/A34</f>
        <v>0.30434782608695654</v>
      </c>
      <c r="C28" s="241" t="s">
        <v>577</v>
      </c>
      <c r="D28" s="58"/>
    </row>
    <row r="29" spans="1:6" ht="15">
      <c r="A29" s="183">
        <f>COUNTIFS(EXPEDIENTES!R:R,"Juicio Abreviado",EXPEDIENTES!H:H,"&gt;=02/01/2024",EXPEDIENTES!H:H,"&lt;=15/01/2024")</f>
        <v>44</v>
      </c>
      <c r="B29" s="334">
        <f>A29/A34</f>
        <v>0.47826086956521741</v>
      </c>
      <c r="C29" s="241" t="s">
        <v>986</v>
      </c>
      <c r="D29" s="58"/>
    </row>
    <row r="30" spans="1:6" ht="15">
      <c r="A30" s="183">
        <f>COUNTIFS(EXPEDIENTES!R:R,"Libertad",EXPEDIENTES!H:H,"&gt;=02/01/2024",EXPEDIENTES!H:H,"&lt;=15/01/2024")</f>
        <v>12</v>
      </c>
      <c r="B30" s="334">
        <f>A30/A34</f>
        <v>0.13043478260869565</v>
      </c>
      <c r="C30" s="241" t="s">
        <v>900</v>
      </c>
      <c r="D30" s="58"/>
    </row>
    <row r="31" spans="1:6" ht="15">
      <c r="A31" s="183">
        <f>COUNTIFS(EXPEDIENTES!R:R,"Sobreseimiento",EXPEDIENTES!H:H,"&gt;=02/01/2024",EXPEDIENTES!H:H,"&lt;=15/01/2024")</f>
        <v>1</v>
      </c>
      <c r="B31" s="334">
        <f>A31/A34</f>
        <v>1.0869565217391304E-2</v>
      </c>
      <c r="C31" s="241" t="s">
        <v>1892</v>
      </c>
      <c r="D31" s="58"/>
    </row>
    <row r="32" spans="1:6" ht="30">
      <c r="A32" s="183">
        <f>COUNTIFS(EXPEDIENTES!R:R,"Suspensión de juicio a prueba",EXPEDIENTES!H:H,"&gt;=02/01/2024",EXPEDIENTES!H:H,"&lt;=15/01/2024")</f>
        <v>1</v>
      </c>
      <c r="B32" s="334">
        <f>A32/A34</f>
        <v>1.0869565217391304E-2</v>
      </c>
      <c r="C32" s="423" t="s">
        <v>907</v>
      </c>
      <c r="D32" s="58"/>
    </row>
    <row r="33" spans="1:4" ht="15">
      <c r="A33" s="183">
        <f>COUNTIFS(EXPEDIENTES!R:R,"Suspendida",EXPEDIENTES!H:H,"&gt;=02/01/2024",EXPEDIENTES!H:H,"&lt;=15/01/2024")</f>
        <v>6</v>
      </c>
      <c r="B33" s="334">
        <f>A33/A34</f>
        <v>6.5217391304347824E-2</v>
      </c>
      <c r="C33" s="423" t="s">
        <v>947</v>
      </c>
      <c r="D33" s="58"/>
    </row>
    <row r="34" spans="1:4" ht="15">
      <c r="A34" s="242">
        <f>SUM(A28:A33)</f>
        <v>92</v>
      </c>
      <c r="B34" s="243">
        <v>1</v>
      </c>
      <c r="C34" s="244" t="s">
        <v>370</v>
      </c>
      <c r="D34" s="58"/>
    </row>
    <row r="35" spans="1:4">
      <c r="D35" s="58"/>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13"/>
  <dimension ref="A1:U21"/>
  <sheetViews>
    <sheetView workbookViewId="0">
      <selection activeCell="M48" sqref="M48"/>
    </sheetView>
  </sheetViews>
  <sheetFormatPr baseColWidth="10" defaultRowHeight="13.2"/>
  <cols>
    <col min="2" max="2" width="22.88671875" bestFit="1" customWidth="1"/>
    <col min="4" max="4" width="10.44140625" bestFit="1" customWidth="1"/>
    <col min="5" max="5" width="17" customWidth="1"/>
    <col min="14" max="14" width="11.6640625" bestFit="1" customWidth="1"/>
    <col min="15" max="15" width="12.6640625" customWidth="1"/>
  </cols>
  <sheetData>
    <row r="1" spans="1:21">
      <c r="G1">
        <v>8</v>
      </c>
    </row>
    <row r="3" spans="1:21" ht="13.8" thickBot="1"/>
    <row r="4" spans="1:21" ht="29.25" customHeight="1" thickBot="1">
      <c r="A4" s="795" t="s">
        <v>4242</v>
      </c>
      <c r="B4" s="796"/>
      <c r="G4" s="797" t="s">
        <v>4243</v>
      </c>
      <c r="H4" s="798"/>
      <c r="J4" s="799" t="s">
        <v>4244</v>
      </c>
      <c r="K4" s="800"/>
    </row>
    <row r="5" spans="1:21">
      <c r="A5" s="358" t="s">
        <v>3138</v>
      </c>
      <c r="B5" s="359" t="s">
        <v>4245</v>
      </c>
      <c r="G5" s="358" t="s">
        <v>3138</v>
      </c>
      <c r="H5" s="359" t="s">
        <v>927</v>
      </c>
      <c r="J5" s="358" t="s">
        <v>3138</v>
      </c>
      <c r="K5" s="359" t="s">
        <v>927</v>
      </c>
      <c r="T5" s="789" t="s">
        <v>5883</v>
      </c>
      <c r="U5" s="790"/>
    </row>
    <row r="6" spans="1:21" ht="13.2" customHeight="1" thickBot="1">
      <c r="A6" s="360"/>
      <c r="B6" s="145"/>
      <c r="G6" s="446" t="s">
        <v>3139</v>
      </c>
      <c r="H6" s="145">
        <f ca="1">COUNTIFS(EXPEDIENTES!B:B,"&gt;=01/02/2023",EXPEDIENTES!B:B,"&lt;=28/02/2023")</f>
        <v>17</v>
      </c>
      <c r="J6" s="361" t="s">
        <v>3139</v>
      </c>
      <c r="K6" s="362">
        <f ca="1">COUNTIFS(EXPEDIENTES!H:H,"&gt;=01/02/2023",EXPEDIENTES!H:H,"&lt;=28/02/2023",EXPEDIENTES!O:O,"=SI")</f>
        <v>4</v>
      </c>
      <c r="T6" s="791">
        <f>COUNTA(EXPEDIENTES!H:H)</f>
        <v>2054</v>
      </c>
      <c r="U6" s="792"/>
    </row>
    <row r="7" spans="1:21" ht="13.8" thickBot="1">
      <c r="A7" s="360" t="s">
        <v>3140</v>
      </c>
      <c r="B7" s="145">
        <v>12</v>
      </c>
      <c r="G7" s="446" t="s">
        <v>3140</v>
      </c>
      <c r="H7" s="145">
        <f ca="1">COUNTIFS(EXPEDIENTES!B:B,"&gt;=01/03/2023",EXPEDIENTES!B:B,"&lt;=31/03/2023")</f>
        <v>131</v>
      </c>
      <c r="J7" s="361" t="s">
        <v>3140</v>
      </c>
      <c r="K7" s="362">
        <f ca="1">COUNTIFS(EXPEDIENTES!H:H,"&gt;=01/03/2023",EXPEDIENTES!H:H,"&lt;=31/03/2023",EXPEDIENTES!O:O,"=SI")</f>
        <v>84</v>
      </c>
      <c r="U7" s="447"/>
    </row>
    <row r="8" spans="1:21">
      <c r="A8" s="360" t="s">
        <v>3141</v>
      </c>
      <c r="B8" s="145">
        <v>7</v>
      </c>
      <c r="G8" s="446" t="s">
        <v>3141</v>
      </c>
      <c r="H8" s="145">
        <f ca="1">COUNTIFS(EXPEDIENTES!B:B,"&gt;=01/04/2023",EXPEDIENTES!B:B,"&lt;=30/04/2023")</f>
        <v>6</v>
      </c>
      <c r="J8" s="361" t="s">
        <v>3141</v>
      </c>
      <c r="K8" s="362">
        <f ca="1">COUNTIFS(EXPEDIENTES!H:H,"&gt;=01/04/2023",EXPEDIENTES!H:H,"&lt;=30/04/2023",EXPEDIENTES!O:O,"=SI")</f>
        <v>63</v>
      </c>
      <c r="T8" s="789" t="s">
        <v>5884</v>
      </c>
      <c r="U8" s="790"/>
    </row>
    <row r="9" spans="1:21">
      <c r="A9" s="360" t="s">
        <v>3142</v>
      </c>
      <c r="B9" s="145">
        <v>6</v>
      </c>
      <c r="G9" s="446" t="s">
        <v>3142</v>
      </c>
      <c r="H9" s="145">
        <f ca="1">COUNTIFS(EXPEDIENTES!B:B,"&gt;=01/05/2023",EXPEDIENTES!B:B,"&lt;=31/05/2023")</f>
        <v>64</v>
      </c>
      <c r="J9" s="361" t="s">
        <v>3142</v>
      </c>
      <c r="K9" s="362">
        <f ca="1">COUNTIFS(EXPEDIENTES!H:H,"&gt;=01/05/2023",EXPEDIENTES!H:H,"&lt;=31/05/2023",EXPEDIENTES!O:O,"=SI")</f>
        <v>44</v>
      </c>
      <c r="T9" s="793"/>
      <c r="U9" s="794"/>
    </row>
    <row r="10" spans="1:21">
      <c r="A10" s="360" t="s">
        <v>3143</v>
      </c>
      <c r="B10" s="145">
        <v>5</v>
      </c>
      <c r="G10" s="446" t="s">
        <v>3143</v>
      </c>
      <c r="H10" s="145">
        <f ca="1">COUNTIFS(EXPEDIENTES!B:B,"&gt;=01/06/2023",EXPEDIENTES!B:B,"&lt;=30/06/2023")</f>
        <v>110</v>
      </c>
      <c r="J10" s="361" t="s">
        <v>3143</v>
      </c>
      <c r="K10" s="362">
        <f ca="1">COUNTIFS(EXPEDIENTES!H:H,"&gt;=01/06/2023",EXPEDIENTES!H:H,"&lt;=30/06/2023",EXPEDIENTES!O:O,"=SI")</f>
        <v>87</v>
      </c>
      <c r="T10" s="448">
        <v>179</v>
      </c>
      <c r="U10" s="450" t="s">
        <v>5885</v>
      </c>
    </row>
    <row r="11" spans="1:21" ht="13.8" thickBot="1">
      <c r="A11" s="360" t="s">
        <v>3144</v>
      </c>
      <c r="B11" s="145">
        <v>8</v>
      </c>
      <c r="G11" s="446" t="s">
        <v>3144</v>
      </c>
      <c r="H11" s="145">
        <f ca="1">COUNTIFS(EXPEDIENTES!B:B,"&gt;=01/07/2023",EXPEDIENTES!B:B,"&lt;=31/07/2023")</f>
        <v>116</v>
      </c>
      <c r="J11" s="361" t="s">
        <v>3144</v>
      </c>
      <c r="K11" s="362">
        <f ca="1">COUNTIFS(EXPEDIENTES!H:H,"&gt;=01/07/2023",EXPEDIENTES!H:H,"&lt;=31/07/2023",EXPEDIENTES!O:O,"=SI")</f>
        <v>128</v>
      </c>
      <c r="T11" s="449">
        <v>1245</v>
      </c>
      <c r="U11" s="451" t="s">
        <v>5886</v>
      </c>
    </row>
    <row r="12" spans="1:21">
      <c r="A12" s="360" t="s">
        <v>3145</v>
      </c>
      <c r="B12" s="145">
        <v>6</v>
      </c>
      <c r="G12" s="446" t="s">
        <v>3145</v>
      </c>
      <c r="H12" s="145">
        <f ca="1">COUNTIFS(EXPEDIENTES!B:B,"&gt;=01/08/2023",EXPEDIENTES!B:B,"&lt;=31/08/2023")</f>
        <v>139</v>
      </c>
      <c r="J12" s="361" t="s">
        <v>3145</v>
      </c>
      <c r="K12" s="362">
        <f ca="1">COUNTIFS(EXPEDIENTES!H:H,"&gt;=01/08/2023",EXPEDIENTES!H:H,"&lt;=31/08/2023",EXPEDIENTES!O:O,"=SI")</f>
        <v>128</v>
      </c>
    </row>
    <row r="13" spans="1:21">
      <c r="A13" s="360" t="s">
        <v>4246</v>
      </c>
      <c r="B13" s="145">
        <v>9</v>
      </c>
      <c r="G13" s="446" t="s">
        <v>4246</v>
      </c>
      <c r="H13" s="145">
        <f ca="1">COUNTIFS(EXPEDIENTES!B:B,"&gt;=01/09/2023",EXPEDIENTES!B:B,"&lt;=30/09/2023")</f>
        <v>150</v>
      </c>
      <c r="J13" s="361" t="s">
        <v>4246</v>
      </c>
      <c r="K13" s="362">
        <f ca="1">COUNTIFS(EXPEDIENTES!H:H,"&gt;=01/09/2023",EXPEDIENTES!H:H,"&lt;=30/09/2023",EXPEDIENTES!O:O,"=SI")</f>
        <v>117</v>
      </c>
    </row>
    <row r="14" spans="1:21">
      <c r="A14" s="360" t="s">
        <v>3147</v>
      </c>
      <c r="B14" s="145">
        <v>11</v>
      </c>
      <c r="G14" s="446" t="s">
        <v>3147</v>
      </c>
      <c r="H14" s="145">
        <f ca="1">COUNTIFS(EXPEDIENTES!B:B,"&gt;=01/10/2023",EXPEDIENTES!B:B,"&lt;=31/10/2023")</f>
        <v>162</v>
      </c>
      <c r="J14" s="361" t="s">
        <v>3147</v>
      </c>
      <c r="K14" s="362">
        <f ca="1">COUNTIFS(EXPEDIENTES!H:H,"&gt;=01/10/2023",EXPEDIENTES!H:H,"&lt;=31/10/2023",EXPEDIENTES!O:O,"=SI")</f>
        <v>157</v>
      </c>
    </row>
    <row r="15" spans="1:21">
      <c r="A15" s="360" t="s">
        <v>3148</v>
      </c>
      <c r="B15" s="145">
        <v>12</v>
      </c>
      <c r="G15" s="446" t="s">
        <v>3148</v>
      </c>
      <c r="H15" s="145">
        <f ca="1">COUNTIFS(EXPEDIENTES!B:B,"&gt;=01/11/2023",EXPEDIENTES!B:B,"&lt;=30/11/2023")</f>
        <v>177</v>
      </c>
      <c r="J15" s="361" t="s">
        <v>3148</v>
      </c>
      <c r="K15" s="362">
        <f ca="1">COUNTIFS(EXPEDIENTES!H:H,"&gt;=01/11/2023",EXPEDIENTES!H:H,"&lt;=30/11/2023",EXPEDIENTES!O:O,"=SI")</f>
        <v>168</v>
      </c>
    </row>
    <row r="16" spans="1:21">
      <c r="A16" s="360" t="s">
        <v>3149</v>
      </c>
      <c r="B16" s="145">
        <v>12</v>
      </c>
      <c r="G16" s="446" t="s">
        <v>3149</v>
      </c>
      <c r="H16" s="145">
        <f ca="1">COUNTIFS(EXPEDIENTES!B:B,"&gt;=01/12/2023",EXPEDIENTES!B:B,"&lt;=31/12/2023")</f>
        <v>216</v>
      </c>
      <c r="J16" s="361" t="s">
        <v>3149</v>
      </c>
      <c r="K16" s="362">
        <f ca="1">COUNTIFS(EXPEDIENTES!H:H,"&gt;=01/12/2023",EXPEDIENTES!H:H,"&lt;=31/12/2023",EXPEDIENTES!O:O,"=SI")</f>
        <v>191</v>
      </c>
    </row>
    <row r="17" spans="1:13">
      <c r="A17" s="360" t="s">
        <v>5734</v>
      </c>
      <c r="B17" s="145">
        <v>12</v>
      </c>
      <c r="G17" s="446" t="s">
        <v>5734</v>
      </c>
      <c r="H17" s="145">
        <f ca="1">COUNTIFS(EXPEDIENTES!B:B,"&gt;=01/01/2024",EXPEDIENTES!B:B,"&lt;=31/01/2024")</f>
        <v>191</v>
      </c>
      <c r="J17" s="361" t="s">
        <v>5734</v>
      </c>
      <c r="K17" s="362">
        <f ca="1">COUNTIFS(EXPEDIENTES!H:H,"&gt;=01/01/2024",EXPEDIENTES!H:H,"&lt;=31/01/2024",EXPEDIENTES!O:O,"=SI")</f>
        <v>190</v>
      </c>
    </row>
    <row r="18" spans="1:13" ht="13.95" customHeight="1">
      <c r="A18" s="529" t="s">
        <v>3139</v>
      </c>
      <c r="B18" s="530">
        <v>10</v>
      </c>
      <c r="G18" s="526" t="s">
        <v>3139</v>
      </c>
      <c r="H18" s="145">
        <f ca="1">COUNTIFS(EXPEDIENTES!B:B,"&gt;=01/02/2024",EXPEDIENTES!B:B,"&lt;=29/02/2024")</f>
        <v>196</v>
      </c>
      <c r="J18" s="527" t="s">
        <v>3139</v>
      </c>
      <c r="K18" s="362">
        <f ca="1">COUNTIFS(EXPEDIENTES!H:H,"&gt;=01/02/2024",EXPEDIENTES!H:H,"&lt;=29/02/2024",EXPEDIENTES!O:O,"=SI")</f>
        <v>201</v>
      </c>
    </row>
    <row r="19" spans="1:13" ht="14.4" customHeight="1">
      <c r="A19" s="529" t="s">
        <v>3140</v>
      </c>
      <c r="B19" s="145">
        <v>8</v>
      </c>
      <c r="G19" s="526" t="s">
        <v>3140</v>
      </c>
      <c r="H19" s="145">
        <f ca="1">COUNTIFS(EXPEDIENTES!B:B,"&gt;=01/03/2024",EXPEDIENTES!B:B,"&lt;=31/03/2024")</f>
        <v>202</v>
      </c>
      <c r="J19" s="527" t="s">
        <v>3140</v>
      </c>
      <c r="K19" s="362">
        <f ca="1">COUNTIFS(EXPEDIENTES!H:H,"&gt;=01/03/2024",EXPEDIENTES!H:H,"&lt;=31/03/2024",EXPEDIENTES!O:O,"=SI")</f>
        <v>219</v>
      </c>
      <c r="M19" s="10"/>
    </row>
    <row r="20" spans="1:13" ht="13.2" customHeight="1">
      <c r="A20" s="600" t="s">
        <v>3141</v>
      </c>
      <c r="B20" s="601">
        <v>9</v>
      </c>
      <c r="G20" s="624" t="s">
        <v>3141</v>
      </c>
      <c r="H20" s="145">
        <f ca="1">COUNTIFS(EXPEDIENTES!B:B,"&gt;=01/04/2024",EXPEDIENTES!B:B,"&lt;=30/04/2024")</f>
        <v>203</v>
      </c>
      <c r="J20" s="625" t="s">
        <v>3141</v>
      </c>
      <c r="K20" s="362">
        <f ca="1">COUNTIFS(EXPEDIENTES!H:H,"&gt;=01/04/2024",EXPEDIENTES!H:H,"&lt;=30/04/2024",EXPEDIENTES!O:O,"=SI")</f>
        <v>189</v>
      </c>
    </row>
    <row r="21" spans="1:13" ht="27" thickBot="1">
      <c r="A21" s="598" t="s">
        <v>4247</v>
      </c>
      <c r="B21" s="599">
        <f>AVERAGE(B6:B20)</f>
        <v>9.0714285714285712</v>
      </c>
      <c r="G21" s="363" t="s">
        <v>370</v>
      </c>
      <c r="H21" s="364">
        <f ca="1">SUM(H6:H20)</f>
        <v>2080</v>
      </c>
      <c r="J21" s="363" t="s">
        <v>370</v>
      </c>
      <c r="K21" s="364">
        <f ca="1">SUM(K6:K20)</f>
        <v>1970</v>
      </c>
    </row>
  </sheetData>
  <mergeCells count="6">
    <mergeCell ref="T5:U5"/>
    <mergeCell ref="T6:U6"/>
    <mergeCell ref="T8:U9"/>
    <mergeCell ref="A4:B4"/>
    <mergeCell ref="G4:H4"/>
    <mergeCell ref="J4:K4"/>
  </mergeCell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sheetPr codeName="Hoja21"/>
  <dimension ref="A4:BI51"/>
  <sheetViews>
    <sheetView workbookViewId="0">
      <selection activeCell="I13" sqref="I13"/>
    </sheetView>
  </sheetViews>
  <sheetFormatPr baseColWidth="10" defaultRowHeight="13.2"/>
  <sheetData>
    <row r="4" spans="1:43" ht="13.8" thickBot="1"/>
    <row r="5" spans="1:43">
      <c r="A5" s="119" t="s">
        <v>382</v>
      </c>
      <c r="B5" s="120" t="s">
        <v>1216</v>
      </c>
      <c r="C5" s="121"/>
      <c r="D5" s="122"/>
      <c r="E5" s="120" t="s">
        <v>1614</v>
      </c>
      <c r="F5" s="121"/>
      <c r="G5" s="122"/>
      <c r="H5" s="120" t="s">
        <v>35</v>
      </c>
      <c r="I5" s="121"/>
      <c r="J5" s="122"/>
      <c r="K5" s="120" t="s">
        <v>33</v>
      </c>
      <c r="L5" s="121"/>
      <c r="M5" s="122"/>
      <c r="N5" s="123" t="s">
        <v>1615</v>
      </c>
      <c r="O5" s="121"/>
      <c r="P5" s="122"/>
      <c r="Q5" s="120" t="s">
        <v>1221</v>
      </c>
      <c r="R5" s="121"/>
      <c r="S5" s="122"/>
      <c r="T5" s="120" t="s">
        <v>1217</v>
      </c>
      <c r="U5" s="124"/>
      <c r="V5" s="125"/>
      <c r="W5" s="120" t="s">
        <v>78</v>
      </c>
      <c r="X5" s="121"/>
      <c r="Y5" s="122"/>
      <c r="Z5" s="120" t="s">
        <v>1219</v>
      </c>
      <c r="AA5" s="124"/>
      <c r="AB5" s="125"/>
      <c r="AC5" s="120" t="s">
        <v>1218</v>
      </c>
      <c r="AD5" s="124"/>
      <c r="AE5" s="125"/>
      <c r="AF5" s="120" t="s">
        <v>3972</v>
      </c>
      <c r="AG5" s="124"/>
      <c r="AH5" s="125"/>
      <c r="AI5" s="120" t="s">
        <v>4131</v>
      </c>
      <c r="AJ5" s="124"/>
      <c r="AK5" s="125"/>
      <c r="AL5" s="120" t="s">
        <v>1220</v>
      </c>
      <c r="AM5" s="124"/>
      <c r="AN5" s="125"/>
      <c r="AO5" s="120" t="s">
        <v>4931</v>
      </c>
      <c r="AP5" s="124"/>
      <c r="AQ5" s="125"/>
    </row>
    <row r="6" spans="1:43" ht="13.8" thickBot="1">
      <c r="A6" s="126" t="s">
        <v>1617</v>
      </c>
      <c r="B6" s="127" t="s">
        <v>1618</v>
      </c>
      <c r="C6" s="128" t="s">
        <v>1619</v>
      </c>
      <c r="D6" s="129" t="s">
        <v>1620</v>
      </c>
      <c r="E6" s="127" t="s">
        <v>1618</v>
      </c>
      <c r="F6" s="128" t="s">
        <v>1619</v>
      </c>
      <c r="G6" s="129" t="s">
        <v>1621</v>
      </c>
      <c r="H6" s="127" t="s">
        <v>1618</v>
      </c>
      <c r="I6" s="130" t="s">
        <v>1619</v>
      </c>
      <c r="J6" s="129" t="s">
        <v>1621</v>
      </c>
      <c r="K6" s="127" t="s">
        <v>1618</v>
      </c>
      <c r="L6" s="128" t="s">
        <v>1619</v>
      </c>
      <c r="M6" s="129" t="s">
        <v>1621</v>
      </c>
      <c r="N6" s="127" t="s">
        <v>1618</v>
      </c>
      <c r="O6" s="128" t="s">
        <v>1619</v>
      </c>
      <c r="P6" s="129" t="s">
        <v>1621</v>
      </c>
      <c r="Q6" s="127" t="s">
        <v>1618</v>
      </c>
      <c r="R6" s="128" t="s">
        <v>1619</v>
      </c>
      <c r="S6" s="129" t="s">
        <v>1621</v>
      </c>
      <c r="T6" s="127" t="s">
        <v>1618</v>
      </c>
      <c r="U6" s="128" t="s">
        <v>1619</v>
      </c>
      <c r="V6" s="129" t="s">
        <v>1621</v>
      </c>
      <c r="W6" s="127" t="s">
        <v>1618</v>
      </c>
      <c r="X6" s="128" t="s">
        <v>1619</v>
      </c>
      <c r="Y6" s="129" t="s">
        <v>1621</v>
      </c>
      <c r="Z6" s="127" t="s">
        <v>1618</v>
      </c>
      <c r="AA6" s="128" t="s">
        <v>1619</v>
      </c>
      <c r="AB6" s="129" t="s">
        <v>1620</v>
      </c>
      <c r="AC6" s="127" t="s">
        <v>1618</v>
      </c>
      <c r="AD6" s="128" t="s">
        <v>1619</v>
      </c>
      <c r="AE6" s="129" t="s">
        <v>1621</v>
      </c>
      <c r="AF6" s="127" t="s">
        <v>1618</v>
      </c>
      <c r="AG6" s="130" t="s">
        <v>1619</v>
      </c>
      <c r="AH6" s="129" t="s">
        <v>1621</v>
      </c>
      <c r="AI6" s="127" t="s">
        <v>1618</v>
      </c>
      <c r="AJ6" s="128" t="s">
        <v>1619</v>
      </c>
      <c r="AK6" s="129" t="s">
        <v>1621</v>
      </c>
      <c r="AL6" s="127" t="s">
        <v>1618</v>
      </c>
      <c r="AM6" s="128" t="s">
        <v>1619</v>
      </c>
      <c r="AN6" s="129" t="s">
        <v>1621</v>
      </c>
      <c r="AO6" s="127" t="s">
        <v>1618</v>
      </c>
      <c r="AP6" s="128" t="s">
        <v>1619</v>
      </c>
      <c r="AQ6" s="129" t="s">
        <v>1621</v>
      </c>
    </row>
    <row r="7" spans="1:43">
      <c r="A7" s="131" t="s">
        <v>1622</v>
      </c>
      <c r="B7" s="132">
        <v>45117</v>
      </c>
      <c r="C7" s="133">
        <v>45117</v>
      </c>
      <c r="D7" s="134">
        <v>1</v>
      </c>
      <c r="E7" s="132">
        <v>45110</v>
      </c>
      <c r="F7" s="133">
        <v>45114</v>
      </c>
      <c r="G7" s="134">
        <v>5</v>
      </c>
      <c r="H7" s="665">
        <v>45292</v>
      </c>
      <c r="I7" s="666">
        <v>45306</v>
      </c>
      <c r="J7" s="134">
        <v>10</v>
      </c>
      <c r="K7" s="132">
        <v>45089</v>
      </c>
      <c r="L7" s="133">
        <v>45100</v>
      </c>
      <c r="M7" s="134">
        <v>8</v>
      </c>
      <c r="N7" s="135"/>
      <c r="O7" s="135"/>
      <c r="P7" s="134"/>
      <c r="Q7" s="135">
        <v>45246</v>
      </c>
      <c r="R7" s="135">
        <v>45246</v>
      </c>
      <c r="S7" s="134">
        <v>1</v>
      </c>
      <c r="T7" s="667">
        <v>45292</v>
      </c>
      <c r="U7" s="667">
        <v>45306</v>
      </c>
      <c r="V7" s="134">
        <v>10</v>
      </c>
      <c r="W7" s="667">
        <v>45209</v>
      </c>
      <c r="X7" s="667">
        <v>45222</v>
      </c>
      <c r="Y7" s="134">
        <v>8</v>
      </c>
      <c r="Z7" s="132">
        <v>45110</v>
      </c>
      <c r="AA7" s="133">
        <v>45114</v>
      </c>
      <c r="AB7" s="134">
        <v>5</v>
      </c>
      <c r="AC7" s="292" t="s">
        <v>2936</v>
      </c>
      <c r="AD7" s="293" t="s">
        <v>2937</v>
      </c>
      <c r="AE7" s="134">
        <v>15</v>
      </c>
      <c r="AF7" s="132">
        <v>45251</v>
      </c>
      <c r="AG7" s="133">
        <v>45253</v>
      </c>
      <c r="AH7" s="134">
        <v>3</v>
      </c>
      <c r="AI7" s="132">
        <v>45254</v>
      </c>
      <c r="AJ7" s="133">
        <v>45257</v>
      </c>
      <c r="AK7" s="134">
        <v>2</v>
      </c>
      <c r="AL7" s="135">
        <v>45100</v>
      </c>
      <c r="AM7" s="135">
        <v>45107</v>
      </c>
      <c r="AN7" s="134">
        <v>6</v>
      </c>
      <c r="AO7" s="135">
        <v>45399</v>
      </c>
      <c r="AP7" s="135">
        <v>45401</v>
      </c>
      <c r="AQ7" s="134">
        <v>3</v>
      </c>
    </row>
    <row r="8" spans="1:43">
      <c r="A8" s="136"/>
      <c r="B8" s="663">
        <v>45292</v>
      </c>
      <c r="C8" s="664">
        <v>45305</v>
      </c>
      <c r="D8" s="134">
        <v>9</v>
      </c>
      <c r="E8" s="137">
        <v>45173</v>
      </c>
      <c r="F8" s="138">
        <v>45175</v>
      </c>
      <c r="G8" s="134">
        <v>3</v>
      </c>
      <c r="H8" s="663">
        <v>45314</v>
      </c>
      <c r="I8" s="664">
        <v>45322</v>
      </c>
      <c r="J8" s="134">
        <v>7</v>
      </c>
      <c r="K8" s="137">
        <v>45170</v>
      </c>
      <c r="L8" s="138">
        <v>45170</v>
      </c>
      <c r="M8" s="134">
        <v>1</v>
      </c>
      <c r="N8" s="137"/>
      <c r="O8" s="138"/>
      <c r="P8" s="134"/>
      <c r="Q8" s="137">
        <v>45254</v>
      </c>
      <c r="R8" s="138">
        <v>45254</v>
      </c>
      <c r="S8" s="134">
        <v>1</v>
      </c>
      <c r="T8" s="663">
        <v>45117</v>
      </c>
      <c r="U8" s="664">
        <v>45122</v>
      </c>
      <c r="V8" s="134">
        <v>5</v>
      </c>
      <c r="W8" s="663">
        <v>45307</v>
      </c>
      <c r="X8" s="664">
        <v>45322</v>
      </c>
      <c r="Y8" s="134">
        <v>12</v>
      </c>
      <c r="Z8" s="137">
        <v>45131</v>
      </c>
      <c r="AA8" s="138">
        <v>45132</v>
      </c>
      <c r="AB8" s="134">
        <v>2</v>
      </c>
      <c r="AC8" s="137"/>
      <c r="AD8" s="138"/>
      <c r="AE8" s="134"/>
      <c r="AF8" s="137"/>
      <c r="AG8" s="138"/>
      <c r="AH8" s="134"/>
      <c r="AI8" s="137"/>
      <c r="AJ8" s="138"/>
      <c r="AK8" s="134"/>
      <c r="AL8" s="137"/>
      <c r="AM8" s="138"/>
      <c r="AN8" s="134"/>
      <c r="AO8" s="137"/>
      <c r="AP8" s="138"/>
      <c r="AQ8" s="134"/>
    </row>
    <row r="9" spans="1:43">
      <c r="A9" s="136"/>
      <c r="B9" s="663">
        <v>45117</v>
      </c>
      <c r="C9" s="664">
        <v>45130</v>
      </c>
      <c r="D9" s="134">
        <v>10</v>
      </c>
      <c r="E9" s="137">
        <v>45239</v>
      </c>
      <c r="F9" s="138">
        <v>45244</v>
      </c>
      <c r="G9" s="134">
        <v>4</v>
      </c>
      <c r="H9" s="663">
        <v>45124</v>
      </c>
      <c r="I9" s="664">
        <v>45130</v>
      </c>
      <c r="J9" s="134">
        <v>5</v>
      </c>
      <c r="K9" s="663">
        <v>45292</v>
      </c>
      <c r="L9" s="664">
        <v>45313</v>
      </c>
      <c r="M9" s="134">
        <v>15</v>
      </c>
      <c r="N9" s="137"/>
      <c r="O9" s="138"/>
      <c r="P9" s="134"/>
      <c r="Q9" s="663">
        <v>45292</v>
      </c>
      <c r="R9" s="664">
        <v>45322</v>
      </c>
      <c r="S9" s="134">
        <v>22</v>
      </c>
      <c r="T9" s="663">
        <v>45125</v>
      </c>
      <c r="U9" s="664">
        <v>45130</v>
      </c>
      <c r="V9" s="134">
        <v>4</v>
      </c>
      <c r="W9" s="663">
        <v>45117</v>
      </c>
      <c r="X9" s="664">
        <v>45124</v>
      </c>
      <c r="Y9" s="134">
        <v>6</v>
      </c>
      <c r="Z9" s="137"/>
      <c r="AA9" s="138"/>
      <c r="AB9" s="134"/>
      <c r="AC9" s="137"/>
      <c r="AD9" s="138"/>
      <c r="AE9" s="134"/>
      <c r="AF9" s="137"/>
      <c r="AG9" s="138"/>
      <c r="AH9" s="134"/>
      <c r="AI9" s="137"/>
      <c r="AJ9" s="138"/>
      <c r="AK9" s="134"/>
      <c r="AL9" s="137"/>
      <c r="AM9" s="138"/>
      <c r="AN9" s="134"/>
      <c r="AO9" s="137"/>
      <c r="AP9" s="138"/>
      <c r="AQ9" s="134"/>
    </row>
    <row r="10" spans="1:43">
      <c r="A10" s="139"/>
      <c r="B10" s="137"/>
      <c r="C10" s="138"/>
      <c r="D10" s="134"/>
      <c r="E10" s="137">
        <v>45282</v>
      </c>
      <c r="F10" s="138">
        <v>45282</v>
      </c>
      <c r="G10" s="134">
        <v>1</v>
      </c>
      <c r="H10" s="137"/>
      <c r="I10" s="138"/>
      <c r="J10" s="134"/>
      <c r="K10" s="663">
        <v>45123</v>
      </c>
      <c r="L10" s="664">
        <v>45130</v>
      </c>
      <c r="M10" s="134">
        <v>5</v>
      </c>
      <c r="N10" s="137"/>
      <c r="O10" s="138"/>
      <c r="P10" s="134"/>
      <c r="Q10" s="663">
        <v>45117</v>
      </c>
      <c r="R10" s="664">
        <v>45130</v>
      </c>
      <c r="S10" s="134">
        <v>10</v>
      </c>
      <c r="T10" s="137"/>
      <c r="U10" s="138"/>
      <c r="V10" s="134"/>
      <c r="W10" s="137"/>
      <c r="X10" s="138"/>
      <c r="Y10" s="134"/>
      <c r="Z10" s="137"/>
      <c r="AA10" s="138"/>
      <c r="AB10" s="134"/>
      <c r="AC10" s="137"/>
      <c r="AD10" s="138"/>
      <c r="AE10" s="134"/>
      <c r="AF10" s="137"/>
      <c r="AG10" s="138"/>
      <c r="AH10" s="134"/>
      <c r="AI10" s="137"/>
      <c r="AJ10" s="138"/>
      <c r="AK10" s="134"/>
      <c r="AL10" s="137"/>
      <c r="AM10" s="138"/>
      <c r="AN10" s="134"/>
      <c r="AO10" s="137"/>
      <c r="AP10" s="138"/>
      <c r="AQ10" s="134"/>
    </row>
    <row r="11" spans="1:43">
      <c r="A11" s="139"/>
      <c r="B11" s="137"/>
      <c r="C11" s="138"/>
      <c r="D11" s="134"/>
      <c r="E11" s="137"/>
      <c r="F11" s="138"/>
      <c r="G11" s="134"/>
      <c r="H11" s="137"/>
      <c r="I11" s="138"/>
      <c r="J11" s="134"/>
      <c r="K11" s="137"/>
      <c r="L11" s="138"/>
      <c r="M11" s="134"/>
      <c r="N11" s="137"/>
      <c r="O11" s="138"/>
      <c r="P11" s="134"/>
      <c r="Q11" s="137"/>
      <c r="R11" s="138"/>
      <c r="S11" s="134"/>
      <c r="T11" s="137"/>
      <c r="U11" s="138"/>
      <c r="V11" s="134"/>
      <c r="W11" s="137"/>
      <c r="X11" s="138"/>
      <c r="Y11" s="134"/>
      <c r="Z11" s="137"/>
      <c r="AA11" s="138"/>
      <c r="AB11" s="134"/>
      <c r="AC11" s="137"/>
      <c r="AD11" s="138"/>
      <c r="AE11" s="134"/>
      <c r="AF11" s="137"/>
      <c r="AG11" s="138"/>
      <c r="AH11" s="134"/>
      <c r="AI11" s="137"/>
      <c r="AJ11" s="138"/>
      <c r="AK11" s="134"/>
      <c r="AL11" s="137"/>
      <c r="AM11" s="138"/>
      <c r="AN11" s="134"/>
      <c r="AO11" s="137"/>
      <c r="AP11" s="138"/>
      <c r="AQ11" s="134"/>
    </row>
    <row r="12" spans="1:43">
      <c r="A12" s="139"/>
      <c r="B12" s="137"/>
      <c r="C12" s="138"/>
      <c r="D12" s="134"/>
      <c r="E12" s="663">
        <v>45307</v>
      </c>
      <c r="F12" s="664">
        <v>45322</v>
      </c>
      <c r="G12" s="134">
        <v>12</v>
      </c>
      <c r="H12" s="137"/>
      <c r="I12" s="138"/>
      <c r="J12" s="134"/>
      <c r="K12" s="137"/>
      <c r="L12" s="138"/>
      <c r="M12" s="134"/>
      <c r="N12" s="137"/>
      <c r="O12" s="138"/>
      <c r="P12" s="134"/>
      <c r="Q12" s="137"/>
      <c r="R12" s="138"/>
      <c r="S12" s="134"/>
      <c r="T12" s="137"/>
      <c r="U12" s="138"/>
      <c r="V12" s="134"/>
      <c r="W12" s="137">
        <v>45356</v>
      </c>
      <c r="X12" s="138">
        <v>45357</v>
      </c>
      <c r="Y12" s="134">
        <v>2</v>
      </c>
      <c r="Z12" s="137"/>
      <c r="AA12" s="138"/>
      <c r="AB12" s="134"/>
      <c r="AC12" s="137"/>
      <c r="AD12" s="138"/>
      <c r="AE12" s="134"/>
      <c r="AF12" s="137"/>
      <c r="AG12" s="138"/>
      <c r="AH12" s="134"/>
      <c r="AI12" s="137"/>
      <c r="AJ12" s="138"/>
      <c r="AK12" s="134"/>
      <c r="AL12" s="137"/>
      <c r="AM12" s="138"/>
      <c r="AN12" s="134"/>
      <c r="AO12" s="137"/>
      <c r="AP12" s="138"/>
      <c r="AQ12" s="134"/>
    </row>
    <row r="13" spans="1:43">
      <c r="A13" s="139"/>
      <c r="B13" s="137"/>
      <c r="C13" s="138"/>
      <c r="D13" s="134"/>
      <c r="E13" s="137"/>
      <c r="F13" s="138"/>
      <c r="G13" s="134"/>
      <c r="H13" s="137"/>
      <c r="I13" s="138"/>
      <c r="J13" s="134"/>
      <c r="K13" s="137">
        <v>45385</v>
      </c>
      <c r="L13" s="138">
        <v>45387</v>
      </c>
      <c r="M13" s="134">
        <v>3</v>
      </c>
      <c r="N13" s="137"/>
      <c r="O13" s="138"/>
      <c r="P13" s="134"/>
      <c r="Q13" s="137"/>
      <c r="R13" s="138"/>
      <c r="S13" s="134"/>
      <c r="T13" s="137"/>
      <c r="U13" s="138"/>
      <c r="V13" s="134"/>
      <c r="W13" s="137">
        <v>45376</v>
      </c>
      <c r="X13" s="138">
        <v>45376</v>
      </c>
      <c r="Y13" s="134">
        <v>1</v>
      </c>
      <c r="Z13" s="137"/>
      <c r="AA13" s="138"/>
      <c r="AB13" s="134"/>
      <c r="AC13" s="137"/>
      <c r="AD13" s="138"/>
      <c r="AE13" s="134"/>
      <c r="AF13" s="137"/>
      <c r="AG13" s="138"/>
      <c r="AH13" s="134"/>
      <c r="AI13" s="137"/>
      <c r="AJ13" s="138"/>
      <c r="AK13" s="134"/>
      <c r="AL13" s="137"/>
      <c r="AM13" s="138"/>
      <c r="AN13" s="134"/>
      <c r="AO13" s="137"/>
      <c r="AP13" s="138"/>
      <c r="AQ13" s="134"/>
    </row>
    <row r="14" spans="1:43">
      <c r="A14" s="139"/>
      <c r="B14" s="137"/>
      <c r="C14" s="138"/>
      <c r="D14" s="134"/>
      <c r="E14" s="137"/>
      <c r="F14" s="138"/>
      <c r="G14" s="134"/>
      <c r="H14" s="137"/>
      <c r="I14" s="138"/>
      <c r="J14" s="134"/>
      <c r="K14" s="137"/>
      <c r="L14" s="138"/>
      <c r="M14" s="134"/>
      <c r="N14" s="137"/>
      <c r="O14" s="138"/>
      <c r="P14" s="134"/>
      <c r="Q14" s="137"/>
      <c r="R14" s="138"/>
      <c r="S14" s="134"/>
      <c r="T14" s="137"/>
      <c r="U14" s="138"/>
      <c r="V14" s="134"/>
      <c r="W14" s="137"/>
      <c r="X14" s="138"/>
      <c r="Y14" s="134"/>
      <c r="Z14" s="137"/>
      <c r="AA14" s="138"/>
      <c r="AB14" s="134"/>
      <c r="AC14" s="137"/>
      <c r="AD14" s="138"/>
      <c r="AE14" s="134"/>
      <c r="AF14" s="137"/>
      <c r="AG14" s="138"/>
      <c r="AH14" s="134"/>
      <c r="AI14" s="137"/>
      <c r="AJ14" s="138"/>
      <c r="AK14" s="134"/>
      <c r="AL14" s="137"/>
      <c r="AM14" s="138"/>
      <c r="AN14" s="134"/>
      <c r="AO14" s="137"/>
      <c r="AP14" s="138"/>
      <c r="AQ14" s="134"/>
    </row>
    <row r="15" spans="1:43">
      <c r="A15" s="139"/>
      <c r="B15" s="137"/>
      <c r="C15" s="138"/>
      <c r="D15" s="134"/>
      <c r="E15" s="137">
        <v>45394</v>
      </c>
      <c r="F15" s="138">
        <v>45401</v>
      </c>
      <c r="G15" s="134">
        <v>6</v>
      </c>
      <c r="H15" s="137"/>
      <c r="I15" s="138"/>
      <c r="J15" s="134"/>
      <c r="K15" s="137"/>
      <c r="L15" s="138"/>
      <c r="M15" s="134"/>
      <c r="N15" s="137"/>
      <c r="O15" s="138"/>
      <c r="P15" s="134"/>
      <c r="Q15" s="137"/>
      <c r="R15" s="138"/>
      <c r="S15" s="134"/>
      <c r="T15" s="137"/>
      <c r="U15" s="138"/>
      <c r="V15" s="134"/>
      <c r="W15" s="137"/>
      <c r="X15" s="138"/>
      <c r="Y15" s="134"/>
      <c r="Z15" s="137"/>
      <c r="AA15" s="138"/>
      <c r="AB15" s="134"/>
      <c r="AC15" s="137"/>
      <c r="AD15" s="138"/>
      <c r="AE15" s="134"/>
      <c r="AF15" s="137"/>
      <c r="AG15" s="138"/>
      <c r="AH15" s="134"/>
      <c r="AI15" s="137"/>
      <c r="AJ15" s="138"/>
      <c r="AK15" s="134"/>
      <c r="AL15" s="137"/>
      <c r="AM15" s="138"/>
      <c r="AN15" s="134"/>
      <c r="AO15" s="137"/>
      <c r="AP15" s="138"/>
      <c r="AQ15" s="134"/>
    </row>
    <row r="16" spans="1:43">
      <c r="A16" s="139"/>
      <c r="B16" s="137"/>
      <c r="C16" s="138"/>
      <c r="D16" s="134"/>
      <c r="E16" s="137"/>
      <c r="F16" s="138"/>
      <c r="G16" s="134"/>
      <c r="H16" s="137"/>
      <c r="I16" s="138"/>
      <c r="J16" s="134"/>
      <c r="K16" s="137"/>
      <c r="L16" s="138"/>
      <c r="M16" s="134"/>
      <c r="N16" s="137"/>
      <c r="O16" s="138"/>
      <c r="P16" s="134"/>
      <c r="Q16" s="137"/>
      <c r="R16" s="138"/>
      <c r="S16" s="134"/>
      <c r="T16" s="137"/>
      <c r="U16" s="138"/>
      <c r="V16" s="134"/>
      <c r="W16" s="137"/>
      <c r="X16" s="138"/>
      <c r="Y16" s="134"/>
      <c r="Z16" s="137"/>
      <c r="AA16" s="138"/>
      <c r="AB16" s="134"/>
      <c r="AC16" s="137"/>
      <c r="AD16" s="138"/>
      <c r="AE16" s="134"/>
      <c r="AF16" s="137"/>
      <c r="AG16" s="138"/>
      <c r="AH16" s="134"/>
      <c r="AI16" s="137"/>
      <c r="AJ16" s="138"/>
      <c r="AK16" s="134"/>
      <c r="AL16" s="137"/>
      <c r="AM16" s="138"/>
      <c r="AN16" s="134"/>
      <c r="AO16" s="137"/>
      <c r="AP16" s="138"/>
      <c r="AQ16" s="134"/>
    </row>
    <row r="17" spans="1:61">
      <c r="A17" s="139"/>
      <c r="B17" s="137"/>
      <c r="C17" s="138"/>
      <c r="D17" s="134"/>
      <c r="E17" s="137"/>
      <c r="F17" s="138"/>
      <c r="G17" s="134"/>
      <c r="H17" s="137"/>
      <c r="I17" s="138"/>
      <c r="J17" s="134"/>
      <c r="K17" s="137"/>
      <c r="L17" s="138"/>
      <c r="M17" s="134"/>
      <c r="N17" s="137"/>
      <c r="O17" s="138"/>
      <c r="P17" s="134"/>
      <c r="Q17" s="137"/>
      <c r="R17" s="138"/>
      <c r="S17" s="134"/>
      <c r="T17" s="137"/>
      <c r="U17" s="138"/>
      <c r="V17" s="134"/>
      <c r="W17" s="137"/>
      <c r="X17" s="138"/>
      <c r="Y17" s="134"/>
      <c r="Z17" s="137"/>
      <c r="AA17" s="138"/>
      <c r="AB17" s="134"/>
      <c r="AC17" s="137"/>
      <c r="AD17" s="138"/>
      <c r="AE17" s="134"/>
      <c r="AF17" s="137"/>
      <c r="AG17" s="138"/>
      <c r="AH17" s="134"/>
      <c r="AI17" s="137"/>
      <c r="AJ17" s="138"/>
      <c r="AK17" s="134"/>
      <c r="AL17" s="137"/>
      <c r="AM17" s="138"/>
      <c r="AN17" s="134"/>
      <c r="AO17" s="137"/>
      <c r="AP17" s="138"/>
      <c r="AQ17" s="134"/>
    </row>
    <row r="18" spans="1:61">
      <c r="A18" s="139"/>
      <c r="B18" s="137"/>
      <c r="C18" s="138"/>
      <c r="D18" s="134"/>
      <c r="E18" s="137"/>
      <c r="F18" s="138"/>
      <c r="G18" s="134"/>
      <c r="H18" s="137"/>
      <c r="I18" s="138"/>
      <c r="J18" s="134"/>
      <c r="K18" s="137"/>
      <c r="L18" s="138"/>
      <c r="M18" s="134"/>
      <c r="N18" s="137"/>
      <c r="O18" s="138"/>
      <c r="P18" s="134"/>
      <c r="Q18" s="137"/>
      <c r="R18" s="138"/>
      <c r="S18" s="134"/>
      <c r="T18" s="137"/>
      <c r="U18" s="138"/>
      <c r="V18" s="134"/>
      <c r="W18" s="137"/>
      <c r="X18" s="138"/>
      <c r="Y18" s="134"/>
      <c r="Z18" s="137"/>
      <c r="AA18" s="138"/>
      <c r="AB18" s="134"/>
      <c r="AC18" s="137"/>
      <c r="AD18" s="138"/>
      <c r="AE18" s="134"/>
      <c r="AF18" s="137"/>
      <c r="AG18" s="138"/>
      <c r="AH18" s="134"/>
      <c r="AI18" s="137"/>
      <c r="AJ18" s="138"/>
      <c r="AK18" s="134"/>
      <c r="AL18" s="137"/>
      <c r="AM18" s="138"/>
      <c r="AN18" s="134"/>
      <c r="AO18" s="137"/>
      <c r="AP18" s="138"/>
      <c r="AQ18" s="134"/>
    </row>
    <row r="19" spans="1:61">
      <c r="A19" s="139"/>
      <c r="B19" s="137"/>
      <c r="C19" s="138"/>
      <c r="D19" s="134"/>
      <c r="E19" s="137"/>
      <c r="F19" s="138"/>
      <c r="G19" s="134"/>
      <c r="H19" s="137"/>
      <c r="I19" s="138"/>
      <c r="J19" s="134"/>
      <c r="K19" s="137"/>
      <c r="L19" s="138"/>
      <c r="M19" s="134"/>
      <c r="N19" s="137"/>
      <c r="O19" s="138"/>
      <c r="P19" s="134"/>
      <c r="Q19" s="137"/>
      <c r="R19" s="138"/>
      <c r="S19" s="134"/>
      <c r="T19" s="137"/>
      <c r="U19" s="138"/>
      <c r="V19" s="134"/>
      <c r="W19" s="137"/>
      <c r="X19" s="138"/>
      <c r="Y19" s="134"/>
      <c r="Z19" s="137"/>
      <c r="AA19" s="138"/>
      <c r="AB19" s="134"/>
      <c r="AC19" s="137"/>
      <c r="AD19" s="138"/>
      <c r="AE19" s="134"/>
      <c r="AF19" s="137"/>
      <c r="AG19" s="138"/>
      <c r="AH19" s="134"/>
      <c r="AI19" s="137"/>
      <c r="AJ19" s="138"/>
      <c r="AK19" s="134"/>
      <c r="AL19" s="137"/>
      <c r="AM19" s="138"/>
      <c r="AN19" s="134"/>
      <c r="AO19" s="137"/>
      <c r="AP19" s="138"/>
      <c r="AQ19" s="134"/>
    </row>
    <row r="20" spans="1:61">
      <c r="A20" s="139"/>
      <c r="B20" s="137"/>
      <c r="C20" s="138"/>
      <c r="D20" s="134"/>
      <c r="E20" s="137"/>
      <c r="F20" s="138"/>
      <c r="G20" s="134"/>
      <c r="H20" s="137"/>
      <c r="I20" s="138"/>
      <c r="J20" s="134"/>
      <c r="K20" s="137"/>
      <c r="L20" s="138"/>
      <c r="M20" s="134"/>
      <c r="N20" s="137"/>
      <c r="O20" s="138"/>
      <c r="P20" s="134"/>
      <c r="Q20" s="137"/>
      <c r="R20" s="138"/>
      <c r="S20" s="134"/>
      <c r="T20" s="137"/>
      <c r="U20" s="138"/>
      <c r="V20" s="134"/>
      <c r="W20" s="137"/>
      <c r="X20" s="138"/>
      <c r="Y20" s="134"/>
      <c r="Z20" s="137"/>
      <c r="AA20" s="138"/>
      <c r="AB20" s="134"/>
      <c r="AC20" s="137"/>
      <c r="AD20" s="138"/>
      <c r="AE20" s="134"/>
      <c r="AF20" s="137"/>
      <c r="AG20" s="138"/>
      <c r="AH20" s="134"/>
      <c r="AI20" s="137"/>
      <c r="AJ20" s="138"/>
      <c r="AK20" s="134"/>
      <c r="AL20" s="137"/>
      <c r="AM20" s="138"/>
      <c r="AN20" s="134"/>
      <c r="AO20" s="137"/>
      <c r="AP20" s="138"/>
      <c r="AQ20" s="134"/>
    </row>
    <row r="21" spans="1:61" ht="13.8" thickBot="1">
      <c r="A21" s="140"/>
      <c r="B21" s="141"/>
      <c r="C21" s="142"/>
      <c r="D21" s="143"/>
      <c r="E21" s="141"/>
      <c r="F21" s="142"/>
      <c r="G21" s="144"/>
      <c r="H21" s="141"/>
      <c r="I21" s="142"/>
      <c r="J21" s="144"/>
      <c r="K21" s="141"/>
      <c r="L21" s="142"/>
      <c r="M21" s="144"/>
      <c r="N21" s="141"/>
      <c r="O21" s="142"/>
      <c r="P21" s="144"/>
      <c r="Q21" s="141"/>
      <c r="R21" s="142"/>
      <c r="S21" s="144"/>
      <c r="T21" s="141"/>
      <c r="U21" s="142"/>
      <c r="V21" s="144"/>
      <c r="W21" s="141"/>
      <c r="X21" s="142"/>
      <c r="Y21" s="144"/>
      <c r="Z21" s="141"/>
      <c r="AA21" s="142"/>
      <c r="AB21" s="145"/>
      <c r="AC21" s="141"/>
      <c r="AD21" s="142"/>
      <c r="AE21" s="144"/>
      <c r="AF21" s="141"/>
      <c r="AG21" s="142"/>
      <c r="AH21" s="144"/>
      <c r="AI21" s="141"/>
      <c r="AJ21" s="142"/>
      <c r="AK21" s="144"/>
      <c r="AL21" s="141"/>
      <c r="AM21" s="142"/>
      <c r="AN21" s="144"/>
      <c r="AO21" s="141"/>
      <c r="AP21" s="142"/>
      <c r="AQ21" s="144"/>
    </row>
    <row r="22" spans="1:61" ht="13.8" thickBot="1">
      <c r="A22" s="146" t="s">
        <v>370</v>
      </c>
      <c r="D22" s="147">
        <f>SUM(D7:D21)</f>
        <v>20</v>
      </c>
      <c r="G22" s="147">
        <f>SUM(G7:G21)</f>
        <v>31</v>
      </c>
      <c r="J22" s="147">
        <f>SUM(J7:J21)</f>
        <v>22</v>
      </c>
      <c r="M22" s="147">
        <f>SUM(M7:M21)</f>
        <v>32</v>
      </c>
      <c r="P22" s="147">
        <f>SUM(P7:P21)</f>
        <v>0</v>
      </c>
      <c r="S22" s="147">
        <f>SUM(S7:S21)</f>
        <v>34</v>
      </c>
      <c r="V22" s="147">
        <f>SUM(V7:V21)</f>
        <v>19</v>
      </c>
      <c r="Y22" s="147">
        <f>SUM(Y7:Y21)</f>
        <v>29</v>
      </c>
      <c r="AB22" s="92">
        <f>SUM(AB7:AB21)</f>
        <v>7</v>
      </c>
      <c r="AE22" s="147">
        <f>SUM(AE7:AE21)</f>
        <v>15</v>
      </c>
      <c r="AH22" s="147">
        <f>SUM(AH7:AH21)</f>
        <v>3</v>
      </c>
      <c r="AK22" s="147">
        <f>SUM(AK7:AK21)</f>
        <v>2</v>
      </c>
      <c r="AN22" s="147">
        <f>SUM(AN7:AN21)</f>
        <v>6</v>
      </c>
      <c r="AQ22" s="147">
        <f>SUM(AQ7:AQ21)</f>
        <v>3</v>
      </c>
    </row>
    <row r="26" spans="1:61" ht="13.8" thickBot="1"/>
    <row r="27" spans="1:61">
      <c r="A27" s="148" t="s">
        <v>1623</v>
      </c>
      <c r="B27" s="123" t="s">
        <v>43</v>
      </c>
      <c r="C27" s="121"/>
      <c r="D27" s="122"/>
      <c r="E27" s="123" t="s">
        <v>5824</v>
      </c>
      <c r="F27" s="121"/>
      <c r="G27" s="122"/>
      <c r="H27" s="123" t="s">
        <v>29</v>
      </c>
      <c r="I27" s="121"/>
      <c r="J27" s="122"/>
      <c r="K27" s="123" t="s">
        <v>283</v>
      </c>
      <c r="L27" s="121"/>
      <c r="M27" s="122"/>
      <c r="N27" s="123" t="s">
        <v>32</v>
      </c>
      <c r="O27" s="121"/>
      <c r="P27" s="122"/>
      <c r="Q27" s="123" t="s">
        <v>1433</v>
      </c>
      <c r="R27" s="121"/>
      <c r="S27" s="122"/>
      <c r="T27" s="120" t="s">
        <v>568</v>
      </c>
      <c r="U27" s="124"/>
      <c r="V27" s="125"/>
      <c r="W27" s="123" t="s">
        <v>1434</v>
      </c>
      <c r="X27" s="121"/>
      <c r="Y27" s="122"/>
      <c r="Z27" s="120" t="s">
        <v>1435</v>
      </c>
      <c r="AA27" s="124"/>
      <c r="AB27" s="125"/>
      <c r="AC27" s="120" t="s">
        <v>2751</v>
      </c>
      <c r="AD27" s="124"/>
      <c r="AE27" s="125"/>
      <c r="AF27" s="120" t="s">
        <v>2752</v>
      </c>
      <c r="AG27" s="124"/>
      <c r="AH27" s="125"/>
      <c r="AI27" s="120" t="s">
        <v>2753</v>
      </c>
      <c r="AJ27" s="124"/>
      <c r="AK27" s="125"/>
      <c r="AL27" s="120" t="s">
        <v>2766</v>
      </c>
      <c r="AM27" s="124"/>
      <c r="AN27" s="125"/>
      <c r="AO27" s="120" t="s">
        <v>2815</v>
      </c>
      <c r="AP27" s="124"/>
      <c r="AQ27" s="125"/>
      <c r="AR27" s="120" t="s">
        <v>3757</v>
      </c>
      <c r="AS27" s="124"/>
      <c r="AT27" s="125"/>
      <c r="AU27" s="120" t="s">
        <v>3758</v>
      </c>
      <c r="AV27" s="124"/>
      <c r="AW27" s="125"/>
      <c r="AX27" s="120" t="s">
        <v>3759</v>
      </c>
      <c r="AY27" s="124"/>
      <c r="AZ27" s="125"/>
      <c r="BA27" s="120" t="s">
        <v>3760</v>
      </c>
      <c r="BB27" s="124"/>
      <c r="BC27" s="125"/>
      <c r="BD27" s="120" t="s">
        <v>5710</v>
      </c>
      <c r="BE27" s="124"/>
      <c r="BF27" s="125"/>
      <c r="BG27" s="120"/>
      <c r="BH27" s="124"/>
      <c r="BI27" s="125"/>
    </row>
    <row r="28" spans="1:61" ht="13.8" thickBot="1">
      <c r="A28" s="126" t="s">
        <v>1624</v>
      </c>
      <c r="B28" s="127" t="s">
        <v>1618</v>
      </c>
      <c r="C28" s="128" t="s">
        <v>1619</v>
      </c>
      <c r="D28" s="129" t="s">
        <v>1620</v>
      </c>
      <c r="E28" s="127" t="s">
        <v>1618</v>
      </c>
      <c r="F28" s="128" t="s">
        <v>1619</v>
      </c>
      <c r="G28" s="129" t="s">
        <v>1621</v>
      </c>
      <c r="H28" s="127" t="s">
        <v>1618</v>
      </c>
      <c r="I28" s="130" t="s">
        <v>1619</v>
      </c>
      <c r="J28" s="149" t="s">
        <v>1621</v>
      </c>
      <c r="K28" s="127" t="s">
        <v>1618</v>
      </c>
      <c r="L28" s="128" t="s">
        <v>1619</v>
      </c>
      <c r="M28" s="129" t="s">
        <v>1621</v>
      </c>
      <c r="N28" s="127" t="s">
        <v>1618</v>
      </c>
      <c r="O28" s="128" t="s">
        <v>1619</v>
      </c>
      <c r="P28" s="129" t="s">
        <v>1621</v>
      </c>
      <c r="Q28" s="127" t="s">
        <v>1618</v>
      </c>
      <c r="R28" s="128" t="s">
        <v>1619</v>
      </c>
      <c r="S28" s="129" t="s">
        <v>1621</v>
      </c>
      <c r="T28" s="127" t="s">
        <v>1618</v>
      </c>
      <c r="U28" s="128" t="s">
        <v>1619</v>
      </c>
      <c r="V28" s="129" t="s">
        <v>1621</v>
      </c>
      <c r="W28" s="127" t="s">
        <v>1618</v>
      </c>
      <c r="X28" s="128" t="s">
        <v>1619</v>
      </c>
      <c r="Y28" s="129" t="s">
        <v>1621</v>
      </c>
      <c r="Z28" s="127" t="s">
        <v>1618</v>
      </c>
      <c r="AA28" s="128" t="s">
        <v>1619</v>
      </c>
      <c r="AB28" s="129" t="s">
        <v>1620</v>
      </c>
      <c r="AC28" s="127" t="s">
        <v>1618</v>
      </c>
      <c r="AD28" s="128" t="s">
        <v>1619</v>
      </c>
      <c r="AE28" s="129" t="s">
        <v>1620</v>
      </c>
      <c r="AF28" s="127" t="s">
        <v>1618</v>
      </c>
      <c r="AG28" s="128" t="s">
        <v>1619</v>
      </c>
      <c r="AH28" s="129" t="s">
        <v>1620</v>
      </c>
      <c r="AI28" s="127" t="s">
        <v>1618</v>
      </c>
      <c r="AJ28" s="128" t="s">
        <v>1619</v>
      </c>
      <c r="AK28" s="129" t="s">
        <v>1620</v>
      </c>
      <c r="AL28" s="127" t="s">
        <v>1618</v>
      </c>
      <c r="AM28" s="128" t="s">
        <v>1619</v>
      </c>
      <c r="AN28" s="129" t="s">
        <v>1620</v>
      </c>
      <c r="AO28" s="127" t="s">
        <v>1618</v>
      </c>
      <c r="AP28" s="128" t="s">
        <v>1619</v>
      </c>
      <c r="AQ28" s="129" t="s">
        <v>1620</v>
      </c>
      <c r="AR28" s="127" t="s">
        <v>1618</v>
      </c>
      <c r="AS28" s="128" t="s">
        <v>1619</v>
      </c>
      <c r="AT28" s="129" t="s">
        <v>1620</v>
      </c>
      <c r="AU28" s="127" t="s">
        <v>1618</v>
      </c>
      <c r="AV28" s="128" t="s">
        <v>1619</v>
      </c>
      <c r="AW28" s="129" t="s">
        <v>1620</v>
      </c>
      <c r="AX28" s="127" t="s">
        <v>1618</v>
      </c>
      <c r="AY28" s="128" t="s">
        <v>1619</v>
      </c>
      <c r="AZ28" s="129" t="s">
        <v>1620</v>
      </c>
      <c r="BA28" s="127" t="s">
        <v>1618</v>
      </c>
      <c r="BB28" s="128" t="s">
        <v>1619</v>
      </c>
      <c r="BC28" s="129" t="s">
        <v>1620</v>
      </c>
      <c r="BD28" s="127" t="s">
        <v>1618</v>
      </c>
      <c r="BE28" s="128" t="s">
        <v>1619</v>
      </c>
      <c r="BF28" s="129" t="s">
        <v>1620</v>
      </c>
      <c r="BG28" s="127" t="s">
        <v>1618</v>
      </c>
      <c r="BH28" s="128" t="s">
        <v>1619</v>
      </c>
      <c r="BI28" s="129" t="s">
        <v>1620</v>
      </c>
    </row>
    <row r="29" spans="1:61">
      <c r="A29" s="131">
        <v>0</v>
      </c>
      <c r="B29" s="132">
        <v>45160</v>
      </c>
      <c r="C29" s="133">
        <v>45160</v>
      </c>
      <c r="D29" s="134">
        <v>1</v>
      </c>
      <c r="E29" s="132"/>
      <c r="F29" s="133"/>
      <c r="G29" s="134"/>
      <c r="H29" s="132">
        <v>45181</v>
      </c>
      <c r="I29" s="133">
        <v>45181</v>
      </c>
      <c r="J29" s="134">
        <v>1</v>
      </c>
      <c r="K29" s="132">
        <v>45155</v>
      </c>
      <c r="L29" s="133">
        <v>45156</v>
      </c>
      <c r="M29" s="134">
        <v>2</v>
      </c>
      <c r="N29" s="135">
        <v>45160</v>
      </c>
      <c r="O29" s="135">
        <v>45160</v>
      </c>
      <c r="P29" s="134">
        <v>1</v>
      </c>
      <c r="Q29" s="135">
        <v>45107</v>
      </c>
      <c r="R29" s="135">
        <v>45110</v>
      </c>
      <c r="S29" s="134">
        <v>2</v>
      </c>
      <c r="T29" s="135">
        <v>45267</v>
      </c>
      <c r="U29" s="357">
        <v>45271</v>
      </c>
      <c r="V29" s="134">
        <v>2</v>
      </c>
      <c r="W29" s="135">
        <v>45181</v>
      </c>
      <c r="X29" s="135">
        <v>45181</v>
      </c>
      <c r="Y29" s="134">
        <v>1</v>
      </c>
      <c r="Z29" s="132">
        <v>45114</v>
      </c>
      <c r="AA29" s="133">
        <v>45114</v>
      </c>
      <c r="AB29" s="134">
        <v>1</v>
      </c>
      <c r="AC29" s="132"/>
      <c r="AD29" s="133"/>
      <c r="AE29" s="134"/>
      <c r="AF29" s="132">
        <v>45203</v>
      </c>
      <c r="AG29" s="133">
        <v>45205</v>
      </c>
      <c r="AH29" s="134">
        <v>3</v>
      </c>
      <c r="AI29" s="132">
        <v>45251</v>
      </c>
      <c r="AJ29" s="133">
        <v>45254</v>
      </c>
      <c r="AK29" s="134">
        <v>4</v>
      </c>
      <c r="AL29" s="132">
        <v>45217</v>
      </c>
      <c r="AM29" s="133">
        <v>45218</v>
      </c>
      <c r="AN29" s="134">
        <v>2</v>
      </c>
      <c r="AO29" s="132">
        <v>45246</v>
      </c>
      <c r="AP29" s="133">
        <v>45246</v>
      </c>
      <c r="AQ29" s="134">
        <v>1</v>
      </c>
      <c r="AR29" s="132">
        <v>45240</v>
      </c>
      <c r="AS29" s="293">
        <v>45243</v>
      </c>
      <c r="AT29" s="134">
        <v>2</v>
      </c>
      <c r="AU29" s="132">
        <v>45246</v>
      </c>
      <c r="AV29" s="133">
        <v>45246</v>
      </c>
      <c r="AW29" s="134">
        <v>1</v>
      </c>
      <c r="AX29" s="132">
        <v>45245</v>
      </c>
      <c r="AY29" s="133">
        <v>45254</v>
      </c>
      <c r="AZ29" s="134">
        <v>6</v>
      </c>
      <c r="BA29" s="132">
        <v>45259</v>
      </c>
      <c r="BB29" s="133">
        <v>45261</v>
      </c>
      <c r="BC29" s="134">
        <v>3</v>
      </c>
      <c r="BD29" s="132">
        <v>45343</v>
      </c>
      <c r="BE29" s="133">
        <v>45343</v>
      </c>
      <c r="BF29" s="134">
        <v>1</v>
      </c>
      <c r="BG29" s="132"/>
      <c r="BH29" s="133"/>
      <c r="BI29" s="134"/>
    </row>
    <row r="30" spans="1:61">
      <c r="A30" s="136"/>
      <c r="B30" s="137">
        <v>45166</v>
      </c>
      <c r="C30" s="138">
        <v>45166</v>
      </c>
      <c r="D30" s="134">
        <v>1</v>
      </c>
      <c r="E30" s="137"/>
      <c r="F30" s="138"/>
      <c r="G30" s="134"/>
      <c r="H30" s="137">
        <v>45287</v>
      </c>
      <c r="I30" s="138">
        <v>45289</v>
      </c>
      <c r="J30" s="134">
        <v>3</v>
      </c>
      <c r="K30" s="137">
        <v>45286</v>
      </c>
      <c r="L30" s="138">
        <v>45289</v>
      </c>
      <c r="M30" s="134">
        <v>4</v>
      </c>
      <c r="N30" s="137">
        <v>45166</v>
      </c>
      <c r="O30" s="138">
        <v>45166</v>
      </c>
      <c r="P30" s="134">
        <v>1</v>
      </c>
      <c r="Q30" s="137">
        <v>45257</v>
      </c>
      <c r="R30" s="138">
        <v>45257</v>
      </c>
      <c r="S30" s="134">
        <v>1</v>
      </c>
      <c r="T30" s="137">
        <v>45288</v>
      </c>
      <c r="U30" s="138">
        <v>45289</v>
      </c>
      <c r="V30" s="134">
        <v>2</v>
      </c>
      <c r="W30" s="137">
        <v>45203</v>
      </c>
      <c r="X30" s="138">
        <v>45205</v>
      </c>
      <c r="Y30" s="134">
        <v>3</v>
      </c>
      <c r="Z30" s="137">
        <v>45246</v>
      </c>
      <c r="AA30" s="138">
        <v>45246</v>
      </c>
      <c r="AB30" s="134">
        <v>1</v>
      </c>
      <c r="AC30" s="137"/>
      <c r="AD30" s="138"/>
      <c r="AE30" s="134"/>
      <c r="AF30" s="319" t="s">
        <v>3170</v>
      </c>
      <c r="AG30" s="138">
        <v>45252</v>
      </c>
      <c r="AH30" s="134">
        <v>13</v>
      </c>
      <c r="AI30" s="137"/>
      <c r="AJ30" s="138"/>
      <c r="AK30" s="134"/>
      <c r="AL30" s="137">
        <v>45223</v>
      </c>
      <c r="AM30" s="138">
        <v>45224</v>
      </c>
      <c r="AN30" s="134">
        <v>2</v>
      </c>
      <c r="AO30" s="137">
        <v>45287</v>
      </c>
      <c r="AP30" s="138">
        <v>45289</v>
      </c>
      <c r="AQ30" s="134">
        <v>3</v>
      </c>
      <c r="AR30" s="137">
        <v>45246</v>
      </c>
      <c r="AS30" s="138">
        <v>45251</v>
      </c>
      <c r="AT30" s="134">
        <v>2</v>
      </c>
      <c r="AU30" s="137"/>
      <c r="AV30" s="138"/>
      <c r="AW30" s="134"/>
      <c r="AX30" s="137"/>
      <c r="AY30" s="138"/>
      <c r="AZ30" s="134"/>
      <c r="BA30" s="137">
        <v>45282</v>
      </c>
      <c r="BB30" s="138">
        <v>45282</v>
      </c>
      <c r="BC30" s="134">
        <v>1</v>
      </c>
      <c r="BD30" s="137"/>
      <c r="BE30" s="138"/>
      <c r="BF30" s="134"/>
      <c r="BG30" s="137"/>
      <c r="BH30" s="138"/>
      <c r="BI30" s="134"/>
    </row>
    <row r="31" spans="1:61">
      <c r="A31" s="136"/>
      <c r="B31" s="137">
        <v>45161</v>
      </c>
      <c r="C31" s="138">
        <v>45161</v>
      </c>
      <c r="D31" s="134">
        <v>1</v>
      </c>
      <c r="E31" s="137"/>
      <c r="F31" s="138"/>
      <c r="G31" s="134"/>
      <c r="H31" s="137">
        <v>45251</v>
      </c>
      <c r="I31" s="138">
        <v>45254</v>
      </c>
      <c r="J31" s="134">
        <v>4</v>
      </c>
      <c r="K31" s="137"/>
      <c r="L31" s="138"/>
      <c r="M31" s="134"/>
      <c r="N31" s="137">
        <v>45180</v>
      </c>
      <c r="O31" s="138">
        <v>45181</v>
      </c>
      <c r="P31" s="134">
        <v>2</v>
      </c>
      <c r="Q31" s="137"/>
      <c r="R31" s="138"/>
      <c r="S31" s="134"/>
      <c r="T31" s="137">
        <v>45281</v>
      </c>
      <c r="U31" s="138">
        <v>45282</v>
      </c>
      <c r="V31" s="134">
        <v>2</v>
      </c>
      <c r="W31" s="137">
        <v>45217</v>
      </c>
      <c r="X31" s="138">
        <v>45218</v>
      </c>
      <c r="Y31" s="134">
        <v>2</v>
      </c>
      <c r="Z31" s="137">
        <v>45280</v>
      </c>
      <c r="AA31" s="138">
        <v>45282</v>
      </c>
      <c r="AB31" s="134">
        <v>3</v>
      </c>
      <c r="AC31" s="137"/>
      <c r="AD31" s="138"/>
      <c r="AE31" s="134"/>
      <c r="AF31" s="319">
        <v>45280</v>
      </c>
      <c r="AG31" s="138">
        <v>45281</v>
      </c>
      <c r="AH31" s="134">
        <v>2</v>
      </c>
      <c r="AI31" s="137"/>
      <c r="AJ31" s="138"/>
      <c r="AK31" s="134"/>
      <c r="AL31" s="137">
        <v>45286</v>
      </c>
      <c r="AM31" s="138">
        <v>45289</v>
      </c>
      <c r="AN31" s="134">
        <v>4</v>
      </c>
      <c r="AO31" s="137"/>
      <c r="AP31" s="138"/>
      <c r="AQ31" s="134"/>
      <c r="AR31" s="137">
        <v>45341</v>
      </c>
      <c r="AS31" s="138">
        <v>45341</v>
      </c>
      <c r="AT31" s="134">
        <v>1</v>
      </c>
      <c r="AU31" s="137"/>
      <c r="AV31" s="138"/>
      <c r="AW31" s="134"/>
      <c r="AX31" s="137"/>
      <c r="AY31" s="138"/>
      <c r="AZ31" s="134"/>
      <c r="BA31" s="137"/>
      <c r="BB31" s="138"/>
      <c r="BC31" s="134"/>
      <c r="BD31" s="137"/>
      <c r="BE31" s="138"/>
      <c r="BF31" s="134"/>
      <c r="BG31" s="137"/>
      <c r="BH31" s="138"/>
      <c r="BI31" s="134"/>
    </row>
    <row r="32" spans="1:61">
      <c r="A32" s="139"/>
      <c r="B32" s="137">
        <v>45216</v>
      </c>
      <c r="C32" s="138">
        <v>45217</v>
      </c>
      <c r="D32" s="134">
        <v>2</v>
      </c>
      <c r="E32" s="137"/>
      <c r="F32" s="138"/>
      <c r="G32" s="134"/>
      <c r="H32" s="137">
        <v>45358</v>
      </c>
      <c r="I32" s="138">
        <v>45359</v>
      </c>
      <c r="J32" s="134">
        <v>2</v>
      </c>
      <c r="K32" s="137"/>
      <c r="L32" s="138"/>
      <c r="M32" s="134"/>
      <c r="N32" s="137"/>
      <c r="O32" s="138"/>
      <c r="P32" s="134"/>
      <c r="Q32" s="137"/>
      <c r="R32" s="138"/>
      <c r="S32" s="134"/>
      <c r="T32" s="137"/>
      <c r="U32" s="138"/>
      <c r="V32" s="134"/>
      <c r="W32" s="137">
        <v>45223</v>
      </c>
      <c r="X32" s="138">
        <v>45224</v>
      </c>
      <c r="Y32" s="134">
        <v>2</v>
      </c>
      <c r="Z32" s="137">
        <v>45341</v>
      </c>
      <c r="AA32" s="138">
        <v>45341</v>
      </c>
      <c r="AB32" s="134">
        <v>1</v>
      </c>
      <c r="AC32" s="137"/>
      <c r="AD32" s="138"/>
      <c r="AE32" s="134"/>
      <c r="AF32" s="137"/>
      <c r="AG32" s="138"/>
      <c r="AH32" s="134"/>
      <c r="AI32" s="137"/>
      <c r="AJ32" s="138"/>
      <c r="AK32" s="134"/>
      <c r="AL32" s="137"/>
      <c r="AM32" s="138"/>
      <c r="AN32" s="134"/>
      <c r="AO32" s="137"/>
      <c r="AP32" s="138"/>
      <c r="AQ32" s="134"/>
      <c r="AR32" s="137"/>
      <c r="AS32" s="138"/>
      <c r="AT32" s="134"/>
      <c r="AU32" s="137"/>
      <c r="AV32" s="138"/>
      <c r="AW32" s="134"/>
      <c r="AX32" s="137"/>
      <c r="AY32" s="138"/>
      <c r="AZ32" s="134"/>
      <c r="BA32" s="137"/>
      <c r="BB32" s="138"/>
      <c r="BC32" s="134"/>
      <c r="BD32" s="137"/>
      <c r="BE32" s="138"/>
      <c r="BF32" s="134"/>
      <c r="BG32" s="137"/>
      <c r="BH32" s="138"/>
      <c r="BI32" s="134"/>
    </row>
    <row r="33" spans="1:61">
      <c r="A33" s="139"/>
      <c r="B33" s="137"/>
      <c r="C33" s="138"/>
      <c r="D33" s="134"/>
      <c r="E33" s="137"/>
      <c r="F33" s="138"/>
      <c r="G33" s="134"/>
      <c r="H33" s="137"/>
      <c r="I33" s="138"/>
      <c r="J33" s="134"/>
      <c r="K33" s="137"/>
      <c r="L33" s="138"/>
      <c r="M33" s="134"/>
      <c r="N33" s="137"/>
      <c r="O33" s="138"/>
      <c r="P33" s="134"/>
      <c r="Q33" s="137"/>
      <c r="R33" s="138"/>
      <c r="S33" s="134"/>
      <c r="T33" s="137"/>
      <c r="U33" s="138"/>
      <c r="V33" s="134"/>
      <c r="W33" s="137">
        <v>45246</v>
      </c>
      <c r="X33" s="138">
        <v>45251</v>
      </c>
      <c r="Y33" s="134">
        <v>2</v>
      </c>
      <c r="Z33" s="137"/>
      <c r="AA33" s="138"/>
      <c r="AB33" s="134"/>
      <c r="AC33" s="137"/>
      <c r="AD33" s="138"/>
      <c r="AE33" s="134"/>
      <c r="AF33" s="137"/>
      <c r="AG33" s="138"/>
      <c r="AH33" s="134"/>
      <c r="AI33" s="137"/>
      <c r="AJ33" s="138"/>
      <c r="AK33" s="134"/>
      <c r="AL33" s="137"/>
      <c r="AM33" s="138"/>
      <c r="AN33" s="134"/>
      <c r="AO33" s="137"/>
      <c r="AP33" s="138"/>
      <c r="AQ33" s="134"/>
      <c r="AR33" s="137"/>
      <c r="AS33" s="138"/>
      <c r="AT33" s="134"/>
      <c r="AU33" s="137"/>
      <c r="AV33" s="138"/>
      <c r="AW33" s="134"/>
      <c r="AX33" s="137"/>
      <c r="AY33" s="138"/>
      <c r="AZ33" s="134"/>
      <c r="BA33" s="137"/>
      <c r="BB33" s="138"/>
      <c r="BC33" s="134"/>
      <c r="BD33" s="137"/>
      <c r="BE33" s="138"/>
      <c r="BF33" s="134"/>
      <c r="BG33" s="137"/>
      <c r="BH33" s="138"/>
      <c r="BI33" s="134"/>
    </row>
    <row r="34" spans="1:61">
      <c r="A34" s="139"/>
      <c r="B34" s="137">
        <v>45335</v>
      </c>
      <c r="C34" s="138">
        <v>45338</v>
      </c>
      <c r="D34" s="134">
        <v>3</v>
      </c>
      <c r="E34" s="137">
        <v>45355</v>
      </c>
      <c r="F34" s="138">
        <v>45378</v>
      </c>
      <c r="G34" s="134">
        <v>18</v>
      </c>
      <c r="H34" s="137"/>
      <c r="I34" s="138"/>
      <c r="J34" s="134"/>
      <c r="K34" s="137">
        <v>45343</v>
      </c>
      <c r="L34" s="138">
        <v>45345</v>
      </c>
      <c r="M34" s="134">
        <v>3</v>
      </c>
      <c r="N34" s="137"/>
      <c r="O34" s="138"/>
      <c r="P34" s="134"/>
      <c r="Q34" s="137">
        <v>45334</v>
      </c>
      <c r="R34" s="138">
        <v>45338</v>
      </c>
      <c r="S34" s="134">
        <v>3</v>
      </c>
      <c r="T34" s="137"/>
      <c r="U34" s="138"/>
      <c r="V34" s="134"/>
      <c r="W34" s="137">
        <v>45286</v>
      </c>
      <c r="X34" s="138">
        <v>45289</v>
      </c>
      <c r="Y34" s="134">
        <v>4</v>
      </c>
      <c r="Z34" s="137"/>
      <c r="AA34" s="138"/>
      <c r="AB34" s="134"/>
      <c r="AC34" s="137"/>
      <c r="AD34" s="138"/>
      <c r="AE34" s="134"/>
      <c r="AF34" s="137">
        <v>45341</v>
      </c>
      <c r="AG34" s="138">
        <v>45341</v>
      </c>
      <c r="AH34" s="134">
        <v>1</v>
      </c>
      <c r="AI34" s="137"/>
      <c r="AJ34" s="138"/>
      <c r="AK34" s="134"/>
      <c r="AL34" s="137">
        <v>45336</v>
      </c>
      <c r="AM34" s="138">
        <v>45338</v>
      </c>
      <c r="AN34" s="134">
        <v>3</v>
      </c>
      <c r="AO34" s="137">
        <v>45411</v>
      </c>
      <c r="AP34" s="138">
        <v>45422</v>
      </c>
      <c r="AQ34" s="134">
        <v>9</v>
      </c>
      <c r="AR34" s="137">
        <v>45352</v>
      </c>
      <c r="AS34" s="138">
        <v>45355</v>
      </c>
      <c r="AT34" s="134">
        <v>2</v>
      </c>
      <c r="AU34" s="137">
        <v>45376</v>
      </c>
      <c r="AV34" s="138">
        <v>45378</v>
      </c>
      <c r="AW34" s="134">
        <v>3</v>
      </c>
      <c r="AX34" s="137">
        <v>45341</v>
      </c>
      <c r="AY34" s="138">
        <v>45341</v>
      </c>
      <c r="AZ34" s="134">
        <v>1</v>
      </c>
      <c r="BA34" s="137">
        <v>45341</v>
      </c>
      <c r="BB34" s="138">
        <v>45343</v>
      </c>
      <c r="BC34" s="134">
        <v>2</v>
      </c>
      <c r="BD34" s="137"/>
      <c r="BE34" s="138"/>
      <c r="BF34" s="134"/>
      <c r="BG34" s="137"/>
      <c r="BH34" s="138"/>
      <c r="BI34" s="134"/>
    </row>
    <row r="35" spans="1:61">
      <c r="A35" s="139"/>
      <c r="B35" s="137"/>
      <c r="C35" s="138"/>
      <c r="D35" s="134"/>
      <c r="E35" s="137"/>
      <c r="F35" s="138"/>
      <c r="G35" s="134"/>
      <c r="H35" s="137"/>
      <c r="I35" s="138"/>
      <c r="J35" s="134"/>
      <c r="K35" s="137"/>
      <c r="L35" s="138"/>
      <c r="M35" s="134"/>
      <c r="N35" s="137"/>
      <c r="O35" s="138"/>
      <c r="P35" s="134"/>
      <c r="Q35" s="137">
        <v>45345</v>
      </c>
      <c r="R35" s="138">
        <v>45350</v>
      </c>
      <c r="S35" s="134">
        <v>4</v>
      </c>
      <c r="T35" s="137"/>
      <c r="U35" s="138"/>
      <c r="V35" s="134"/>
      <c r="W35" s="137"/>
      <c r="X35" s="138"/>
      <c r="Y35" s="134"/>
      <c r="Z35" s="137"/>
      <c r="AA35" s="138"/>
      <c r="AB35" s="134"/>
      <c r="AC35" s="137"/>
      <c r="AD35" s="138"/>
      <c r="AE35" s="134"/>
      <c r="AF35" s="137"/>
      <c r="AG35" s="138"/>
      <c r="AH35" s="134"/>
      <c r="AI35" s="137"/>
      <c r="AJ35" s="138"/>
      <c r="AK35" s="134"/>
      <c r="AL35" s="137"/>
      <c r="AM35" s="138"/>
      <c r="AN35" s="134"/>
      <c r="AO35" s="137"/>
      <c r="AP35" s="138"/>
      <c r="AQ35" s="134"/>
      <c r="AR35" s="137">
        <v>45385</v>
      </c>
      <c r="AS35" s="138">
        <v>45385</v>
      </c>
      <c r="AT35" s="134">
        <v>1</v>
      </c>
      <c r="AU35" s="137">
        <v>45397</v>
      </c>
      <c r="AV35" s="138">
        <v>45398</v>
      </c>
      <c r="AW35" s="134">
        <v>2</v>
      </c>
      <c r="AX35" s="137"/>
      <c r="AY35" s="138"/>
      <c r="AZ35" s="134"/>
      <c r="BA35" s="137"/>
      <c r="BB35" s="138"/>
      <c r="BC35" s="134"/>
      <c r="BD35" s="137"/>
      <c r="BE35" s="138"/>
      <c r="BF35" s="134"/>
      <c r="BG35" s="137"/>
      <c r="BH35" s="138"/>
      <c r="BI35" s="134"/>
    </row>
    <row r="36" spans="1:61">
      <c r="A36" s="139"/>
      <c r="B36" s="137"/>
      <c r="C36" s="138"/>
      <c r="D36" s="134"/>
      <c r="E36" s="137"/>
      <c r="F36" s="138"/>
      <c r="G36" s="134"/>
      <c r="H36" s="137"/>
      <c r="I36" s="138"/>
      <c r="J36" s="134"/>
      <c r="K36" s="137"/>
      <c r="L36" s="138"/>
      <c r="M36" s="134"/>
      <c r="N36" s="137"/>
      <c r="O36" s="138"/>
      <c r="P36" s="134"/>
      <c r="Q36" s="137">
        <v>45397</v>
      </c>
      <c r="R36" s="138">
        <v>45399</v>
      </c>
      <c r="S36" s="134">
        <v>3</v>
      </c>
      <c r="T36" s="137"/>
      <c r="U36" s="138"/>
      <c r="V36" s="134"/>
      <c r="W36" s="137">
        <v>45385</v>
      </c>
      <c r="X36" s="138">
        <v>45391</v>
      </c>
      <c r="Y36" s="134">
        <v>5</v>
      </c>
      <c r="Z36" s="137"/>
      <c r="AA36" s="138"/>
      <c r="AB36" s="134"/>
      <c r="AC36" s="137"/>
      <c r="AD36" s="138"/>
      <c r="AE36" s="134"/>
      <c r="AF36" s="137"/>
      <c r="AG36" s="138"/>
      <c r="AH36" s="134"/>
      <c r="AI36" s="137"/>
      <c r="AJ36" s="138"/>
      <c r="AK36" s="134"/>
      <c r="AL36" s="137"/>
      <c r="AM36" s="138"/>
      <c r="AN36" s="134"/>
      <c r="AO36" s="137"/>
      <c r="AP36" s="138"/>
      <c r="AQ36" s="134"/>
      <c r="AR36" s="137">
        <v>45404</v>
      </c>
      <c r="AS36" s="138">
        <v>45405</v>
      </c>
      <c r="AT36" s="134">
        <v>2</v>
      </c>
      <c r="AU36" s="319">
        <v>45404</v>
      </c>
      <c r="AV36" s="138">
        <v>45405</v>
      </c>
      <c r="AW36" s="134">
        <v>2</v>
      </c>
      <c r="AX36" s="137"/>
      <c r="AY36" s="138"/>
      <c r="AZ36" s="134"/>
      <c r="BA36" s="137"/>
      <c r="BB36" s="138"/>
      <c r="BC36" s="134"/>
      <c r="BD36" s="137"/>
      <c r="BE36" s="138"/>
      <c r="BF36" s="134"/>
      <c r="BG36" s="137"/>
      <c r="BH36" s="138"/>
      <c r="BI36" s="134"/>
    </row>
    <row r="37" spans="1:61">
      <c r="A37" s="139"/>
      <c r="B37" s="137"/>
      <c r="C37" s="138"/>
      <c r="D37" s="134"/>
      <c r="E37" s="137"/>
      <c r="F37" s="138"/>
      <c r="G37" s="134"/>
      <c r="H37" s="137"/>
      <c r="I37" s="138"/>
      <c r="J37" s="134"/>
      <c r="K37" s="137"/>
      <c r="L37" s="138"/>
      <c r="M37" s="134"/>
      <c r="N37" s="137"/>
      <c r="O37" s="138"/>
      <c r="P37" s="134"/>
      <c r="Q37" s="137"/>
      <c r="R37" s="138"/>
      <c r="S37" s="134"/>
      <c r="T37" s="137"/>
      <c r="U37" s="138"/>
      <c r="V37" s="134"/>
      <c r="W37" s="137">
        <v>45404</v>
      </c>
      <c r="X37" s="138">
        <v>45405</v>
      </c>
      <c r="Y37" s="134">
        <v>2</v>
      </c>
      <c r="Z37" s="137"/>
      <c r="AA37" s="138"/>
      <c r="AB37" s="134"/>
      <c r="AC37" s="137"/>
      <c r="AD37" s="138"/>
      <c r="AE37" s="134"/>
      <c r="AF37" s="137"/>
      <c r="AG37" s="138"/>
      <c r="AH37" s="134"/>
      <c r="AI37" s="137"/>
      <c r="AJ37" s="138"/>
      <c r="AK37" s="134"/>
      <c r="AL37" s="137"/>
      <c r="AM37" s="138"/>
      <c r="AN37" s="134"/>
      <c r="AO37" s="137"/>
      <c r="AP37" s="138"/>
      <c r="AQ37" s="134"/>
      <c r="AR37" s="137"/>
      <c r="AS37" s="138"/>
      <c r="AT37" s="134"/>
      <c r="AU37" s="137"/>
      <c r="AV37" s="138"/>
      <c r="AW37" s="134"/>
      <c r="AX37" s="137"/>
      <c r="AY37" s="138"/>
      <c r="AZ37" s="134"/>
      <c r="BA37" s="137"/>
      <c r="BB37" s="138"/>
      <c r="BC37" s="134"/>
      <c r="BD37" s="137"/>
      <c r="BE37" s="138"/>
      <c r="BF37" s="134"/>
      <c r="BG37" s="137"/>
      <c r="BH37" s="138"/>
      <c r="BI37" s="134"/>
    </row>
    <row r="38" spans="1:61">
      <c r="A38" s="139"/>
      <c r="B38" s="137"/>
      <c r="C38" s="138"/>
      <c r="D38" s="134"/>
      <c r="E38" s="137"/>
      <c r="F38" s="138"/>
      <c r="G38" s="134"/>
      <c r="H38" s="137"/>
      <c r="I38" s="138"/>
      <c r="J38" s="134"/>
      <c r="K38" s="137"/>
      <c r="L38" s="138"/>
      <c r="M38" s="134"/>
      <c r="N38" s="137"/>
      <c r="O38" s="138"/>
      <c r="P38" s="134"/>
      <c r="Q38" s="137"/>
      <c r="R38" s="138"/>
      <c r="S38" s="134"/>
      <c r="T38" s="137"/>
      <c r="U38" s="138"/>
      <c r="V38" s="134"/>
      <c r="W38" s="137"/>
      <c r="X38" s="138"/>
      <c r="Y38" s="134"/>
      <c r="Z38" s="137"/>
      <c r="AA38" s="138"/>
      <c r="AB38" s="134"/>
      <c r="AC38" s="137"/>
      <c r="AD38" s="138"/>
      <c r="AE38" s="134"/>
      <c r="AF38" s="137"/>
      <c r="AG38" s="138"/>
      <c r="AH38" s="134"/>
      <c r="AI38" s="137"/>
      <c r="AJ38" s="138"/>
      <c r="AK38" s="134"/>
      <c r="AL38" s="137"/>
      <c r="AM38" s="138"/>
      <c r="AN38" s="134"/>
      <c r="AO38" s="137"/>
      <c r="AP38" s="138"/>
      <c r="AQ38" s="134"/>
      <c r="AR38" s="137"/>
      <c r="AS38" s="138"/>
      <c r="AT38" s="134"/>
      <c r="AU38" s="137"/>
      <c r="AV38" s="138"/>
      <c r="AW38" s="134"/>
      <c r="AX38" s="137"/>
      <c r="AY38" s="138"/>
      <c r="AZ38" s="134"/>
      <c r="BA38" s="137"/>
      <c r="BB38" s="138"/>
      <c r="BC38" s="134"/>
      <c r="BD38" s="137"/>
      <c r="BE38" s="138"/>
      <c r="BF38" s="134"/>
      <c r="BG38" s="137"/>
      <c r="BH38" s="138"/>
      <c r="BI38" s="134"/>
    </row>
    <row r="39" spans="1:61">
      <c r="A39" s="139"/>
      <c r="B39" s="137"/>
      <c r="C39" s="138"/>
      <c r="D39" s="134"/>
      <c r="E39" s="137"/>
      <c r="F39" s="138"/>
      <c r="G39" s="134"/>
      <c r="H39" s="137"/>
      <c r="I39" s="138"/>
      <c r="J39" s="134"/>
      <c r="K39" s="137"/>
      <c r="L39" s="138"/>
      <c r="M39" s="134"/>
      <c r="N39" s="137"/>
      <c r="O39" s="138"/>
      <c r="P39" s="134"/>
      <c r="Q39" s="137"/>
      <c r="R39" s="138"/>
      <c r="S39" s="134"/>
      <c r="T39" s="137"/>
      <c r="U39" s="138"/>
      <c r="V39" s="134"/>
      <c r="W39" s="137"/>
      <c r="X39" s="138"/>
      <c r="Y39" s="134"/>
      <c r="Z39" s="137"/>
      <c r="AA39" s="138"/>
      <c r="AB39" s="134"/>
      <c r="AC39" s="137"/>
      <c r="AD39" s="138"/>
      <c r="AE39" s="134"/>
      <c r="AF39" s="137"/>
      <c r="AG39" s="138"/>
      <c r="AH39" s="134"/>
      <c r="AI39" s="137"/>
      <c r="AJ39" s="138"/>
      <c r="AK39" s="134"/>
      <c r="AL39" s="137"/>
      <c r="AM39" s="138"/>
      <c r="AN39" s="134"/>
      <c r="AO39" s="137"/>
      <c r="AP39" s="138"/>
      <c r="AQ39" s="134"/>
      <c r="AR39" s="137"/>
      <c r="AS39" s="138"/>
      <c r="AT39" s="134"/>
      <c r="AU39" s="137"/>
      <c r="AV39" s="138"/>
      <c r="AW39" s="134"/>
      <c r="AX39" s="137"/>
      <c r="AY39" s="138"/>
      <c r="AZ39" s="134"/>
      <c r="BA39" s="137"/>
      <c r="BB39" s="138"/>
      <c r="BC39" s="134"/>
      <c r="BD39" s="137"/>
      <c r="BE39" s="138"/>
      <c r="BF39" s="134"/>
      <c r="BG39" s="137"/>
      <c r="BH39" s="138"/>
      <c r="BI39" s="134"/>
    </row>
    <row r="40" spans="1:61">
      <c r="A40" s="139"/>
      <c r="B40" s="137"/>
      <c r="C40" s="138"/>
      <c r="D40" s="134"/>
      <c r="E40" s="137"/>
      <c r="F40" s="138"/>
      <c r="G40" s="134"/>
      <c r="H40" s="137"/>
      <c r="I40" s="138"/>
      <c r="J40" s="134"/>
      <c r="K40" s="137"/>
      <c r="L40" s="138"/>
      <c r="M40" s="134"/>
      <c r="N40" s="137"/>
      <c r="O40" s="138"/>
      <c r="P40" s="134"/>
      <c r="Q40" s="137"/>
      <c r="R40" s="138"/>
      <c r="S40" s="134"/>
      <c r="T40" s="137"/>
      <c r="U40" s="138"/>
      <c r="V40" s="134"/>
      <c r="W40" s="137"/>
      <c r="X40" s="138"/>
      <c r="Y40" s="134"/>
      <c r="Z40" s="137"/>
      <c r="AA40" s="138"/>
      <c r="AB40" s="134"/>
      <c r="AC40" s="137"/>
      <c r="AD40" s="138"/>
      <c r="AE40" s="134"/>
      <c r="AF40" s="137"/>
      <c r="AG40" s="138"/>
      <c r="AH40" s="134"/>
      <c r="AI40" s="137"/>
      <c r="AJ40" s="138"/>
      <c r="AK40" s="134"/>
      <c r="AL40" s="137"/>
      <c r="AM40" s="138"/>
      <c r="AN40" s="134"/>
      <c r="AO40" s="137"/>
      <c r="AP40" s="138"/>
      <c r="AQ40" s="134"/>
      <c r="AR40" s="137"/>
      <c r="AS40" s="138"/>
      <c r="AT40" s="134"/>
      <c r="AU40" s="137"/>
      <c r="AV40" s="138"/>
      <c r="AW40" s="134"/>
      <c r="AX40" s="137"/>
      <c r="AY40" s="138"/>
      <c r="AZ40" s="134"/>
      <c r="BA40" s="137"/>
      <c r="BB40" s="138"/>
      <c r="BC40" s="134"/>
      <c r="BD40" s="137"/>
      <c r="BE40" s="138"/>
      <c r="BF40" s="134"/>
      <c r="BG40" s="137"/>
      <c r="BH40" s="138"/>
      <c r="BI40" s="134"/>
    </row>
    <row r="41" spans="1:61">
      <c r="A41" s="139"/>
      <c r="B41" s="137"/>
      <c r="C41" s="138"/>
      <c r="D41" s="134"/>
      <c r="E41" s="137"/>
      <c r="F41" s="138"/>
      <c r="G41" s="134"/>
      <c r="H41" s="137"/>
      <c r="I41" s="138"/>
      <c r="J41" s="134"/>
      <c r="K41" s="137"/>
      <c r="L41" s="138"/>
      <c r="M41" s="134"/>
      <c r="N41" s="137"/>
      <c r="O41" s="138"/>
      <c r="P41" s="134"/>
      <c r="Q41" s="137"/>
      <c r="R41" s="138"/>
      <c r="S41" s="134"/>
      <c r="T41" s="137"/>
      <c r="U41" s="138"/>
      <c r="V41" s="134"/>
      <c r="W41" s="137"/>
      <c r="X41" s="138"/>
      <c r="Y41" s="134"/>
      <c r="Z41" s="137"/>
      <c r="AA41" s="138"/>
      <c r="AB41" s="134"/>
      <c r="AC41" s="137"/>
      <c r="AD41" s="138"/>
      <c r="AE41" s="134"/>
      <c r="AF41" s="137"/>
      <c r="AG41" s="138"/>
      <c r="AH41" s="134"/>
      <c r="AI41" s="137"/>
      <c r="AJ41" s="138"/>
      <c r="AK41" s="134"/>
      <c r="AL41" s="137"/>
      <c r="AM41" s="138"/>
      <c r="AN41" s="134"/>
      <c r="AO41" s="137"/>
      <c r="AP41" s="138"/>
      <c r="AQ41" s="134"/>
      <c r="AR41" s="137"/>
      <c r="AS41" s="138"/>
      <c r="AT41" s="134"/>
      <c r="AU41" s="137"/>
      <c r="AV41" s="138"/>
      <c r="AW41" s="134"/>
      <c r="AX41" s="137"/>
      <c r="AY41" s="138"/>
      <c r="AZ41" s="134"/>
      <c r="BA41" s="137"/>
      <c r="BB41" s="138"/>
      <c r="BC41" s="134"/>
      <c r="BD41" s="137"/>
      <c r="BE41" s="138"/>
      <c r="BF41" s="134"/>
      <c r="BG41" s="137"/>
      <c r="BH41" s="138"/>
      <c r="BI41" s="134"/>
    </row>
    <row r="42" spans="1:61">
      <c r="A42" s="139"/>
      <c r="B42" s="137"/>
      <c r="C42" s="138"/>
      <c r="D42" s="134"/>
      <c r="E42" s="137"/>
      <c r="F42" s="138"/>
      <c r="G42" s="134"/>
      <c r="H42" s="137"/>
      <c r="I42" s="138"/>
      <c r="J42" s="134"/>
      <c r="K42" s="137"/>
      <c r="L42" s="138"/>
      <c r="M42" s="134"/>
      <c r="N42" s="137"/>
      <c r="O42" s="138"/>
      <c r="P42" s="134"/>
      <c r="Q42" s="137"/>
      <c r="R42" s="138"/>
      <c r="S42" s="134"/>
      <c r="T42" s="137"/>
      <c r="U42" s="138"/>
      <c r="V42" s="134"/>
      <c r="W42" s="137"/>
      <c r="X42" s="138"/>
      <c r="Y42" s="134"/>
      <c r="Z42" s="137"/>
      <c r="AA42" s="138"/>
      <c r="AB42" s="134"/>
      <c r="AC42" s="137"/>
      <c r="AD42" s="138"/>
      <c r="AE42" s="134"/>
      <c r="AF42" s="137"/>
      <c r="AG42" s="138"/>
      <c r="AH42" s="134"/>
      <c r="AI42" s="137"/>
      <c r="AJ42" s="138"/>
      <c r="AK42" s="134"/>
      <c r="AL42" s="137"/>
      <c r="AM42" s="138"/>
      <c r="AN42" s="134"/>
      <c r="AO42" s="137"/>
      <c r="AP42" s="138"/>
      <c r="AQ42" s="134"/>
      <c r="AR42" s="137"/>
      <c r="AS42" s="138"/>
      <c r="AT42" s="134"/>
      <c r="AU42" s="137"/>
      <c r="AV42" s="138"/>
      <c r="AW42" s="134"/>
      <c r="AX42" s="137"/>
      <c r="AY42" s="138"/>
      <c r="AZ42" s="134"/>
      <c r="BA42" s="137"/>
      <c r="BB42" s="138"/>
      <c r="BC42" s="134"/>
      <c r="BD42" s="137"/>
      <c r="BE42" s="138"/>
      <c r="BF42" s="134"/>
      <c r="BG42" s="137"/>
      <c r="BH42" s="138"/>
      <c r="BI42" s="134"/>
    </row>
    <row r="43" spans="1:61" ht="13.8" thickBot="1">
      <c r="A43" s="140"/>
      <c r="B43" s="141"/>
      <c r="C43" s="142"/>
      <c r="D43" s="143"/>
      <c r="E43" s="141"/>
      <c r="F43" s="142"/>
      <c r="G43" s="144"/>
      <c r="H43" s="141"/>
      <c r="I43" s="142"/>
      <c r="J43" s="144"/>
      <c r="K43" s="141"/>
      <c r="L43" s="142"/>
      <c r="M43" s="144"/>
      <c r="N43" s="141"/>
      <c r="O43" s="142"/>
      <c r="P43" s="144"/>
      <c r="Q43" s="141"/>
      <c r="R43" s="142"/>
      <c r="S43" s="144"/>
      <c r="T43" s="141"/>
      <c r="U43" s="142"/>
      <c r="V43" s="144"/>
      <c r="W43" s="141"/>
      <c r="X43" s="142"/>
      <c r="Y43" s="144"/>
      <c r="Z43" s="141"/>
      <c r="AA43" s="142"/>
      <c r="AB43" s="145"/>
      <c r="AC43" s="141"/>
      <c r="AD43" s="142"/>
      <c r="AE43" s="145"/>
      <c r="AF43" s="141"/>
      <c r="AG43" s="142"/>
      <c r="AH43" s="145"/>
      <c r="AI43" s="141"/>
      <c r="AJ43" s="142"/>
      <c r="AK43" s="145"/>
      <c r="AL43" s="141"/>
      <c r="AM43" s="142"/>
      <c r="AN43" s="145"/>
      <c r="AO43" s="141"/>
      <c r="AP43" s="142"/>
      <c r="AQ43" s="145"/>
      <c r="AR43" s="141"/>
      <c r="AS43" s="142"/>
      <c r="AT43" s="145"/>
      <c r="AU43" s="141"/>
      <c r="AV43" s="142"/>
      <c r="AW43" s="145"/>
      <c r="AX43" s="141"/>
      <c r="AY43" s="142"/>
      <c r="AZ43" s="145"/>
      <c r="BA43" s="141"/>
      <c r="BB43" s="142"/>
      <c r="BC43" s="145"/>
      <c r="BD43" s="141"/>
      <c r="BE43" s="142"/>
      <c r="BF43" s="145"/>
      <c r="BG43" s="141"/>
      <c r="BH43" s="142"/>
      <c r="BI43" s="145"/>
    </row>
    <row r="44" spans="1:61" ht="13.8" thickBot="1">
      <c r="A44" s="146" t="s">
        <v>370</v>
      </c>
      <c r="D44" s="147">
        <f>SUM(D29:D43)</f>
        <v>8</v>
      </c>
      <c r="G44" s="147">
        <f>SUM(G29:G43)</f>
        <v>18</v>
      </c>
      <c r="J44" s="147">
        <f>SUM(J29:J43)</f>
        <v>10</v>
      </c>
      <c r="M44" s="147">
        <f>SUM(M29:M43)</f>
        <v>9</v>
      </c>
      <c r="P44" s="147">
        <f>SUM(P29:P43)</f>
        <v>4</v>
      </c>
      <c r="S44" s="147">
        <f>SUM(S29:S43)</f>
        <v>13</v>
      </c>
      <c r="V44" s="147">
        <f>SUM(V29:V43)</f>
        <v>6</v>
      </c>
      <c r="Y44" s="147">
        <f>SUM(Y29:Y43)</f>
        <v>21</v>
      </c>
      <c r="AB44" s="92">
        <f>SUM(AB29:AB43)</f>
        <v>6</v>
      </c>
      <c r="AE44" s="92">
        <f>SUM(AE29:AE43)</f>
        <v>0</v>
      </c>
      <c r="AH44" s="92">
        <f>SUM(AH29:AH43)</f>
        <v>19</v>
      </c>
      <c r="AK44" s="92">
        <f>SUM(AK29:AK43)</f>
        <v>4</v>
      </c>
      <c r="AN44" s="92">
        <f>SUM(AN29:AN43)</f>
        <v>11</v>
      </c>
      <c r="AQ44" s="92">
        <f>SUM(AQ29:AQ43)</f>
        <v>13</v>
      </c>
      <c r="AT44" s="92">
        <f>SUM(AT29:AT43)</f>
        <v>10</v>
      </c>
      <c r="AW44" s="92">
        <f>SUM(AW29:AW43)</f>
        <v>8</v>
      </c>
      <c r="AZ44" s="92">
        <f>SUM(AZ29:AZ43)</f>
        <v>7</v>
      </c>
      <c r="BC44" s="92">
        <f>SUM(BC29:BC43)</f>
        <v>6</v>
      </c>
      <c r="BF44" s="92">
        <f>SUM(BF29:BF43)</f>
        <v>1</v>
      </c>
      <c r="BI44" s="92">
        <f>SUM(BI29:BI43)</f>
        <v>0</v>
      </c>
    </row>
    <row r="47" spans="1:61">
      <c r="AC47" s="3"/>
    </row>
    <row r="48" spans="1:61">
      <c r="AC48" s="3"/>
    </row>
    <row r="49" spans="29:29">
      <c r="AC49" s="3"/>
    </row>
    <row r="50" spans="29:29">
      <c r="AC50" s="262"/>
    </row>
    <row r="51" spans="29:29">
      <c r="AC51" s="262"/>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legacyDrawing r:id="rId2"/>
</worksheet>
</file>

<file path=xl/worksheets/sheet11.xml><?xml version="1.0" encoding="utf-8"?>
<worksheet xmlns="http://schemas.openxmlformats.org/spreadsheetml/2006/main" xmlns:r="http://schemas.openxmlformats.org/officeDocument/2006/relationships">
  <sheetPr codeName="Hoja9"/>
  <dimension ref="A1:AX95"/>
  <sheetViews>
    <sheetView topLeftCell="A93" zoomScale="70" zoomScaleNormal="70" workbookViewId="0">
      <selection activeCell="C94" sqref="C94"/>
    </sheetView>
  </sheetViews>
  <sheetFormatPr baseColWidth="10" defaultRowHeight="13.2"/>
  <cols>
    <col min="2" max="2" width="21.44140625" customWidth="1"/>
    <col min="4" max="4" width="16.88671875" customWidth="1"/>
    <col min="5" max="5" width="15" customWidth="1"/>
    <col min="11" max="11" width="53.6640625" style="18" customWidth="1"/>
    <col min="13" max="13" width="40.109375" bestFit="1" customWidth="1"/>
    <col min="14" max="14" width="14.88671875" bestFit="1" customWidth="1"/>
    <col min="17" max="17" width="39.6640625" bestFit="1" customWidth="1"/>
  </cols>
  <sheetData>
    <row r="1" spans="3:37" ht="24.9" customHeight="1">
      <c r="Q1" s="22" t="s">
        <v>459</v>
      </c>
    </row>
    <row r="2" spans="3:37" s="1" customFormat="1" ht="39.9" customHeight="1">
      <c r="C2" s="26" t="s">
        <v>1</v>
      </c>
      <c r="D2" s="26" t="s">
        <v>2</v>
      </c>
      <c r="E2" s="26" t="s">
        <v>560</v>
      </c>
      <c r="F2" s="26" t="s">
        <v>3</v>
      </c>
      <c r="G2" s="26" t="s">
        <v>561</v>
      </c>
      <c r="H2" s="26" t="s">
        <v>18</v>
      </c>
      <c r="I2" s="26" t="s">
        <v>562</v>
      </c>
      <c r="J2" s="26" t="s">
        <v>563</v>
      </c>
      <c r="K2" s="26" t="s">
        <v>564</v>
      </c>
      <c r="L2" s="26" t="s">
        <v>565</v>
      </c>
      <c r="M2" s="26" t="s">
        <v>566</v>
      </c>
      <c r="Q2" s="116" t="s">
        <v>43</v>
      </c>
      <c r="R2" s="116">
        <f>COUNTIF($D:$D, "Dra. Lamas")</f>
        <v>0</v>
      </c>
    </row>
    <row r="3" spans="3:37" ht="39.9" customHeight="1">
      <c r="C3" s="29" t="s">
        <v>424</v>
      </c>
      <c r="D3" s="29" t="s">
        <v>425</v>
      </c>
      <c r="E3" s="29">
        <v>4</v>
      </c>
      <c r="F3" s="29" t="s">
        <v>320</v>
      </c>
      <c r="G3" s="30">
        <v>45002</v>
      </c>
      <c r="H3" s="29"/>
      <c r="I3" s="30"/>
      <c r="J3" s="29"/>
      <c r="K3" s="29" t="s">
        <v>313</v>
      </c>
      <c r="L3" s="29" t="s">
        <v>426</v>
      </c>
      <c r="M3" s="35" t="s">
        <v>447</v>
      </c>
      <c r="Q3" s="34" t="s">
        <v>34</v>
      </c>
      <c r="R3" s="34">
        <f>COUNTIF($D:$D, "Dr. Moreno")</f>
        <v>0</v>
      </c>
    </row>
    <row r="4" spans="3:37" s="20" customFormat="1" ht="39.9" customHeight="1">
      <c r="C4" s="32" t="s">
        <v>474</v>
      </c>
      <c r="D4" s="32" t="s">
        <v>477</v>
      </c>
      <c r="E4" s="32">
        <v>4</v>
      </c>
      <c r="F4" s="32" t="s">
        <v>320</v>
      </c>
      <c r="G4" s="29"/>
      <c r="H4" s="29"/>
      <c r="I4" s="29"/>
      <c r="J4" s="29"/>
      <c r="K4" s="32" t="s">
        <v>326</v>
      </c>
      <c r="L4" s="32" t="s">
        <v>475</v>
      </c>
      <c r="M4" s="35" t="s">
        <v>488</v>
      </c>
      <c r="Q4" s="34" t="s">
        <v>29</v>
      </c>
      <c r="R4" s="34">
        <f>COUNTIF($D:$D, "Dr. Cervantes")</f>
        <v>0</v>
      </c>
    </row>
    <row r="5" spans="3:37" s="1" customFormat="1" ht="39.9" customHeight="1">
      <c r="C5" s="29" t="s">
        <v>344</v>
      </c>
      <c r="D5" s="29" t="s">
        <v>505</v>
      </c>
      <c r="E5" s="29">
        <v>4</v>
      </c>
      <c r="F5" s="29" t="s">
        <v>283</v>
      </c>
      <c r="G5" s="36">
        <v>45021</v>
      </c>
      <c r="H5" s="32" t="s">
        <v>73</v>
      </c>
      <c r="I5" s="33" t="s">
        <v>33</v>
      </c>
      <c r="J5" s="29">
        <v>4</v>
      </c>
      <c r="K5" s="29" t="s">
        <v>366</v>
      </c>
      <c r="L5" s="29" t="s">
        <v>367</v>
      </c>
      <c r="M5" s="35" t="s">
        <v>506</v>
      </c>
      <c r="Q5" s="34" t="s">
        <v>283</v>
      </c>
      <c r="R5" s="34">
        <f>COUNTIF($D:$D, "Dra. Nallim")</f>
        <v>0</v>
      </c>
    </row>
    <row r="6" spans="3:37" ht="39.9" customHeight="1">
      <c r="C6" s="29" t="s">
        <v>496</v>
      </c>
      <c r="D6" s="29" t="s">
        <v>497</v>
      </c>
      <c r="E6" s="29">
        <v>4</v>
      </c>
      <c r="F6" s="29" t="s">
        <v>583</v>
      </c>
      <c r="G6" s="30"/>
      <c r="H6" s="29"/>
      <c r="I6" s="30"/>
      <c r="J6" s="29"/>
      <c r="K6" s="29"/>
      <c r="L6" s="29"/>
      <c r="M6" s="35" t="s">
        <v>521</v>
      </c>
      <c r="Q6" s="34" t="s">
        <v>32</v>
      </c>
      <c r="R6" s="34">
        <f>COUNTIF($D:$D, "Dr. Quiroga")</f>
        <v>0</v>
      </c>
    </row>
    <row r="7" spans="3:37" ht="39.9" customHeight="1">
      <c r="C7" s="32" t="s">
        <v>546</v>
      </c>
      <c r="D7" s="32" t="s">
        <v>537</v>
      </c>
      <c r="E7" s="29">
        <v>4</v>
      </c>
      <c r="F7" s="29" t="s">
        <v>283</v>
      </c>
      <c r="G7" s="30">
        <v>45030</v>
      </c>
      <c r="H7" s="31" t="s">
        <v>76</v>
      </c>
      <c r="I7" s="30" t="s">
        <v>33</v>
      </c>
      <c r="J7" s="29">
        <v>4</v>
      </c>
      <c r="K7" s="29" t="s">
        <v>549</v>
      </c>
      <c r="L7" s="29" t="s">
        <v>548</v>
      </c>
      <c r="M7" s="37" t="s">
        <v>559</v>
      </c>
      <c r="Q7" s="34" t="s">
        <v>361</v>
      </c>
      <c r="R7" s="34">
        <f>COUNTIF($D:$D, "Dra. Volante (Dr.Robbio)")+COUNTIF($D:$D, "Dra. Volante")</f>
        <v>0</v>
      </c>
    </row>
    <row r="8" spans="3:37" s="1" customFormat="1" ht="39.9" customHeight="1">
      <c r="C8" s="29" t="s">
        <v>379</v>
      </c>
      <c r="D8" s="29" t="s">
        <v>381</v>
      </c>
      <c r="E8" s="29">
        <v>4</v>
      </c>
      <c r="F8" s="29" t="s">
        <v>32</v>
      </c>
      <c r="G8" s="30">
        <v>45015</v>
      </c>
      <c r="H8" s="32" t="s">
        <v>73</v>
      </c>
      <c r="I8" s="30" t="s">
        <v>33</v>
      </c>
      <c r="J8" s="29">
        <v>4</v>
      </c>
      <c r="K8" s="29" t="s">
        <v>380</v>
      </c>
      <c r="L8" s="32" t="s">
        <v>363</v>
      </c>
      <c r="M8" s="29" t="s">
        <v>578</v>
      </c>
      <c r="O8" s="3"/>
      <c r="Q8" s="34" t="s">
        <v>568</v>
      </c>
      <c r="R8" s="34">
        <f>COUNTIF($D:$D, "Dra. Chanchorra")</f>
        <v>0</v>
      </c>
    </row>
    <row r="9" spans="3:37" s="1" customFormat="1" ht="39.9" customHeight="1">
      <c r="C9" s="29" t="s">
        <v>435</v>
      </c>
      <c r="D9" s="29" t="s">
        <v>436</v>
      </c>
      <c r="E9" s="29">
        <v>4</v>
      </c>
      <c r="F9" s="29" t="s">
        <v>29</v>
      </c>
      <c r="G9" s="33">
        <v>45033</v>
      </c>
      <c r="H9" s="31" t="s">
        <v>73</v>
      </c>
      <c r="I9" s="30" t="s">
        <v>35</v>
      </c>
      <c r="J9" s="29">
        <v>3</v>
      </c>
      <c r="K9" s="29" t="s">
        <v>330</v>
      </c>
      <c r="L9" s="29" t="s">
        <v>363</v>
      </c>
      <c r="M9" s="29" t="s">
        <v>587</v>
      </c>
      <c r="O9" s="23"/>
      <c r="Q9" s="34" t="s">
        <v>1434</v>
      </c>
      <c r="R9" s="34">
        <f>COUNTIF($D:$D, "Dra. Chanchorra")</f>
        <v>0</v>
      </c>
    </row>
    <row r="10" spans="3:37" ht="39.9" customHeight="1">
      <c r="C10" s="32" t="s">
        <v>178</v>
      </c>
      <c r="D10" s="32" t="s">
        <v>177</v>
      </c>
      <c r="E10" s="29">
        <v>3</v>
      </c>
      <c r="F10" s="32" t="s">
        <v>43</v>
      </c>
      <c r="G10" s="30">
        <v>45020</v>
      </c>
      <c r="H10" s="32" t="s">
        <v>360</v>
      </c>
      <c r="I10" s="30" t="s">
        <v>33</v>
      </c>
      <c r="J10" s="29">
        <v>4</v>
      </c>
      <c r="K10" s="29" t="s">
        <v>192</v>
      </c>
      <c r="L10" s="29" t="s">
        <v>193</v>
      </c>
      <c r="M10" s="32" t="s">
        <v>607</v>
      </c>
      <c r="Q10" s="34" t="s">
        <v>1435</v>
      </c>
      <c r="R10" s="34">
        <f>COUNTIF($D:$D, "Dra. Chanchorra")</f>
        <v>0</v>
      </c>
    </row>
    <row r="11" spans="3:37" s="1" customFormat="1" ht="39.9" customHeight="1">
      <c r="C11" s="32" t="s">
        <v>610</v>
      </c>
      <c r="D11" s="32" t="s">
        <v>609</v>
      </c>
      <c r="E11" s="32"/>
      <c r="F11" s="32" t="s">
        <v>583</v>
      </c>
      <c r="G11" s="29"/>
      <c r="H11" s="29"/>
      <c r="I11" s="38"/>
      <c r="J11" s="30"/>
      <c r="K11" s="29" t="s">
        <v>248</v>
      </c>
      <c r="L11" s="29" t="s">
        <v>287</v>
      </c>
      <c r="M11" s="32" t="s">
        <v>916</v>
      </c>
      <c r="O11" s="9"/>
      <c r="P11" s="3"/>
      <c r="Q11" s="34" t="s">
        <v>525</v>
      </c>
      <c r="R11" s="34">
        <f>COUNTIF($D:$D, "Sin asignar")</f>
        <v>0</v>
      </c>
    </row>
    <row r="12" spans="3:37" s="1" customFormat="1" ht="105.6">
      <c r="C12" s="32" t="s">
        <v>473</v>
      </c>
      <c r="D12" s="35" t="s">
        <v>472</v>
      </c>
      <c r="E12" s="32">
        <v>4</v>
      </c>
      <c r="F12" s="32" t="s">
        <v>320</v>
      </c>
      <c r="G12" s="33">
        <v>45041</v>
      </c>
      <c r="H12" s="32" t="s">
        <v>76</v>
      </c>
      <c r="I12" s="33" t="s">
        <v>31</v>
      </c>
      <c r="J12" s="32">
        <v>2</v>
      </c>
      <c r="K12" s="32" t="s">
        <v>409</v>
      </c>
      <c r="L12" s="32" t="s">
        <v>363</v>
      </c>
      <c r="M12" s="32" t="s">
        <v>668</v>
      </c>
      <c r="O12" s="24" t="str">
        <f ca="1">IF(G12&lt;=TODAY(),"SI","NO")</f>
        <v>SI</v>
      </c>
      <c r="P12" s="24" t="str">
        <f>IF(EXPEDIENTES!$P$1=G12,"DIASOL", "DIANOSOL")</f>
        <v>DIANOSOL</v>
      </c>
      <c r="Q12" s="3" t="s">
        <v>2751</v>
      </c>
      <c r="R12" s="34">
        <f>COUNTIF($D:$D, Q12)</f>
        <v>0</v>
      </c>
      <c r="S12" s="3"/>
      <c r="T12" s="3"/>
      <c r="U12" s="3"/>
    </row>
    <row r="13" spans="3:37" s="1" customFormat="1" ht="39.9" customHeight="1">
      <c r="C13" s="32" t="s">
        <v>1397</v>
      </c>
      <c r="D13" s="35" t="s">
        <v>1398</v>
      </c>
      <c r="E13" s="29">
        <v>3</v>
      </c>
      <c r="F13" s="32" t="s">
        <v>283</v>
      </c>
      <c r="G13" s="30">
        <v>45112</v>
      </c>
      <c r="H13" s="33" t="s">
        <v>1083</v>
      </c>
      <c r="I13" s="33" t="s">
        <v>1218</v>
      </c>
      <c r="J13" s="32">
        <v>1</v>
      </c>
      <c r="K13" s="32" t="s">
        <v>796</v>
      </c>
      <c r="L13" s="32" t="s">
        <v>694</v>
      </c>
      <c r="M13" s="32" t="s">
        <v>1539</v>
      </c>
      <c r="O13" s="112"/>
      <c r="P13" s="112"/>
      <c r="Q13" s="3" t="s">
        <v>2752</v>
      </c>
      <c r="R13" s="34">
        <f t="shared" ref="R13:R26" si="0">COUNTIF($D:$D, Q13)</f>
        <v>0</v>
      </c>
      <c r="S13" s="114"/>
      <c r="T13" s="114"/>
      <c r="U13" s="114"/>
      <c r="V13" s="114"/>
      <c r="W13" s="115"/>
      <c r="X13" s="115"/>
      <c r="Y13" s="115"/>
    </row>
    <row r="14" spans="3:37" s="97" customFormat="1" ht="39.9" customHeight="1">
      <c r="C14" s="76" t="s">
        <v>1933</v>
      </c>
      <c r="D14" s="203" t="s">
        <v>1929</v>
      </c>
      <c r="E14" s="85">
        <v>4</v>
      </c>
      <c r="F14" s="85" t="s">
        <v>583</v>
      </c>
      <c r="G14" s="204"/>
      <c r="H14" s="204"/>
      <c r="I14" s="204"/>
      <c r="J14" s="76" t="s">
        <v>1977</v>
      </c>
      <c r="K14" s="76" t="s">
        <v>799</v>
      </c>
      <c r="L14" s="76"/>
      <c r="M14" s="85"/>
      <c r="O14" s="201"/>
      <c r="P14" s="201"/>
      <c r="Q14" s="3" t="s">
        <v>2753</v>
      </c>
      <c r="R14" s="34">
        <f t="shared" si="0"/>
        <v>0</v>
      </c>
      <c r="S14" s="202"/>
      <c r="T14" s="202"/>
      <c r="U14" s="202"/>
      <c r="V14" s="202"/>
      <c r="W14" s="202"/>
      <c r="X14" s="202"/>
      <c r="Y14" s="202"/>
      <c r="Z14" s="202"/>
      <c r="AA14" s="202"/>
      <c r="AB14" s="202"/>
      <c r="AC14" s="202"/>
      <c r="AD14" s="202"/>
      <c r="AE14" s="202"/>
    </row>
    <row r="15" spans="3:37" s="97" customFormat="1" ht="39.9" customHeight="1">
      <c r="C15" s="76" t="s">
        <v>2001</v>
      </c>
      <c r="D15" s="203" t="s">
        <v>2053</v>
      </c>
      <c r="E15" s="85">
        <v>4</v>
      </c>
      <c r="F15" s="85" t="s">
        <v>583</v>
      </c>
      <c r="G15" s="204"/>
      <c r="H15" s="204"/>
      <c r="I15" s="204"/>
      <c r="J15" s="76"/>
      <c r="K15" s="76" t="s">
        <v>797</v>
      </c>
      <c r="L15" s="76"/>
      <c r="M15" s="85" t="s">
        <v>2089</v>
      </c>
      <c r="O15" s="201"/>
      <c r="P15" s="201"/>
      <c r="Q15" s="262" t="s">
        <v>2766</v>
      </c>
      <c r="R15" s="34">
        <f t="shared" si="0"/>
        <v>0</v>
      </c>
      <c r="S15" s="202"/>
      <c r="T15" s="202"/>
      <c r="U15" s="202"/>
      <c r="V15" s="202"/>
      <c r="W15" s="202"/>
      <c r="X15" s="202"/>
      <c r="Y15" s="202"/>
      <c r="Z15" s="202"/>
      <c r="AA15" s="202"/>
      <c r="AB15" s="202"/>
      <c r="AC15" s="202"/>
      <c r="AD15" s="202"/>
      <c r="AE15" s="202"/>
    </row>
    <row r="16" spans="3:37" s="97" customFormat="1" ht="39.9" customHeight="1">
      <c r="C16" s="76" t="s">
        <v>1995</v>
      </c>
      <c r="D16" s="203" t="s">
        <v>1996</v>
      </c>
      <c r="E16" s="85">
        <v>4</v>
      </c>
      <c r="F16" s="85" t="s">
        <v>583</v>
      </c>
      <c r="G16" s="204"/>
      <c r="H16" s="204"/>
      <c r="I16" s="204"/>
      <c r="J16" s="85" t="str">
        <f>IFERROR(VLOOKUP(I16,Jueces!$A$1:$B$11,2,FALSE),"")</f>
        <v/>
      </c>
      <c r="K16" s="76" t="s">
        <v>797</v>
      </c>
      <c r="L16" s="76"/>
      <c r="M16" s="76" t="s">
        <v>2090</v>
      </c>
      <c r="O16" s="201"/>
      <c r="P16" s="201"/>
      <c r="Q16" s="262" t="s">
        <v>2815</v>
      </c>
      <c r="R16" s="34">
        <f t="shared" si="0"/>
        <v>0</v>
      </c>
      <c r="S16" s="202"/>
      <c r="T16" s="202"/>
      <c r="U16" s="202"/>
      <c r="V16" s="202"/>
      <c r="W16" s="202"/>
      <c r="X16" s="202"/>
      <c r="Y16" s="202"/>
      <c r="Z16" s="202"/>
      <c r="AA16" s="202"/>
      <c r="AB16" s="202"/>
      <c r="AC16" s="202"/>
      <c r="AD16" s="202"/>
      <c r="AE16" s="202"/>
      <c r="AF16" s="202"/>
      <c r="AG16" s="202"/>
      <c r="AH16" s="202"/>
      <c r="AI16" s="202"/>
      <c r="AJ16" s="202"/>
      <c r="AK16" s="202"/>
    </row>
    <row r="17" spans="3:50" ht="39.9" customHeight="1">
      <c r="C17" s="76" t="s">
        <v>1997</v>
      </c>
      <c r="D17" s="203" t="s">
        <v>1998</v>
      </c>
      <c r="E17" s="85">
        <v>4</v>
      </c>
      <c r="F17" s="85" t="s">
        <v>283</v>
      </c>
      <c r="G17" s="204">
        <v>45146</v>
      </c>
      <c r="H17" s="234" t="s">
        <v>73</v>
      </c>
      <c r="I17" s="204" t="s">
        <v>1218</v>
      </c>
      <c r="J17" s="76" t="s">
        <v>1341</v>
      </c>
      <c r="K17" s="76" t="s">
        <v>801</v>
      </c>
      <c r="L17" s="92"/>
      <c r="M17" s="248" t="s">
        <v>2121</v>
      </c>
      <c r="O17" s="110"/>
      <c r="P17" s="110"/>
      <c r="Q17" s="1" t="s">
        <v>3323</v>
      </c>
      <c r="R17" s="34">
        <f t="shared" si="0"/>
        <v>0</v>
      </c>
      <c r="S17" s="110"/>
      <c r="T17" s="110"/>
      <c r="U17" s="110"/>
      <c r="V17" s="110"/>
      <c r="W17" s="110"/>
      <c r="X17" s="110"/>
      <c r="Y17" s="110"/>
      <c r="Z17" s="110"/>
      <c r="AA17" s="110"/>
      <c r="AB17" s="110"/>
      <c r="AC17" s="110"/>
      <c r="AD17" s="110"/>
      <c r="AE17" s="110"/>
      <c r="AF17" s="110"/>
      <c r="AG17" s="110"/>
    </row>
    <row r="18" spans="3:50" s="8" customFormat="1" ht="92.4">
      <c r="C18" s="249" t="s">
        <v>2093</v>
      </c>
      <c r="D18" s="250" t="s">
        <v>2094</v>
      </c>
      <c r="E18" s="251">
        <v>1</v>
      </c>
      <c r="F18" s="249" t="s">
        <v>583</v>
      </c>
      <c r="G18" s="252"/>
      <c r="H18" s="252"/>
      <c r="I18" s="252"/>
      <c r="J18" s="251" t="str">
        <f>IFERROR(VLOOKUP(I18,Jueces!$A$1:$B$11,2,FALSE),"")</f>
        <v/>
      </c>
      <c r="K18" s="249" t="s">
        <v>192</v>
      </c>
      <c r="L18" s="249"/>
      <c r="M18" s="249"/>
      <c r="O18" s="112"/>
      <c r="P18" s="112"/>
      <c r="Q18" s="1" t="s">
        <v>3324</v>
      </c>
      <c r="R18" s="34">
        <f t="shared" si="0"/>
        <v>0</v>
      </c>
      <c r="S18" s="114"/>
      <c r="T18" s="114"/>
      <c r="U18" s="114"/>
      <c r="V18" s="114"/>
      <c r="W18" s="246"/>
      <c r="X18" s="246"/>
      <c r="Y18" s="115"/>
      <c r="Z18" s="114"/>
      <c r="AA18" s="114"/>
      <c r="AB18" s="114"/>
      <c r="AC18" s="114"/>
      <c r="AD18" s="114"/>
      <c r="AE18" s="114"/>
      <c r="AF18" s="114"/>
      <c r="AG18" s="114"/>
    </row>
    <row r="19" spans="3:50" s="97" customFormat="1" ht="39.9" customHeight="1">
      <c r="C19" s="76" t="s">
        <v>1920</v>
      </c>
      <c r="D19" s="203" t="s">
        <v>2489</v>
      </c>
      <c r="E19" s="85">
        <v>4</v>
      </c>
      <c r="F19" s="76" t="s">
        <v>583</v>
      </c>
      <c r="G19" s="204"/>
      <c r="H19" s="204"/>
      <c r="I19" s="204"/>
      <c r="J19" s="85" t="str">
        <f>IFERROR(VLOOKUP(I19,Jueces!$A$1:$B$11,2,FALSE),"")</f>
        <v/>
      </c>
      <c r="K19" s="76" t="s">
        <v>809</v>
      </c>
      <c r="L19" s="76" t="s">
        <v>695</v>
      </c>
      <c r="M19" s="76" t="s">
        <v>2494</v>
      </c>
      <c r="O19" s="201"/>
      <c r="P19" s="201"/>
      <c r="Q19" s="262" t="s">
        <v>3639</v>
      </c>
      <c r="R19" s="34">
        <f t="shared" si="0"/>
        <v>0</v>
      </c>
      <c r="S19" s="202"/>
      <c r="T19" s="202"/>
      <c r="U19" s="202"/>
      <c r="V19" s="202"/>
      <c r="W19" s="202"/>
      <c r="X19" s="247"/>
      <c r="Y19" s="247"/>
      <c r="Z19" s="202"/>
      <c r="AA19" s="202"/>
      <c r="AB19" s="202"/>
      <c r="AC19" s="202"/>
      <c r="AD19" s="202"/>
      <c r="AE19" s="202"/>
      <c r="AF19" s="202"/>
      <c r="AG19" s="202"/>
      <c r="AH19" s="202"/>
      <c r="AI19" s="202"/>
      <c r="AJ19" s="202"/>
      <c r="AK19" s="202"/>
      <c r="AL19" s="202"/>
      <c r="AM19" s="202"/>
      <c r="AN19" s="202"/>
      <c r="AO19" s="202"/>
      <c r="AP19" s="202"/>
      <c r="AQ19" s="202"/>
      <c r="AR19" s="202"/>
      <c r="AS19" s="202"/>
      <c r="AT19" s="202"/>
      <c r="AU19" s="202"/>
      <c r="AV19" s="202"/>
      <c r="AW19" s="202"/>
      <c r="AX19" s="202"/>
    </row>
    <row r="20" spans="3:50" s="1" customFormat="1" ht="39.9" customHeight="1">
      <c r="C20" s="78" t="s">
        <v>2668</v>
      </c>
      <c r="D20" s="79" t="s">
        <v>2707</v>
      </c>
      <c r="E20" s="75">
        <v>8</v>
      </c>
      <c r="F20" s="75" t="s">
        <v>43</v>
      </c>
      <c r="G20" s="77">
        <v>45191</v>
      </c>
      <c r="H20" s="80" t="s">
        <v>73</v>
      </c>
      <c r="I20" s="77" t="s">
        <v>33</v>
      </c>
      <c r="J20" s="75">
        <f>IFERROR(VLOOKUP(I20,Jueces!$A$1:$B$11,2,FALSE),"")</f>
        <v>4</v>
      </c>
      <c r="K20" s="78" t="s">
        <v>789</v>
      </c>
      <c r="L20" s="78" t="s">
        <v>885</v>
      </c>
      <c r="M20" s="78" t="s">
        <v>2735</v>
      </c>
      <c r="O20" s="110"/>
      <c r="P20" s="110"/>
      <c r="Q20" s="3" t="s">
        <v>3791</v>
      </c>
      <c r="R20" s="34">
        <f t="shared" si="0"/>
        <v>0</v>
      </c>
      <c r="S20" s="110"/>
      <c r="T20" s="110"/>
      <c r="U20" s="110"/>
      <c r="V20" s="110"/>
      <c r="W20" s="110"/>
      <c r="X20" s="110"/>
      <c r="Y20" s="110"/>
    </row>
    <row r="21" spans="3:50" s="1" customFormat="1" ht="39.9" customHeight="1">
      <c r="C21" s="85" t="s">
        <v>2830</v>
      </c>
      <c r="D21" s="266" t="s">
        <v>2831</v>
      </c>
      <c r="E21" s="85">
        <v>3</v>
      </c>
      <c r="F21" s="76" t="s">
        <v>583</v>
      </c>
      <c r="G21" s="204"/>
      <c r="H21" s="204"/>
      <c r="I21" s="204"/>
      <c r="J21" s="85" t="str">
        <f>IFERROR(VLOOKUP(I21,Jueces!$A$1:$B$11,2,FALSE),"")</f>
        <v/>
      </c>
      <c r="K21" s="76" t="s">
        <v>192</v>
      </c>
      <c r="L21" s="76"/>
      <c r="M21" s="76" t="s">
        <v>2848</v>
      </c>
      <c r="O21" s="110"/>
      <c r="P21" s="110"/>
      <c r="Q21" s="262" t="s">
        <v>3871</v>
      </c>
      <c r="R21" s="34">
        <f t="shared" si="0"/>
        <v>0</v>
      </c>
      <c r="S21" s="110"/>
      <c r="T21" s="110"/>
      <c r="U21" s="110"/>
      <c r="V21" s="110"/>
      <c r="W21" s="110"/>
      <c r="X21" s="110"/>
      <c r="Y21" s="110"/>
      <c r="Z21" s="110"/>
      <c r="AA21" s="110"/>
    </row>
    <row r="22" spans="3:50" ht="79.2">
      <c r="C22" s="320" t="s">
        <v>2972</v>
      </c>
      <c r="D22" s="321" t="s">
        <v>2973</v>
      </c>
      <c r="E22" s="320">
        <v>1</v>
      </c>
      <c r="F22" s="320" t="s">
        <v>29</v>
      </c>
      <c r="G22" s="322">
        <v>45211</v>
      </c>
      <c r="H22" s="322" t="s">
        <v>73</v>
      </c>
      <c r="I22" s="322" t="s">
        <v>33</v>
      </c>
      <c r="J22" s="320">
        <f>IFERROR(VLOOKUP(I22,Jueces!$A$1:$B$11,2,FALSE),"")</f>
        <v>4</v>
      </c>
      <c r="K22" s="320" t="s">
        <v>792</v>
      </c>
      <c r="L22" s="320" t="s">
        <v>711</v>
      </c>
      <c r="M22" s="320" t="s">
        <v>3154</v>
      </c>
      <c r="Q22" s="3" t="s">
        <v>4749</v>
      </c>
      <c r="R22" s="34">
        <f t="shared" si="0"/>
        <v>0</v>
      </c>
      <c r="Z22" s="110"/>
      <c r="AA22" s="110"/>
      <c r="AB22" s="110"/>
      <c r="AC22" s="110"/>
      <c r="AD22" s="110"/>
      <c r="AE22" s="110"/>
      <c r="AF22" s="110"/>
      <c r="AG22" s="110"/>
    </row>
    <row r="23" spans="3:50" ht="118.8">
      <c r="C23" s="320" t="s">
        <v>3005</v>
      </c>
      <c r="D23" s="321" t="s">
        <v>3006</v>
      </c>
      <c r="E23" s="320">
        <v>8</v>
      </c>
      <c r="F23" s="320" t="s">
        <v>2753</v>
      </c>
      <c r="G23" s="322">
        <v>45205</v>
      </c>
      <c r="H23" s="322" t="s">
        <v>73</v>
      </c>
      <c r="I23" s="322" t="s">
        <v>1216</v>
      </c>
      <c r="J23" s="320">
        <f>IFERROR(VLOOKUP(I23,Jueces!$A$1:$B$11,2,FALSE),"")</f>
        <v>1</v>
      </c>
      <c r="K23" s="320" t="s">
        <v>795</v>
      </c>
      <c r="L23" s="320" t="s">
        <v>1084</v>
      </c>
      <c r="M23" s="320" t="s">
        <v>3207</v>
      </c>
      <c r="O23" s="3"/>
      <c r="P23" s="1"/>
      <c r="Q23" s="3" t="s">
        <v>5009</v>
      </c>
      <c r="R23" s="34">
        <f t="shared" si="0"/>
        <v>0</v>
      </c>
      <c r="S23" s="1"/>
      <c r="T23" s="1"/>
      <c r="U23" s="1"/>
      <c r="V23" s="1"/>
      <c r="W23" s="1"/>
      <c r="X23" s="1"/>
      <c r="Y23" s="1"/>
      <c r="AB23" s="110"/>
      <c r="AC23" s="110"/>
      <c r="AD23" s="110"/>
      <c r="AE23" s="110"/>
      <c r="AF23" s="110"/>
      <c r="AG23" s="110"/>
    </row>
    <row r="24" spans="3:50" ht="118.8">
      <c r="C24" s="78" t="s">
        <v>3260</v>
      </c>
      <c r="D24" s="79" t="s">
        <v>3261</v>
      </c>
      <c r="E24" s="78">
        <v>1</v>
      </c>
      <c r="F24" s="78" t="s">
        <v>2752</v>
      </c>
      <c r="G24" s="80">
        <v>45222</v>
      </c>
      <c r="H24" s="80" t="s">
        <v>1083</v>
      </c>
      <c r="I24" s="80" t="s">
        <v>33</v>
      </c>
      <c r="J24" s="78">
        <f>IFERROR(VLOOKUP(I24,Jueces!$A$1:$B$11,2,FALSE),"")</f>
        <v>4</v>
      </c>
      <c r="K24" s="78" t="s">
        <v>791</v>
      </c>
      <c r="L24" s="78" t="s">
        <v>3292</v>
      </c>
      <c r="M24" s="78" t="s">
        <v>3425</v>
      </c>
      <c r="Q24" s="3" t="s">
        <v>4934</v>
      </c>
      <c r="R24" s="34">
        <f t="shared" si="0"/>
        <v>0</v>
      </c>
      <c r="Z24" s="1"/>
      <c r="AA24" s="1"/>
    </row>
    <row r="25" spans="3:50" s="1" customFormat="1" ht="39.9" customHeight="1">
      <c r="C25" s="78" t="s">
        <v>2816</v>
      </c>
      <c r="D25" s="79" t="s">
        <v>2898</v>
      </c>
      <c r="E25" s="78">
        <v>1</v>
      </c>
      <c r="F25" s="78" t="s">
        <v>583</v>
      </c>
      <c r="G25" s="80"/>
      <c r="H25" s="80"/>
      <c r="I25" s="80"/>
      <c r="J25" s="78" t="str">
        <f>IFERROR(VLOOKUP(I25,Jueces!$A$1:$B$11,2,FALSE),"")</f>
        <v/>
      </c>
      <c r="K25" s="78" t="s">
        <v>811</v>
      </c>
      <c r="L25" s="78" t="s">
        <v>711</v>
      </c>
      <c r="M25" s="78" t="s">
        <v>3533</v>
      </c>
      <c r="Q25" s="3" t="s">
        <v>5709</v>
      </c>
      <c r="R25" s="34">
        <f t="shared" si="0"/>
        <v>0</v>
      </c>
    </row>
    <row r="26" spans="3:50" ht="118.8">
      <c r="C26" s="78" t="s">
        <v>2884</v>
      </c>
      <c r="D26" s="79" t="s">
        <v>2885</v>
      </c>
      <c r="E26" s="78">
        <v>8</v>
      </c>
      <c r="F26" s="78" t="s">
        <v>2751</v>
      </c>
      <c r="G26" s="80"/>
      <c r="H26" s="80"/>
      <c r="I26" s="80" t="s">
        <v>2925</v>
      </c>
      <c r="J26" s="78" t="s">
        <v>1916</v>
      </c>
      <c r="K26" s="78" t="s">
        <v>792</v>
      </c>
      <c r="L26" s="78" t="s">
        <v>2103</v>
      </c>
      <c r="M26" s="78" t="s">
        <v>3159</v>
      </c>
      <c r="Q26" s="3" t="s">
        <v>5710</v>
      </c>
      <c r="R26" s="34">
        <f t="shared" si="0"/>
        <v>0</v>
      </c>
    </row>
    <row r="27" spans="3:50" ht="158.4">
      <c r="C27" s="76" t="s">
        <v>1309</v>
      </c>
      <c r="D27" s="203" t="s">
        <v>3566</v>
      </c>
      <c r="E27" s="76">
        <v>2</v>
      </c>
      <c r="F27" s="76" t="s">
        <v>3324</v>
      </c>
      <c r="G27" s="234">
        <v>45243</v>
      </c>
      <c r="H27" s="234" t="s">
        <v>73</v>
      </c>
      <c r="I27" s="234" t="s">
        <v>78</v>
      </c>
      <c r="J27" s="76">
        <f>IFERROR(VLOOKUP(I27,Jueces!$A$1:$B$11,2,FALSE),"")</f>
        <v>8</v>
      </c>
      <c r="K27" s="76" t="s">
        <v>582</v>
      </c>
      <c r="L27" s="76" t="s">
        <v>712</v>
      </c>
      <c r="M27" s="76" t="s">
        <v>3889</v>
      </c>
      <c r="Q27" s="57" t="s">
        <v>460</v>
      </c>
      <c r="R27" s="57">
        <f>SUM(R2:R26)</f>
        <v>0</v>
      </c>
    </row>
    <row r="28" spans="3:50" s="1" customFormat="1" ht="39.9" customHeight="1">
      <c r="C28" s="249" t="s">
        <v>3854</v>
      </c>
      <c r="D28" s="250" t="s">
        <v>3875</v>
      </c>
      <c r="E28" s="249">
        <v>3</v>
      </c>
      <c r="F28" s="249" t="s">
        <v>3323</v>
      </c>
      <c r="G28" s="346">
        <v>45257</v>
      </c>
      <c r="H28" s="346" t="s">
        <v>1083</v>
      </c>
      <c r="I28" s="346" t="s">
        <v>1221</v>
      </c>
      <c r="J28" s="47" t="s">
        <v>4014</v>
      </c>
      <c r="K28" s="324"/>
      <c r="L28" s="324"/>
      <c r="M28" s="249" t="s">
        <v>3966</v>
      </c>
      <c r="O28" s="112"/>
      <c r="P28" s="112"/>
      <c r="Q28" s="343"/>
      <c r="R28" s="344"/>
      <c r="S28" s="112"/>
      <c r="T28" s="113"/>
      <c r="U28" s="113"/>
      <c r="V28" s="112"/>
      <c r="W28" s="112"/>
      <c r="X28" s="112"/>
      <c r="Y28" s="112"/>
      <c r="Z28" s="112"/>
      <c r="AA28" s="345"/>
      <c r="AB28" s="112"/>
      <c r="AC28" s="114"/>
    </row>
    <row r="29" spans="3:50" s="1" customFormat="1" ht="39.9" customHeight="1">
      <c r="C29" s="249" t="s">
        <v>3112</v>
      </c>
      <c r="D29" s="250" t="s">
        <v>3175</v>
      </c>
      <c r="E29" s="249">
        <v>1</v>
      </c>
      <c r="F29" s="249" t="s">
        <v>1433</v>
      </c>
      <c r="G29" s="346">
        <v>45245</v>
      </c>
      <c r="H29" s="346" t="s">
        <v>73</v>
      </c>
      <c r="I29" s="346" t="s">
        <v>1217</v>
      </c>
      <c r="J29" s="249" t="s">
        <v>1916</v>
      </c>
      <c r="K29" s="249" t="s">
        <v>789</v>
      </c>
      <c r="L29" s="249" t="s">
        <v>712</v>
      </c>
      <c r="M29" s="249" t="s">
        <v>4027</v>
      </c>
      <c r="O29" s="112"/>
      <c r="P29" s="112"/>
      <c r="Q29" s="114">
        <f>COUNTA(A:A)-1</f>
        <v>3</v>
      </c>
      <c r="R29" s="112" t="s">
        <v>6428</v>
      </c>
      <c r="S29" s="112"/>
      <c r="T29" s="113"/>
      <c r="U29" s="113"/>
      <c r="V29" s="112"/>
      <c r="W29" s="112"/>
      <c r="X29" s="112"/>
      <c r="Y29" s="112"/>
      <c r="Z29" s="112"/>
      <c r="AA29" s="345"/>
      <c r="AB29" s="112"/>
      <c r="AC29" s="114"/>
      <c r="AD29" s="8"/>
      <c r="AE29" s="8"/>
      <c r="AF29" s="8"/>
      <c r="AG29" s="8"/>
      <c r="AH29" s="8"/>
    </row>
    <row r="30" spans="3:50" ht="145.19999999999999">
      <c r="C30" s="78" t="s">
        <v>3728</v>
      </c>
      <c r="D30" s="79" t="s">
        <v>3744</v>
      </c>
      <c r="E30" s="78">
        <v>6</v>
      </c>
      <c r="F30" s="78" t="s">
        <v>1435</v>
      </c>
      <c r="G30" s="80">
        <v>45245</v>
      </c>
      <c r="H30" s="80" t="s">
        <v>73</v>
      </c>
      <c r="I30" s="80" t="s">
        <v>2925</v>
      </c>
      <c r="J30" s="78" t="s">
        <v>3776</v>
      </c>
      <c r="K30" s="78" t="s">
        <v>2077</v>
      </c>
      <c r="L30" s="331" t="s">
        <v>3729</v>
      </c>
      <c r="M30" s="78" t="s">
        <v>4029</v>
      </c>
    </row>
    <row r="31" spans="3:50" ht="79.2">
      <c r="C31" s="78" t="s">
        <v>3783</v>
      </c>
      <c r="D31" s="79" t="s">
        <v>3807</v>
      </c>
      <c r="E31" s="78">
        <v>4</v>
      </c>
      <c r="F31" s="78" t="s">
        <v>1434</v>
      </c>
      <c r="G31" s="80">
        <v>45253</v>
      </c>
      <c r="H31" s="80" t="s">
        <v>1206</v>
      </c>
      <c r="I31" s="80" t="s">
        <v>31</v>
      </c>
      <c r="J31" s="78">
        <f>IFERROR(VLOOKUP(I31,Jueces!$A$1:$B$11,2,FALSE),"")</f>
        <v>2</v>
      </c>
      <c r="K31" s="78" t="s">
        <v>811</v>
      </c>
      <c r="L31" s="78" t="s">
        <v>3755</v>
      </c>
      <c r="M31" s="353" t="s">
        <v>4147</v>
      </c>
    </row>
    <row r="32" spans="3:50" ht="224.4">
      <c r="C32" s="325" t="s">
        <v>159</v>
      </c>
      <c r="D32" s="79" t="s">
        <v>4025</v>
      </c>
      <c r="E32" s="75">
        <v>3</v>
      </c>
      <c r="F32" s="75" t="s">
        <v>43</v>
      </c>
      <c r="G32" s="77">
        <v>45254</v>
      </c>
      <c r="H32" s="80" t="s">
        <v>1206</v>
      </c>
      <c r="I32" s="77" t="s">
        <v>1217</v>
      </c>
      <c r="J32" s="75">
        <f>IFERROR(VLOOKUP(I32,Jueces!$A$1:$B$11,2,FALSE),"")</f>
        <v>7</v>
      </c>
      <c r="K32" s="78" t="s">
        <v>792</v>
      </c>
      <c r="L32" s="340" t="s">
        <v>4026</v>
      </c>
      <c r="M32" s="78" t="s">
        <v>4187</v>
      </c>
    </row>
    <row r="33" spans="3:22" s="1" customFormat="1" ht="39.9" customHeight="1">
      <c r="C33" s="78" t="s">
        <v>4107</v>
      </c>
      <c r="D33" s="79" t="s">
        <v>4240</v>
      </c>
      <c r="E33" s="75">
        <v>4</v>
      </c>
      <c r="F33" s="75" t="s">
        <v>2753</v>
      </c>
      <c r="G33" s="77">
        <v>45259</v>
      </c>
      <c r="H33" s="80" t="s">
        <v>73</v>
      </c>
      <c r="I33" s="77" t="s">
        <v>31</v>
      </c>
      <c r="J33" s="75">
        <f>IFERROR(VLOOKUP(I33,Jueces!$A$1:$B$11,2,FALSE),"")</f>
        <v>2</v>
      </c>
      <c r="K33" s="78" t="s">
        <v>807</v>
      </c>
      <c r="L33" s="341" t="s">
        <v>1378</v>
      </c>
      <c r="M33" s="78" t="s">
        <v>4256</v>
      </c>
    </row>
    <row r="34" spans="3:22" ht="132">
      <c r="C34" s="78" t="s">
        <v>4113</v>
      </c>
      <c r="D34" s="79" t="s">
        <v>4114</v>
      </c>
      <c r="E34" s="75">
        <v>3</v>
      </c>
      <c r="F34" s="75" t="s">
        <v>2752</v>
      </c>
      <c r="G34" s="77">
        <v>45273</v>
      </c>
      <c r="H34" s="80" t="s">
        <v>73</v>
      </c>
      <c r="I34" s="77" t="s">
        <v>78</v>
      </c>
      <c r="J34" s="75">
        <f>IFERROR(VLOOKUP(I34,Jueces!$A$1:$B$11,2,FALSE),"")</f>
        <v>8</v>
      </c>
      <c r="K34" s="78" t="s">
        <v>791</v>
      </c>
      <c r="L34" s="370" t="s">
        <v>1378</v>
      </c>
      <c r="M34" s="78" t="s">
        <v>4283</v>
      </c>
    </row>
    <row r="35" spans="3:22" s="1" customFormat="1" ht="52.5" customHeight="1">
      <c r="C35" s="76" t="s">
        <v>4368</v>
      </c>
      <c r="D35" s="203" t="s">
        <v>4376</v>
      </c>
      <c r="E35" s="85">
        <v>5</v>
      </c>
      <c r="F35" s="85" t="s">
        <v>29</v>
      </c>
      <c r="G35" s="204">
        <v>45278</v>
      </c>
      <c r="H35" s="234" t="s">
        <v>73</v>
      </c>
      <c r="I35" s="204" t="s">
        <v>2925</v>
      </c>
      <c r="J35" s="78" t="s">
        <v>3776</v>
      </c>
      <c r="K35" s="76" t="s">
        <v>810</v>
      </c>
      <c r="L35" s="76" t="s">
        <v>2107</v>
      </c>
      <c r="M35" s="201" t="s">
        <v>4436</v>
      </c>
    </row>
    <row r="36" spans="3:22" s="1" customFormat="1" ht="79.2">
      <c r="C36" s="78" t="s">
        <v>4197</v>
      </c>
      <c r="D36" s="79" t="s">
        <v>4257</v>
      </c>
      <c r="E36" s="75">
        <v>5</v>
      </c>
      <c r="F36" s="75" t="s">
        <v>2815</v>
      </c>
      <c r="G36" s="77">
        <v>45271</v>
      </c>
      <c r="H36" s="80" t="s">
        <v>73</v>
      </c>
      <c r="I36" s="77" t="s">
        <v>2922</v>
      </c>
      <c r="J36" s="78" t="s">
        <v>1916</v>
      </c>
      <c r="K36" s="78" t="s">
        <v>800</v>
      </c>
      <c r="L36" s="78" t="s">
        <v>2107</v>
      </c>
      <c r="M36" s="201" t="s">
        <v>4437</v>
      </c>
      <c r="N36" s="81"/>
      <c r="O36" s="75"/>
      <c r="P36" s="75"/>
      <c r="Q36" s="75"/>
      <c r="R36" s="75"/>
      <c r="S36" s="75"/>
      <c r="T36" s="296" t="s">
        <v>2828</v>
      </c>
      <c r="U36" s="75"/>
      <c r="V36" s="75"/>
    </row>
    <row r="37" spans="3:22" s="1" customFormat="1" ht="39.9" customHeight="1">
      <c r="C37" s="167" t="s">
        <v>3971</v>
      </c>
      <c r="D37" s="168" t="s">
        <v>4028</v>
      </c>
      <c r="E37" s="326">
        <v>4</v>
      </c>
      <c r="F37" s="167" t="s">
        <v>583</v>
      </c>
      <c r="G37" s="338"/>
      <c r="H37" s="298"/>
      <c r="I37" s="338"/>
      <c r="J37" s="326"/>
      <c r="K37" s="167" t="s">
        <v>799</v>
      </c>
      <c r="L37" s="167" t="s">
        <v>3755</v>
      </c>
      <c r="M37" s="378" t="s">
        <v>4423</v>
      </c>
    </row>
    <row r="38" spans="3:22" ht="36.75" customHeight="1">
      <c r="C38" s="167" t="s">
        <v>4199</v>
      </c>
      <c r="D38" s="168" t="s">
        <v>4200</v>
      </c>
      <c r="E38" s="326">
        <v>4</v>
      </c>
      <c r="F38" s="167" t="s">
        <v>583</v>
      </c>
      <c r="G38" s="338"/>
      <c r="H38" s="338"/>
      <c r="I38" s="338"/>
      <c r="J38" s="326" t="str">
        <f>IFERROR(VLOOKUP(I38,Jueces!$A$1:$B$11,2,FALSE),"")</f>
        <v/>
      </c>
      <c r="K38" s="167" t="s">
        <v>810</v>
      </c>
      <c r="L38" s="167"/>
      <c r="M38" s="378" t="s">
        <v>4449</v>
      </c>
    </row>
    <row r="39" spans="3:22" ht="66">
      <c r="C39" s="78" t="s">
        <v>3126</v>
      </c>
      <c r="D39" s="79" t="s">
        <v>3165</v>
      </c>
      <c r="E39" s="78">
        <v>2</v>
      </c>
      <c r="F39" s="78" t="s">
        <v>1435</v>
      </c>
      <c r="G39" s="80"/>
      <c r="H39" s="80"/>
      <c r="I39" s="80" t="s">
        <v>2922</v>
      </c>
      <c r="J39" s="78" t="s">
        <v>1916</v>
      </c>
      <c r="K39" s="78" t="s">
        <v>807</v>
      </c>
      <c r="L39" s="78" t="s">
        <v>692</v>
      </c>
      <c r="M39" s="78" t="s">
        <v>3988</v>
      </c>
    </row>
    <row r="40" spans="3:22" ht="118.8">
      <c r="C40" s="206" t="s">
        <v>3192</v>
      </c>
      <c r="D40" s="207" t="s">
        <v>3578</v>
      </c>
      <c r="E40" s="206">
        <v>2</v>
      </c>
      <c r="F40" s="206" t="s">
        <v>1434</v>
      </c>
      <c r="G40" s="294">
        <v>45273</v>
      </c>
      <c r="H40" s="294" t="s">
        <v>73</v>
      </c>
      <c r="I40" s="294" t="s">
        <v>35</v>
      </c>
      <c r="J40" s="206">
        <f>IFERROR(VLOOKUP(I40,Jueces!$A$1:$B$11,2,FALSE),"")</f>
        <v>3</v>
      </c>
      <c r="K40" s="206" t="s">
        <v>810</v>
      </c>
      <c r="L40" s="206" t="s">
        <v>692</v>
      </c>
      <c r="M40" s="206" t="s">
        <v>4464</v>
      </c>
    </row>
    <row r="41" spans="3:22" ht="92.4">
      <c r="C41" s="78" t="s">
        <v>4518</v>
      </c>
      <c r="D41" s="79" t="s">
        <v>4519</v>
      </c>
      <c r="E41" s="75">
        <v>6</v>
      </c>
      <c r="F41" s="78" t="s">
        <v>3323</v>
      </c>
      <c r="G41" s="77">
        <v>45281</v>
      </c>
      <c r="H41" s="80" t="s">
        <v>1083</v>
      </c>
      <c r="I41" s="80" t="s">
        <v>1221</v>
      </c>
      <c r="J41" s="75">
        <f>IFERROR(VLOOKUP(I41,Jueces!$A$1:$B$11,2,FALSE),"")</f>
        <v>6</v>
      </c>
      <c r="K41" s="78" t="s">
        <v>792</v>
      </c>
      <c r="L41" s="76" t="s">
        <v>2201</v>
      </c>
      <c r="M41" s="78" t="s">
        <v>4662</v>
      </c>
    </row>
    <row r="42" spans="3:22" ht="118.8">
      <c r="C42" s="206" t="s">
        <v>4544</v>
      </c>
      <c r="D42" s="207" t="s">
        <v>4545</v>
      </c>
      <c r="E42" s="329">
        <v>5</v>
      </c>
      <c r="F42" s="206" t="s">
        <v>3323</v>
      </c>
      <c r="G42" s="351">
        <v>45288</v>
      </c>
      <c r="H42" s="294" t="s">
        <v>1083</v>
      </c>
      <c r="I42" s="294"/>
      <c r="J42" s="329" t="str">
        <f>IFERROR(VLOOKUP(I42,Jueces!$A$1:$B$11,2,FALSE),"")</f>
        <v/>
      </c>
      <c r="K42" s="206" t="s">
        <v>808</v>
      </c>
      <c r="L42" s="206" t="s">
        <v>2107</v>
      </c>
      <c r="M42" s="206" t="s">
        <v>4933</v>
      </c>
    </row>
    <row r="43" spans="3:22" ht="145.19999999999999">
      <c r="C43" s="206" t="s">
        <v>4427</v>
      </c>
      <c r="D43" s="402" t="s">
        <v>4428</v>
      </c>
      <c r="E43" s="329">
        <v>5</v>
      </c>
      <c r="F43" s="206" t="s">
        <v>29</v>
      </c>
      <c r="G43" s="399">
        <v>45288</v>
      </c>
      <c r="H43" s="294" t="s">
        <v>77</v>
      </c>
      <c r="I43" s="294" t="s">
        <v>33</v>
      </c>
      <c r="J43" s="329">
        <f>IFERROR(VLOOKUP(I43,Jueces!$A$1:$B$11,2,FALSE),"")</f>
        <v>4</v>
      </c>
      <c r="K43" s="206" t="s">
        <v>582</v>
      </c>
      <c r="L43" s="206" t="s">
        <v>2107</v>
      </c>
      <c r="M43" s="206" t="s">
        <v>4935</v>
      </c>
    </row>
    <row r="44" spans="3:22" ht="85.5" customHeight="1">
      <c r="C44" s="167" t="s">
        <v>4086</v>
      </c>
      <c r="D44" s="400" t="s">
        <v>4087</v>
      </c>
      <c r="E44" s="326">
        <v>4</v>
      </c>
      <c r="F44" s="326" t="s">
        <v>583</v>
      </c>
      <c r="G44" s="401"/>
      <c r="H44" s="338"/>
      <c r="I44" s="338"/>
      <c r="J44" s="326" t="str">
        <f>IFERROR(VLOOKUP(I44,Jueces!$A$1:$B$11,2,FALSE),"")</f>
        <v/>
      </c>
      <c r="K44" s="167" t="s">
        <v>4778</v>
      </c>
      <c r="L44" s="167" t="s">
        <v>4088</v>
      </c>
      <c r="M44" s="404" t="s">
        <v>4938</v>
      </c>
      <c r="N44" s="112"/>
      <c r="O44" s="110"/>
    </row>
    <row r="45" spans="3:22" ht="85.5" customHeight="1">
      <c r="C45" s="320" t="s">
        <v>4511</v>
      </c>
      <c r="D45" s="321" t="s">
        <v>4739</v>
      </c>
      <c r="E45" s="405">
        <v>4</v>
      </c>
      <c r="F45" s="405" t="s">
        <v>583</v>
      </c>
      <c r="G45" s="406"/>
      <c r="H45" s="406"/>
      <c r="I45" s="406"/>
      <c r="J45" s="405" t="str">
        <f>IFERROR(VLOOKUP(I45,Jueces!$A$1:$B$11,2,FALSE),"")</f>
        <v/>
      </c>
      <c r="K45" s="320" t="s">
        <v>569</v>
      </c>
      <c r="L45" s="320"/>
      <c r="M45" s="407" t="s">
        <v>4632</v>
      </c>
    </row>
    <row r="46" spans="3:22" ht="76.5" customHeight="1">
      <c r="C46" s="320" t="s">
        <v>4291</v>
      </c>
      <c r="D46" s="321" t="s">
        <v>4292</v>
      </c>
      <c r="E46" s="405">
        <v>4</v>
      </c>
      <c r="F46" s="405" t="s">
        <v>583</v>
      </c>
      <c r="G46" s="406"/>
      <c r="H46" s="322"/>
      <c r="I46" s="406"/>
      <c r="J46" s="320"/>
      <c r="K46" s="320" t="s">
        <v>808</v>
      </c>
      <c r="L46" s="408" t="s">
        <v>4321</v>
      </c>
      <c r="M46" s="409" t="s">
        <v>4939</v>
      </c>
    </row>
    <row r="47" spans="3:22" ht="69" customHeight="1">
      <c r="C47" s="206" t="s">
        <v>4833</v>
      </c>
      <c r="D47" s="207" t="s">
        <v>4834</v>
      </c>
      <c r="E47" s="329">
        <v>5</v>
      </c>
      <c r="F47" s="206" t="s">
        <v>2752</v>
      </c>
      <c r="G47" s="351">
        <v>45299</v>
      </c>
      <c r="H47" s="294" t="s">
        <v>76</v>
      </c>
      <c r="I47" s="294" t="s">
        <v>78</v>
      </c>
      <c r="J47" s="329">
        <f>IFERROR(VLOOKUP(I47,Jueces!$A$1:$B$11,2,FALSE),"")</f>
        <v>8</v>
      </c>
      <c r="K47" s="206" t="s">
        <v>4786</v>
      </c>
      <c r="L47" s="410" t="s">
        <v>1408</v>
      </c>
      <c r="M47" s="206" t="s">
        <v>5078</v>
      </c>
    </row>
    <row r="48" spans="3:22" s="1" customFormat="1" ht="39.9" customHeight="1">
      <c r="C48" s="78" t="s">
        <v>5152</v>
      </c>
      <c r="D48" s="79" t="s">
        <v>5153</v>
      </c>
      <c r="E48" s="75">
        <v>2</v>
      </c>
      <c r="F48" s="75" t="s">
        <v>3639</v>
      </c>
      <c r="G48" s="77">
        <v>45314</v>
      </c>
      <c r="H48" s="80" t="s">
        <v>228</v>
      </c>
      <c r="I48" s="77" t="s">
        <v>1217</v>
      </c>
      <c r="J48" s="75">
        <f>IFERROR(VLOOKUP(I48,Jueces!$A$1:$B$11,2,FALSE),"")</f>
        <v>7</v>
      </c>
      <c r="K48" s="78" t="s">
        <v>4778</v>
      </c>
      <c r="L48" s="78"/>
      <c r="M48" s="78" t="s">
        <v>5195</v>
      </c>
    </row>
    <row r="49" spans="3:13" s="1" customFormat="1" ht="39.9" customHeight="1">
      <c r="C49" s="167" t="s">
        <v>5220</v>
      </c>
      <c r="D49" s="168" t="s">
        <v>5221</v>
      </c>
      <c r="E49" s="167">
        <v>2</v>
      </c>
      <c r="F49" s="326" t="s">
        <v>583</v>
      </c>
      <c r="G49" s="338"/>
      <c r="H49" s="338"/>
      <c r="I49" s="338"/>
      <c r="J49" s="326" t="str">
        <f>IFERROR(VLOOKUP(I49,Jueces!$A$1:$B$11,2,FALSE),"")</f>
        <v/>
      </c>
      <c r="K49" s="167" t="s">
        <v>4789</v>
      </c>
      <c r="L49" s="167"/>
      <c r="M49" s="167" t="s">
        <v>5287</v>
      </c>
    </row>
    <row r="50" spans="3:13" ht="79.2">
      <c r="C50" s="325" t="s">
        <v>5348</v>
      </c>
      <c r="D50" s="79" t="s">
        <v>5349</v>
      </c>
      <c r="E50" s="75">
        <v>7</v>
      </c>
      <c r="F50" s="75" t="s">
        <v>5009</v>
      </c>
      <c r="G50" s="77">
        <v>45317</v>
      </c>
      <c r="H50" s="80" t="s">
        <v>1755</v>
      </c>
      <c r="I50" s="77" t="s">
        <v>1216</v>
      </c>
      <c r="J50" s="75">
        <f>IFERROR(VLOOKUP(I50,Jueces!$A$1:$B$11,2,FALSE),"")</f>
        <v>1</v>
      </c>
      <c r="K50" s="78" t="s">
        <v>789</v>
      </c>
      <c r="L50" s="78" t="s">
        <v>885</v>
      </c>
      <c r="M50" s="78" t="s">
        <v>5548</v>
      </c>
    </row>
    <row r="51" spans="3:13" ht="79.2">
      <c r="C51" s="325" t="s">
        <v>5404</v>
      </c>
      <c r="D51" s="79" t="s">
        <v>5405</v>
      </c>
      <c r="E51" s="78">
        <v>2</v>
      </c>
      <c r="F51" s="75" t="s">
        <v>1434</v>
      </c>
      <c r="G51" s="77">
        <v>45329</v>
      </c>
      <c r="H51" s="80" t="s">
        <v>73</v>
      </c>
      <c r="I51" s="77" t="s">
        <v>31</v>
      </c>
      <c r="J51" s="75">
        <f>IFERROR(VLOOKUP(I51,Jueces!$A$1:$B$11,2,FALSE),"")</f>
        <v>2</v>
      </c>
      <c r="K51" s="78" t="s">
        <v>805</v>
      </c>
      <c r="L51" s="78" t="s">
        <v>1994</v>
      </c>
      <c r="M51" s="78" t="s">
        <v>5549</v>
      </c>
    </row>
    <row r="52" spans="3:13" ht="105.6">
      <c r="C52" s="75" t="s">
        <v>5354</v>
      </c>
      <c r="D52" s="347" t="s">
        <v>5355</v>
      </c>
      <c r="E52" s="75">
        <v>2</v>
      </c>
      <c r="F52" s="75" t="s">
        <v>3639</v>
      </c>
      <c r="G52" s="77">
        <v>45320</v>
      </c>
      <c r="H52" s="80" t="s">
        <v>75</v>
      </c>
      <c r="I52" s="77" t="s">
        <v>1216</v>
      </c>
      <c r="J52" s="75">
        <v>1</v>
      </c>
      <c r="K52" s="78" t="s">
        <v>4789</v>
      </c>
      <c r="L52" s="78" t="s">
        <v>1084</v>
      </c>
      <c r="M52" s="75" t="s">
        <v>5570</v>
      </c>
    </row>
    <row r="53" spans="3:13" ht="237.6">
      <c r="C53" s="325" t="s">
        <v>5289</v>
      </c>
      <c r="D53" s="79" t="s">
        <v>5290</v>
      </c>
      <c r="E53" s="78">
        <v>6</v>
      </c>
      <c r="F53" s="75" t="s">
        <v>4934</v>
      </c>
      <c r="G53" s="77">
        <v>45321</v>
      </c>
      <c r="H53" s="80" t="s">
        <v>75</v>
      </c>
      <c r="I53" s="77" t="s">
        <v>1216</v>
      </c>
      <c r="J53" s="75">
        <v>1</v>
      </c>
      <c r="K53" s="78" t="s">
        <v>790</v>
      </c>
      <c r="L53" s="78" t="s">
        <v>767</v>
      </c>
      <c r="M53" s="75" t="s">
        <v>5575</v>
      </c>
    </row>
    <row r="54" spans="3:13" ht="118.8">
      <c r="C54" s="78" t="s">
        <v>5384</v>
      </c>
      <c r="D54" s="347" t="s">
        <v>5385</v>
      </c>
      <c r="E54" s="75">
        <v>2</v>
      </c>
      <c r="F54" s="75" t="s">
        <v>283</v>
      </c>
      <c r="G54" s="77">
        <v>45323</v>
      </c>
      <c r="H54" s="80" t="s">
        <v>73</v>
      </c>
      <c r="I54" s="77" t="s">
        <v>35</v>
      </c>
      <c r="J54" s="78">
        <v>3</v>
      </c>
      <c r="K54" s="78" t="s">
        <v>4791</v>
      </c>
      <c r="L54" s="78" t="s">
        <v>711</v>
      </c>
      <c r="M54" s="78" t="s">
        <v>5560</v>
      </c>
    </row>
    <row r="55" spans="3:13" ht="105.6">
      <c r="C55" s="325" t="s">
        <v>5437</v>
      </c>
      <c r="D55" s="79" t="s">
        <v>5438</v>
      </c>
      <c r="E55" s="75">
        <v>1</v>
      </c>
      <c r="F55" s="75" t="s">
        <v>2752</v>
      </c>
      <c r="G55" s="77">
        <v>45328</v>
      </c>
      <c r="H55" s="80" t="s">
        <v>1083</v>
      </c>
      <c r="I55" s="77" t="s">
        <v>4746</v>
      </c>
      <c r="J55" s="78" t="s">
        <v>1916</v>
      </c>
      <c r="K55" s="78" t="s">
        <v>4785</v>
      </c>
      <c r="L55" s="78" t="s">
        <v>4871</v>
      </c>
      <c r="M55" s="78" t="s">
        <v>5604</v>
      </c>
    </row>
    <row r="56" spans="3:13" ht="132">
      <c r="C56" s="78" t="s">
        <v>5139</v>
      </c>
      <c r="D56" s="79" t="s">
        <v>5140</v>
      </c>
      <c r="E56" s="75">
        <v>6</v>
      </c>
      <c r="F56" s="75" t="s">
        <v>1434</v>
      </c>
      <c r="G56" s="77">
        <v>45321</v>
      </c>
      <c r="H56" s="80" t="s">
        <v>76</v>
      </c>
      <c r="I56" s="77" t="s">
        <v>1217</v>
      </c>
      <c r="J56" s="75">
        <f>IFERROR(VLOOKUP(I56,Jueces!$A$1:$B$11,2,FALSE),"")</f>
        <v>7</v>
      </c>
      <c r="K56" s="78" t="s">
        <v>790</v>
      </c>
      <c r="L56" s="341" t="s">
        <v>5090</v>
      </c>
      <c r="M56" s="78" t="s">
        <v>5606</v>
      </c>
    </row>
    <row r="57" spans="3:13" ht="171.6">
      <c r="C57" s="233" t="s">
        <v>5496</v>
      </c>
      <c r="D57" s="235" t="s">
        <v>5497</v>
      </c>
      <c r="E57" s="426">
        <v>8</v>
      </c>
      <c r="F57" s="426" t="s">
        <v>583</v>
      </c>
      <c r="G57" s="427"/>
      <c r="H57" s="427"/>
      <c r="I57" s="427"/>
      <c r="J57" s="426" t="str">
        <f>IFERROR(VLOOKUP(I57,Jueces!$A$1:$B$11,2,FALSE),"")</f>
        <v/>
      </c>
      <c r="K57" s="233" t="s">
        <v>4792</v>
      </c>
      <c r="L57" s="233" t="s">
        <v>5615</v>
      </c>
      <c r="M57" s="233" t="s">
        <v>5617</v>
      </c>
    </row>
    <row r="58" spans="3:13" ht="79.2">
      <c r="C58" s="78" t="s">
        <v>5447</v>
      </c>
      <c r="D58" s="79" t="s">
        <v>5448</v>
      </c>
      <c r="E58" s="78" t="s">
        <v>5451</v>
      </c>
      <c r="F58" s="75" t="s">
        <v>1434</v>
      </c>
      <c r="G58" s="77">
        <v>45327</v>
      </c>
      <c r="H58" s="80" t="s">
        <v>73</v>
      </c>
      <c r="I58" s="77" t="s">
        <v>1217</v>
      </c>
      <c r="J58" s="75">
        <f>IFERROR(VLOOKUP(I58,Jueces!$A$1:$B$11,2,FALSE),"")</f>
        <v>7</v>
      </c>
      <c r="K58" s="78" t="s">
        <v>789</v>
      </c>
      <c r="L58" s="78" t="s">
        <v>711</v>
      </c>
      <c r="M58" s="78" t="s">
        <v>5627</v>
      </c>
    </row>
    <row r="59" spans="3:13" ht="92.4">
      <c r="C59" s="78" t="s">
        <v>5186</v>
      </c>
      <c r="D59" s="79" t="s">
        <v>5187</v>
      </c>
      <c r="E59" s="78">
        <v>7</v>
      </c>
      <c r="F59" s="75" t="s">
        <v>283</v>
      </c>
      <c r="G59" s="77">
        <v>45330</v>
      </c>
      <c r="H59" s="77" t="s">
        <v>73</v>
      </c>
      <c r="I59" s="77" t="s">
        <v>31</v>
      </c>
      <c r="J59" s="75">
        <v>2</v>
      </c>
      <c r="K59" s="78" t="s">
        <v>789</v>
      </c>
      <c r="L59" s="78" t="s">
        <v>2107</v>
      </c>
      <c r="M59" s="78" t="s">
        <v>5703</v>
      </c>
    </row>
    <row r="60" spans="3:13" ht="79.2">
      <c r="C60" s="75" t="s">
        <v>5386</v>
      </c>
      <c r="D60" s="347" t="s">
        <v>5387</v>
      </c>
      <c r="E60" s="75">
        <v>7</v>
      </c>
      <c r="F60" s="75" t="s">
        <v>29</v>
      </c>
      <c r="G60" s="77">
        <v>45324</v>
      </c>
      <c r="H60" s="80" t="s">
        <v>73</v>
      </c>
      <c r="I60" s="77" t="s">
        <v>4931</v>
      </c>
      <c r="J60" s="78" t="s">
        <v>2324</v>
      </c>
      <c r="K60" s="78" t="s">
        <v>4767</v>
      </c>
      <c r="L60" s="78" t="s">
        <v>5388</v>
      </c>
      <c r="M60" s="78" t="s">
        <v>5704</v>
      </c>
    </row>
    <row r="61" spans="3:13" ht="158.4">
      <c r="C61" s="435" t="s">
        <v>5443</v>
      </c>
      <c r="D61" s="436" t="s">
        <v>5444</v>
      </c>
      <c r="E61" s="437">
        <v>3</v>
      </c>
      <c r="F61" s="437" t="s">
        <v>1433</v>
      </c>
      <c r="G61" s="438">
        <v>45327</v>
      </c>
      <c r="H61" s="439" t="s">
        <v>73</v>
      </c>
      <c r="I61" s="438" t="s">
        <v>35</v>
      </c>
      <c r="J61" s="437">
        <f>IFERROR(VLOOKUP(I61,Jueces!$A$1:$B$11,2,FALSE),"")</f>
        <v>3</v>
      </c>
      <c r="K61" s="435" t="s">
        <v>791</v>
      </c>
      <c r="L61" s="435" t="s">
        <v>711</v>
      </c>
      <c r="M61" s="435" t="s">
        <v>5731</v>
      </c>
    </row>
    <row r="62" spans="3:13" ht="92.4">
      <c r="C62" s="435" t="s">
        <v>5514</v>
      </c>
      <c r="D62" s="436" t="s">
        <v>5515</v>
      </c>
      <c r="E62" s="437">
        <v>2</v>
      </c>
      <c r="F62" s="437" t="s">
        <v>3791</v>
      </c>
      <c r="G62" s="438">
        <v>45330</v>
      </c>
      <c r="H62" s="439" t="s">
        <v>73</v>
      </c>
      <c r="I62" s="438" t="s">
        <v>4932</v>
      </c>
      <c r="J62" s="435" t="s">
        <v>1341</v>
      </c>
      <c r="K62" s="435" t="s">
        <v>4792</v>
      </c>
      <c r="L62" s="435" t="s">
        <v>711</v>
      </c>
      <c r="M62" s="435" t="s">
        <v>5763</v>
      </c>
    </row>
    <row r="63" spans="3:13" ht="64.5" customHeight="1">
      <c r="C63" s="440" t="s">
        <v>5473</v>
      </c>
      <c r="D63" s="441" t="s">
        <v>5700</v>
      </c>
      <c r="E63" s="440">
        <v>7</v>
      </c>
      <c r="F63" s="442" t="s">
        <v>2815</v>
      </c>
      <c r="G63" s="443">
        <v>45328</v>
      </c>
      <c r="H63" s="444" t="s">
        <v>73</v>
      </c>
      <c r="I63" s="443" t="s">
        <v>4932</v>
      </c>
      <c r="J63" s="440" t="s">
        <v>1916</v>
      </c>
      <c r="K63" s="440" t="s">
        <v>789</v>
      </c>
      <c r="L63" s="440" t="s">
        <v>885</v>
      </c>
      <c r="M63" s="440" t="s">
        <v>5775</v>
      </c>
    </row>
    <row r="64" spans="3:13" ht="79.2">
      <c r="C64" s="75" t="s">
        <v>5461</v>
      </c>
      <c r="D64" s="347" t="s">
        <v>5462</v>
      </c>
      <c r="E64" s="75">
        <v>2</v>
      </c>
      <c r="F64" s="75" t="s">
        <v>1435</v>
      </c>
      <c r="G64" s="424">
        <v>45343</v>
      </c>
      <c r="H64" s="80" t="s">
        <v>1083</v>
      </c>
      <c r="I64" s="77" t="s">
        <v>35</v>
      </c>
      <c r="J64" s="78">
        <v>3</v>
      </c>
      <c r="K64" s="78" t="s">
        <v>806</v>
      </c>
      <c r="L64" s="78" t="s">
        <v>711</v>
      </c>
      <c r="M64" s="78" t="s">
        <v>6045</v>
      </c>
    </row>
    <row r="65" spans="3:13" ht="171.6">
      <c r="C65" s="437" t="s">
        <v>6038</v>
      </c>
      <c r="D65" s="494" t="s">
        <v>6075</v>
      </c>
      <c r="E65" s="437">
        <v>4</v>
      </c>
      <c r="F65" s="437" t="s">
        <v>583</v>
      </c>
      <c r="G65" s="438"/>
      <c r="H65" s="438"/>
      <c r="I65" s="438"/>
      <c r="J65" s="437" t="str">
        <f>IFERROR(VLOOKUP(I65,Jueces!$A$1:$B$11,2,FALSE),"")</f>
        <v/>
      </c>
      <c r="K65" s="435" t="s">
        <v>2077</v>
      </c>
      <c r="L65" s="435"/>
      <c r="M65" s="435" t="s">
        <v>6082</v>
      </c>
    </row>
    <row r="66" spans="3:13" ht="52.8">
      <c r="C66" s="167" t="s">
        <v>6041</v>
      </c>
      <c r="D66" s="168" t="s">
        <v>6073</v>
      </c>
      <c r="E66" s="326">
        <v>4</v>
      </c>
      <c r="F66" s="326" t="s">
        <v>583</v>
      </c>
      <c r="G66" s="338"/>
      <c r="H66" s="338"/>
      <c r="I66" s="338"/>
      <c r="J66" s="326" t="str">
        <f>IFERROR(VLOOKUP(I66,Jueces!$A$1:$B$11,2,FALSE),"")</f>
        <v/>
      </c>
      <c r="K66" s="167" t="s">
        <v>789</v>
      </c>
      <c r="L66" s="167"/>
      <c r="M66" s="167" t="s">
        <v>6170</v>
      </c>
    </row>
    <row r="67" spans="3:13" ht="41.25" customHeight="1">
      <c r="C67" s="167" t="s">
        <v>6038</v>
      </c>
      <c r="D67" s="168" t="s">
        <v>6134</v>
      </c>
      <c r="E67" s="326">
        <v>4</v>
      </c>
      <c r="F67" s="326" t="s">
        <v>583</v>
      </c>
      <c r="G67" s="338"/>
      <c r="H67" s="338"/>
      <c r="I67" s="338"/>
      <c r="J67" s="326" t="str">
        <f>IFERROR(VLOOKUP(I67,Jueces!$A$1:$B$11,2,FALSE),"")</f>
        <v/>
      </c>
      <c r="K67" s="167" t="s">
        <v>2077</v>
      </c>
      <c r="L67" s="167"/>
      <c r="M67" s="326" t="s">
        <v>6172</v>
      </c>
    </row>
    <row r="68" spans="3:13" ht="84" customHeight="1">
      <c r="C68" s="167" t="s">
        <v>6146</v>
      </c>
      <c r="D68" s="168" t="s">
        <v>6147</v>
      </c>
      <c r="E68" s="326">
        <v>4</v>
      </c>
      <c r="F68" s="326" t="s">
        <v>583</v>
      </c>
      <c r="G68" s="338"/>
      <c r="H68" s="338"/>
      <c r="I68" s="338"/>
      <c r="J68" s="326" t="str">
        <f>IFERROR(VLOOKUP(I68,Jueces!$A$1:$B$11,2,FALSE),"")</f>
        <v/>
      </c>
      <c r="K68" s="167" t="s">
        <v>4778</v>
      </c>
      <c r="L68" s="167"/>
      <c r="M68" s="326" t="s">
        <v>6171</v>
      </c>
    </row>
    <row r="69" spans="3:13" ht="105.6">
      <c r="C69" s="167" t="s">
        <v>6092</v>
      </c>
      <c r="D69" s="168" t="s">
        <v>6175</v>
      </c>
      <c r="E69" s="326">
        <v>4</v>
      </c>
      <c r="F69" s="326" t="s">
        <v>583</v>
      </c>
      <c r="G69" s="338"/>
      <c r="H69" s="338"/>
      <c r="I69" s="338"/>
      <c r="J69" s="326"/>
      <c r="K69" s="167" t="s">
        <v>582</v>
      </c>
      <c r="L69" s="167"/>
      <c r="M69" s="167" t="s">
        <v>6176</v>
      </c>
    </row>
    <row r="70" spans="3:13" ht="52.8">
      <c r="C70" s="435" t="s">
        <v>6046</v>
      </c>
      <c r="D70" s="436" t="s">
        <v>6047</v>
      </c>
      <c r="E70" s="437">
        <v>4</v>
      </c>
      <c r="F70" s="437" t="s">
        <v>583</v>
      </c>
      <c r="G70" s="438"/>
      <c r="H70" s="438"/>
      <c r="I70" s="438"/>
      <c r="J70" s="437" t="str">
        <f>IFERROR(VLOOKUP(I70,Jueces!$A$1:$B$11,2,FALSE),"")</f>
        <v/>
      </c>
      <c r="K70" s="435" t="s">
        <v>4788</v>
      </c>
      <c r="L70" s="435"/>
      <c r="M70" s="435" t="s">
        <v>6184</v>
      </c>
    </row>
    <row r="71" spans="3:13" ht="198">
      <c r="C71" s="437" t="s">
        <v>2948</v>
      </c>
      <c r="D71" s="436" t="s">
        <v>6126</v>
      </c>
      <c r="E71" s="437">
        <v>1</v>
      </c>
      <c r="F71" s="435" t="s">
        <v>2815</v>
      </c>
      <c r="G71" s="503">
        <v>45351</v>
      </c>
      <c r="H71" s="439" t="s">
        <v>1083</v>
      </c>
      <c r="I71" s="439" t="s">
        <v>1217</v>
      </c>
      <c r="J71" s="437">
        <f>IFERROR(VLOOKUP(I71,Jueces!$A$1:$B$11,2,FALSE),"")</f>
        <v>7</v>
      </c>
      <c r="K71" s="435" t="s">
        <v>791</v>
      </c>
      <c r="L71" s="435" t="s">
        <v>711</v>
      </c>
      <c r="M71" s="435" t="s">
        <v>6192</v>
      </c>
    </row>
    <row r="72" spans="3:13" ht="118.8">
      <c r="C72" s="233" t="s">
        <v>6167</v>
      </c>
      <c r="D72" s="235" t="s">
        <v>6168</v>
      </c>
      <c r="E72" s="426">
        <v>4</v>
      </c>
      <c r="F72" s="426" t="s">
        <v>583</v>
      </c>
      <c r="G72" s="427"/>
      <c r="H72" s="427"/>
      <c r="I72" s="427"/>
      <c r="J72" s="426" t="str">
        <f>IFERROR(VLOOKUP(I72,Jueces!$A$1:$B$11,2,FALSE),"")</f>
        <v/>
      </c>
      <c r="K72" s="233" t="s">
        <v>4789</v>
      </c>
      <c r="L72" s="495" t="s">
        <v>5626</v>
      </c>
      <c r="M72" s="233" t="s">
        <v>6199</v>
      </c>
    </row>
    <row r="73" spans="3:13" ht="53.25" customHeight="1">
      <c r="C73" s="167" t="s">
        <v>6177</v>
      </c>
      <c r="D73" s="168" t="s">
        <v>6178</v>
      </c>
      <c r="E73" s="326">
        <v>4</v>
      </c>
      <c r="F73" s="326" t="s">
        <v>583</v>
      </c>
      <c r="G73" s="338"/>
      <c r="H73" s="338"/>
      <c r="I73" s="338"/>
      <c r="J73" s="326" t="str">
        <f>IFERROR(VLOOKUP(I73,Jueces!$A$1:$B$11,2,FALSE),"")</f>
        <v/>
      </c>
      <c r="K73" s="167" t="s">
        <v>4779</v>
      </c>
      <c r="L73" s="167" t="s">
        <v>695</v>
      </c>
      <c r="M73" s="167" t="s">
        <v>6213</v>
      </c>
    </row>
    <row r="74" spans="3:13" ht="53.25" customHeight="1">
      <c r="C74" s="167" t="s">
        <v>6197</v>
      </c>
      <c r="D74" s="168" t="s">
        <v>6198</v>
      </c>
      <c r="E74" s="326">
        <v>4</v>
      </c>
      <c r="F74" s="326" t="s">
        <v>583</v>
      </c>
      <c r="G74" s="338"/>
      <c r="H74" s="338"/>
      <c r="I74" s="338"/>
      <c r="J74" s="326" t="str">
        <f>IFERROR(VLOOKUP(I74,Jueces!$A$1:$B$11,2,FALSE),"")</f>
        <v/>
      </c>
      <c r="K74" s="167" t="s">
        <v>789</v>
      </c>
      <c r="L74" s="167"/>
      <c r="M74" s="167" t="s">
        <v>6212</v>
      </c>
    </row>
    <row r="75" spans="3:13" ht="97.5" customHeight="1">
      <c r="C75" s="440" t="s">
        <v>5845</v>
      </c>
      <c r="D75" s="504" t="s">
        <v>5846</v>
      </c>
      <c r="E75" s="442">
        <v>3</v>
      </c>
      <c r="F75" s="440" t="s">
        <v>3324</v>
      </c>
      <c r="G75" s="505">
        <v>45352</v>
      </c>
      <c r="H75" s="444" t="s">
        <v>1083</v>
      </c>
      <c r="I75" s="444" t="s">
        <v>1216</v>
      </c>
      <c r="J75" s="442">
        <f>IFERROR(VLOOKUP(I75,Jueces!$A$1:$B$11,2,FALSE),"")</f>
        <v>1</v>
      </c>
      <c r="K75" s="440" t="s">
        <v>789</v>
      </c>
      <c r="L75" s="440" t="s">
        <v>692</v>
      </c>
      <c r="M75" s="506" t="s">
        <v>6232</v>
      </c>
    </row>
    <row r="76" spans="3:13" ht="92.4">
      <c r="C76" s="523" t="s">
        <v>6309</v>
      </c>
      <c r="D76" s="524" t="s">
        <v>6310</v>
      </c>
      <c r="E76" s="525">
        <v>4</v>
      </c>
      <c r="F76" s="534" t="s">
        <v>583</v>
      </c>
      <c r="G76" s="525"/>
      <c r="H76" s="525"/>
      <c r="I76" s="525"/>
      <c r="J76" s="525"/>
      <c r="K76" s="522" t="s">
        <v>4776</v>
      </c>
      <c r="L76" s="525"/>
      <c r="M76" s="522" t="s">
        <v>6212</v>
      </c>
    </row>
    <row r="77" spans="3:13" ht="105.6">
      <c r="C77" s="78" t="s">
        <v>5954</v>
      </c>
      <c r="D77" s="79" t="s">
        <v>6135</v>
      </c>
      <c r="E77" s="75">
        <v>4</v>
      </c>
      <c r="F77" s="78" t="s">
        <v>2815</v>
      </c>
      <c r="G77" s="424">
        <v>45357</v>
      </c>
      <c r="H77" s="80" t="s">
        <v>1083</v>
      </c>
      <c r="I77" s="80" t="s">
        <v>1216</v>
      </c>
      <c r="J77" s="75">
        <v>1</v>
      </c>
      <c r="K77" s="78" t="s">
        <v>805</v>
      </c>
      <c r="L77" s="78" t="s">
        <v>694</v>
      </c>
      <c r="M77" s="78" t="s">
        <v>6327</v>
      </c>
    </row>
    <row r="78" spans="3:13" ht="224.4">
      <c r="C78" s="512" t="s">
        <v>6238</v>
      </c>
      <c r="D78" s="513" t="s">
        <v>6239</v>
      </c>
      <c r="E78" s="510">
        <v>4</v>
      </c>
      <c r="F78" s="512" t="s">
        <v>1435</v>
      </c>
      <c r="G78" s="511">
        <v>45362</v>
      </c>
      <c r="H78" s="514" t="s">
        <v>1146</v>
      </c>
      <c r="I78" s="514" t="s">
        <v>1216</v>
      </c>
      <c r="J78" s="512" t="s">
        <v>6262</v>
      </c>
      <c r="K78" s="512" t="s">
        <v>4792</v>
      </c>
      <c r="L78" s="512" t="s">
        <v>695</v>
      </c>
      <c r="M78" s="512" t="s">
        <v>6392</v>
      </c>
    </row>
    <row r="79" spans="3:13" ht="132">
      <c r="C79" s="431" t="s">
        <v>6463</v>
      </c>
      <c r="D79" s="433" t="s">
        <v>6464</v>
      </c>
      <c r="E79" s="434">
        <v>6</v>
      </c>
      <c r="F79" s="434" t="s">
        <v>583</v>
      </c>
      <c r="G79" s="432"/>
      <c r="H79" s="432"/>
      <c r="I79" s="432"/>
      <c r="J79" s="434" t="str">
        <f>IFERROR(VLOOKUP(I79,Jueces!$A$1:$B$11,2,FALSE),"")</f>
        <v/>
      </c>
      <c r="K79" s="431" t="s">
        <v>4788</v>
      </c>
      <c r="L79" s="431" t="s">
        <v>1956</v>
      </c>
      <c r="M79" s="431" t="s">
        <v>6466</v>
      </c>
    </row>
    <row r="80" spans="3:13" ht="105.6">
      <c r="C80" s="78" t="s">
        <v>6364</v>
      </c>
      <c r="D80" s="79" t="s">
        <v>6365</v>
      </c>
      <c r="E80" s="75">
        <v>5</v>
      </c>
      <c r="F80" s="78" t="s">
        <v>1435</v>
      </c>
      <c r="G80" s="77">
        <v>45366</v>
      </c>
      <c r="H80" s="80" t="s">
        <v>77</v>
      </c>
      <c r="I80" s="80" t="s">
        <v>33</v>
      </c>
      <c r="J80" s="75">
        <f>IFERROR(VLOOKUP(I80,Jueces!$A$1:$B$11,2,FALSE),"")</f>
        <v>4</v>
      </c>
      <c r="K80" s="78" t="s">
        <v>4789</v>
      </c>
      <c r="L80" s="78" t="s">
        <v>1866</v>
      </c>
      <c r="M80" s="81" t="s">
        <v>6491</v>
      </c>
    </row>
    <row r="81" spans="1:13" ht="79.2">
      <c r="C81" s="78" t="s">
        <v>6343</v>
      </c>
      <c r="D81" s="79" t="s">
        <v>6344</v>
      </c>
      <c r="E81" s="75">
        <v>5</v>
      </c>
      <c r="F81" s="78" t="s">
        <v>568</v>
      </c>
      <c r="G81" s="77">
        <v>45366</v>
      </c>
      <c r="H81" s="80" t="s">
        <v>73</v>
      </c>
      <c r="I81" s="80" t="s">
        <v>4746</v>
      </c>
      <c r="J81" s="78" t="s">
        <v>3776</v>
      </c>
      <c r="K81" s="78" t="s">
        <v>4789</v>
      </c>
      <c r="L81" s="78" t="s">
        <v>1866</v>
      </c>
      <c r="M81" s="81" t="s">
        <v>6491</v>
      </c>
    </row>
    <row r="82" spans="1:13" s="1" customFormat="1" ht="36" customHeight="1">
      <c r="C82" s="206" t="s">
        <v>6375</v>
      </c>
      <c r="D82" s="207" t="s">
        <v>6376</v>
      </c>
      <c r="E82" s="329">
        <v>6</v>
      </c>
      <c r="F82" s="206" t="s">
        <v>2766</v>
      </c>
      <c r="G82" s="351">
        <v>45369</v>
      </c>
      <c r="H82" s="294" t="s">
        <v>73</v>
      </c>
      <c r="I82" s="294" t="s">
        <v>4932</v>
      </c>
      <c r="J82" s="206" t="s">
        <v>1341</v>
      </c>
      <c r="K82" s="206" t="s">
        <v>4781</v>
      </c>
      <c r="L82" s="206" t="s">
        <v>1956</v>
      </c>
      <c r="M82" s="206" t="s">
        <v>6539</v>
      </c>
    </row>
    <row r="83" spans="1:13" ht="118.8">
      <c r="C83" s="167" t="s">
        <v>6513</v>
      </c>
      <c r="D83" s="400" t="s">
        <v>6514</v>
      </c>
      <c r="E83" s="326">
        <v>5</v>
      </c>
      <c r="F83" s="326" t="s">
        <v>583</v>
      </c>
      <c r="G83" s="338"/>
      <c r="H83" s="338"/>
      <c r="I83" s="338"/>
      <c r="J83" s="326" t="str">
        <f>IFERROR(VLOOKUP(I83,Jueces!$A$1:$B$11,2,FALSE),"")</f>
        <v/>
      </c>
      <c r="K83" s="167" t="s">
        <v>4788</v>
      </c>
      <c r="L83" s="167"/>
      <c r="M83" s="538" t="s">
        <v>6582</v>
      </c>
    </row>
    <row r="84" spans="1:13" ht="237.6">
      <c r="C84" s="329" t="s">
        <v>5936</v>
      </c>
      <c r="D84" s="402" t="s">
        <v>5935</v>
      </c>
      <c r="E84" s="329">
        <v>3</v>
      </c>
      <c r="F84" s="206" t="s">
        <v>2766</v>
      </c>
      <c r="G84" s="399">
        <v>45378</v>
      </c>
      <c r="H84" s="294" t="s">
        <v>76</v>
      </c>
      <c r="I84" s="294" t="s">
        <v>35</v>
      </c>
      <c r="J84" s="206" t="s">
        <v>5762</v>
      </c>
      <c r="K84" s="206" t="s">
        <v>4784</v>
      </c>
      <c r="L84" s="206" t="s">
        <v>4512</v>
      </c>
      <c r="M84" s="206" t="s">
        <v>6824</v>
      </c>
    </row>
    <row r="85" spans="1:13" ht="49.5" customHeight="1">
      <c r="C85" s="326" t="s">
        <v>4587</v>
      </c>
      <c r="D85" s="168" t="s">
        <v>4588</v>
      </c>
      <c r="E85" s="326">
        <v>3</v>
      </c>
      <c r="F85" s="326" t="s">
        <v>583</v>
      </c>
      <c r="G85" s="401"/>
      <c r="H85" s="338"/>
      <c r="I85" s="338"/>
      <c r="J85" s="326" t="str">
        <f>IFERROR(VLOOKUP(I85,Jueces!$A$1:$B$11,2,FALSE),"")</f>
        <v/>
      </c>
      <c r="K85" s="167" t="s">
        <v>192</v>
      </c>
      <c r="L85" s="167" t="s">
        <v>1025</v>
      </c>
      <c r="M85" s="167" t="s">
        <v>6918</v>
      </c>
    </row>
    <row r="86" spans="1:13" ht="198">
      <c r="C86" s="75" t="s">
        <v>6745</v>
      </c>
      <c r="D86" s="347" t="s">
        <v>6746</v>
      </c>
      <c r="E86" s="75">
        <v>3</v>
      </c>
      <c r="F86" s="78" t="s">
        <v>29</v>
      </c>
      <c r="G86" s="77">
        <v>45387</v>
      </c>
      <c r="H86" s="80" t="s">
        <v>73</v>
      </c>
      <c r="I86" s="80" t="s">
        <v>4746</v>
      </c>
      <c r="J86" s="78" t="s">
        <v>1341</v>
      </c>
      <c r="K86" s="78" t="s">
        <v>4777</v>
      </c>
      <c r="L86" s="78" t="s">
        <v>2107</v>
      </c>
      <c r="M86" s="75" t="s">
        <v>6921</v>
      </c>
    </row>
    <row r="87" spans="1:13" ht="118.8">
      <c r="C87" s="325" t="s">
        <v>6850</v>
      </c>
      <c r="D87" s="64" t="s">
        <v>6851</v>
      </c>
      <c r="E87" s="63">
        <v>6</v>
      </c>
      <c r="F87" s="63" t="s">
        <v>2815</v>
      </c>
      <c r="G87" s="65">
        <v>45394</v>
      </c>
      <c r="H87" s="65" t="s">
        <v>77</v>
      </c>
      <c r="I87" s="65" t="s">
        <v>35</v>
      </c>
      <c r="J87" s="63">
        <f>IFERROR(VLOOKUP(I87,Jueces!$A$1:$B$11,2,FALSE),"")</f>
        <v>3</v>
      </c>
      <c r="K87" s="63" t="s">
        <v>4792</v>
      </c>
      <c r="L87" s="63" t="s">
        <v>2107</v>
      </c>
      <c r="M87" s="63" t="s">
        <v>7001</v>
      </c>
    </row>
    <row r="88" spans="1:13" ht="132">
      <c r="C88" s="233" t="s">
        <v>7060</v>
      </c>
      <c r="D88" s="235" t="s">
        <v>7061</v>
      </c>
      <c r="E88" s="426">
        <v>8</v>
      </c>
      <c r="F88" s="426" t="s">
        <v>583</v>
      </c>
      <c r="G88" s="427"/>
      <c r="H88" s="427"/>
      <c r="I88" s="427"/>
      <c r="J88" s="426" t="str">
        <f>IFERROR(VLOOKUP(I88,Jueces!$A$1:$B$11,2,FALSE),"")</f>
        <v/>
      </c>
      <c r="K88" s="233" t="s">
        <v>4789</v>
      </c>
      <c r="L88" s="572" t="s">
        <v>7062</v>
      </c>
      <c r="M88" s="233" t="s">
        <v>7065</v>
      </c>
    </row>
    <row r="89" spans="1:13" ht="52.8">
      <c r="C89" s="375" t="s">
        <v>6880</v>
      </c>
      <c r="D89" s="347" t="s">
        <v>6911</v>
      </c>
      <c r="E89" s="75">
        <v>7</v>
      </c>
      <c r="F89" s="78" t="s">
        <v>5710</v>
      </c>
      <c r="G89" s="77">
        <v>45397</v>
      </c>
      <c r="H89" s="80" t="s">
        <v>76</v>
      </c>
      <c r="I89" s="80" t="s">
        <v>1216</v>
      </c>
      <c r="J89" s="78" t="s">
        <v>3779</v>
      </c>
      <c r="K89" s="78" t="s">
        <v>4792</v>
      </c>
      <c r="L89" s="78" t="s">
        <v>2201</v>
      </c>
      <c r="M89" s="78" t="s">
        <v>7079</v>
      </c>
    </row>
    <row r="90" spans="1:13" ht="237.6">
      <c r="C90" s="336" t="s">
        <v>6531</v>
      </c>
      <c r="D90" s="355" t="s">
        <v>6532</v>
      </c>
      <c r="E90" s="336">
        <v>5</v>
      </c>
      <c r="F90" s="336" t="s">
        <v>283</v>
      </c>
      <c r="G90" s="383">
        <v>45407</v>
      </c>
      <c r="H90" s="65" t="s">
        <v>73</v>
      </c>
      <c r="I90" s="349" t="s">
        <v>1216</v>
      </c>
      <c r="J90" s="63" t="s">
        <v>4118</v>
      </c>
      <c r="K90" s="63" t="s">
        <v>791</v>
      </c>
      <c r="L90" s="63" t="s">
        <v>2079</v>
      </c>
      <c r="M90" s="63" t="s">
        <v>7221</v>
      </c>
    </row>
    <row r="91" spans="1:13" ht="145.19999999999999">
      <c r="A91" s="511">
        <v>45394</v>
      </c>
      <c r="B91" s="519">
        <v>0.33333333333333331</v>
      </c>
      <c r="C91" s="510" t="s">
        <v>4764</v>
      </c>
      <c r="D91" s="520" t="s">
        <v>4765</v>
      </c>
      <c r="E91" s="510">
        <v>5</v>
      </c>
      <c r="F91" s="512" t="s">
        <v>2766</v>
      </c>
      <c r="G91" s="535">
        <v>45406</v>
      </c>
      <c r="H91" s="514" t="s">
        <v>76</v>
      </c>
      <c r="I91" s="514" t="s">
        <v>1217</v>
      </c>
      <c r="J91" s="510">
        <f>IFERROR(VLOOKUP(I91,Jueces!$A$1:$B$11,2,FALSE),"")</f>
        <v>7</v>
      </c>
      <c r="K91" s="512" t="s">
        <v>827</v>
      </c>
      <c r="L91" s="512" t="s">
        <v>3381</v>
      </c>
      <c r="M91" s="512" t="s">
        <v>7262</v>
      </c>
    </row>
    <row r="92" spans="1:13" ht="184.8">
      <c r="A92" s="338">
        <v>45398</v>
      </c>
      <c r="B92" s="579">
        <v>0.45</v>
      </c>
      <c r="C92" s="167" t="s">
        <v>7215</v>
      </c>
      <c r="D92" s="400" t="s">
        <v>7216</v>
      </c>
      <c r="E92" s="326">
        <v>8</v>
      </c>
      <c r="F92" s="326"/>
      <c r="G92" s="338"/>
      <c r="H92" s="338"/>
      <c r="I92" s="338"/>
      <c r="J92" s="326" t="str">
        <f>IFERROR(VLOOKUP(I92,Jueces!$A$1:$B$11,2,FALSE),"")</f>
        <v/>
      </c>
      <c r="K92" s="167" t="s">
        <v>4789</v>
      </c>
      <c r="L92" s="167"/>
      <c r="M92" s="167" t="s">
        <v>7270</v>
      </c>
    </row>
    <row r="93" spans="1:13" ht="224.4">
      <c r="A93" s="427">
        <v>45398</v>
      </c>
      <c r="B93" s="573">
        <v>0.48888888888888887</v>
      </c>
      <c r="C93" s="233" t="s">
        <v>5631</v>
      </c>
      <c r="D93" s="578" t="s">
        <v>7227</v>
      </c>
      <c r="E93" s="426">
        <v>3</v>
      </c>
      <c r="F93" s="426"/>
      <c r="G93" s="427"/>
      <c r="H93" s="427"/>
      <c r="I93" s="427"/>
      <c r="J93" s="426" t="str">
        <f>IFERROR(VLOOKUP(I93,Jueces!$A$1:$B$11,2,FALSE),"")</f>
        <v/>
      </c>
      <c r="K93" s="233" t="s">
        <v>582</v>
      </c>
      <c r="L93" s="572" t="s">
        <v>1024</v>
      </c>
      <c r="M93" s="233" t="s">
        <v>7271</v>
      </c>
    </row>
    <row r="94" spans="1:13" ht="250.8">
      <c r="C94" s="375" t="s">
        <v>3944</v>
      </c>
      <c r="D94" s="79" t="s">
        <v>7300</v>
      </c>
      <c r="E94" s="75">
        <v>1</v>
      </c>
      <c r="F94" s="75" t="s">
        <v>1433</v>
      </c>
      <c r="G94" s="424">
        <v>45414</v>
      </c>
      <c r="H94" s="80" t="s">
        <v>77</v>
      </c>
      <c r="I94" s="77" t="s">
        <v>1216</v>
      </c>
      <c r="J94" s="78" t="s">
        <v>1916</v>
      </c>
      <c r="K94" s="78" t="s">
        <v>569</v>
      </c>
      <c r="L94" s="78" t="s">
        <v>3729</v>
      </c>
      <c r="M94" s="75" t="s">
        <v>7394</v>
      </c>
    </row>
    <row r="95" spans="1:13" ht="105.6">
      <c r="A95" s="511">
        <v>45394</v>
      </c>
      <c r="B95" s="606">
        <v>0.51180555555555551</v>
      </c>
      <c r="C95" s="512" t="s">
        <v>4399</v>
      </c>
      <c r="D95" s="520" t="s">
        <v>4400</v>
      </c>
      <c r="E95" s="510">
        <v>5</v>
      </c>
      <c r="F95" s="512" t="s">
        <v>29</v>
      </c>
      <c r="G95" s="535">
        <v>45407</v>
      </c>
      <c r="H95" s="514" t="s">
        <v>73</v>
      </c>
      <c r="I95" s="514" t="s">
        <v>78</v>
      </c>
      <c r="J95" s="510">
        <f>IFERROR(VLOOKUP(I95,Jueces!$A$1:$B$11,2,FALSE),"")</f>
        <v>8</v>
      </c>
      <c r="K95" s="512" t="s">
        <v>812</v>
      </c>
      <c r="L95" s="571" t="s">
        <v>1323</v>
      </c>
      <c r="M95" s="512" t="s">
        <v>7450</v>
      </c>
    </row>
  </sheetData>
  <autoFilter ref="A1:P78"/>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conditionalFormatting sqref="C35">
    <cfRule type="duplicateValues" dxfId="370" priority="259"/>
    <cfRule type="duplicateValues" dxfId="369" priority="260"/>
  </conditionalFormatting>
  <conditionalFormatting sqref="C35">
    <cfRule type="duplicateValues" dxfId="368" priority="258"/>
  </conditionalFormatting>
  <conditionalFormatting sqref="C35">
    <cfRule type="duplicateValues" dxfId="367" priority="257"/>
  </conditionalFormatting>
  <conditionalFormatting sqref="C35">
    <cfRule type="duplicateValues" dxfId="366" priority="255"/>
    <cfRule type="duplicateValues" dxfId="365" priority="256"/>
  </conditionalFormatting>
  <dataValidations count="8">
    <dataValidation type="list" allowBlank="1" showInputMessage="1" showErrorMessage="1" sqref="K41:K75 K77:K95">
      <formula1>'fiscalias penales'!$A$1:$A$268</formula1>
    </dataValidation>
    <dataValidation type="list" allowBlank="1" showInputMessage="1" showErrorMessage="1" sqref="I42:I75 I77:I95">
      <formula1>Jueces!$A$1:$A$22</formula1>
    </dataValidation>
    <dataValidation type="list" allowBlank="1" showInputMessage="1" showErrorMessage="1" sqref="L85:L95">
      <formula1>defensores!$A$2:$A$280</formula1>
    </dataValidation>
    <dataValidation type="list" allowBlank="1" showInputMessage="1" showErrorMessage="1" sqref="L77:L84 L42:L75">
      <formula1>defensores!$A$2:$A$249</formula1>
    </dataValidation>
    <dataValidation type="list" allowBlank="1" showInputMessage="1" showErrorMessage="1" sqref="I3 I5:I10">
      <formula1>"Dr. Pastrana, Dr. Colombo, Dr. Rodriguez Pipino, Dra. Puertas"</formula1>
    </dataValidation>
    <dataValidation type="list" allowBlank="1" showInputMessage="1" showErrorMessage="1" sqref="L41">
      <formula1>defensores!$A$3:$A$249</formula1>
    </dataValidation>
    <dataValidation type="list" allowBlank="1" showInputMessage="1" showErrorMessage="1" sqref="I41">
      <formula1>Jueces!$A$1:$A$20</formula1>
    </dataValidation>
    <dataValidation type="list" allowBlank="1" showInputMessage="1" showErrorMessage="1" sqref="F91:F95">
      <formula1>Internos!$A$1:$A$21</formula1>
    </dataValidation>
  </dataValidations>
  <pageMargins left="0.70866141732283472" right="0.70866141732283472" top="0.74803149606299213" bottom="0.74803149606299213" header="0.31496062992125984" footer="0.31496062992125984"/>
  <pageSetup paperSize="5" scale="80" orientation="landscape" r:id="rId7"/>
  <legacyDrawing r:id="rId8"/>
  <extLst>
    <ext xmlns:x14="http://schemas.microsoft.com/office/spreadsheetml/2009/9/main" uri="{CCE6A557-97BC-4b89-ADB6-D9C93CAAB3DF}">
      <x14:dataValidations xmlns:xm="http://schemas.microsoft.com/office/excel/2006/main" count="37">
        <x14:dataValidation type="list" allowBlank="1" showInputMessage="1" showErrorMessage="1">
          <x14:formula1>
            <xm:f>defensores!$A$1:$A$200</xm:f>
          </x14:formula1>
          <xm:sqref>J35:J40</xm:sqref>
        </x14:dataValidation>
        <x14:dataValidation type="list" allowBlank="1" showInputMessage="1" showErrorMessage="1">
          <x14:formula1>
            <xm:f>'fiscalias penales'!$A$1:$A$80</xm:f>
          </x14:formula1>
          <xm:sqref>I35:I40</xm:sqref>
        </x14:dataValidation>
        <x14:dataValidation type="list" allowBlank="1" showInputMessage="1" showErrorMessage="1">
          <x14:formula1>
            <xm:f>Jueces!$A$1:$A$20</xm:f>
          </x14:formula1>
          <xm:sqref>G35:G40</xm:sqref>
        </x14:dataValidation>
        <x14:dataValidation type="list" allowBlank="1" showInputMessage="1" showErrorMessage="1">
          <x14:formula1>
            <xm:f>Internos!$A$1:$A$20</xm:f>
          </x14:formula1>
          <xm:sqref>D35:D40</xm:sqref>
        </x14:dataValidation>
        <x14:dataValidation type="list" allowBlank="1" showInputMessage="1" showErrorMessage="1">
          <x14:formula1>
            <xm:f>defensores!$A$1:$A$200</xm:f>
          </x14:formula1>
          <xm:sqref>J33:J34</xm:sqref>
        </x14:dataValidation>
        <x14:dataValidation type="list" allowBlank="1" showInputMessage="1" showErrorMessage="1">
          <x14:formula1>
            <xm:f>Jueces!$A$1:$A$25</xm:f>
          </x14:formula1>
          <xm:sqref>G33:G34</xm:sqref>
        </x14:dataValidation>
        <x14:dataValidation type="list" allowBlank="1" showInputMessage="1" showErrorMessage="1">
          <x14:formula1>
            <xm:f>Internos!$A$1:$A$20</xm:f>
          </x14:formula1>
          <xm:sqref>D33:D34</xm:sqref>
        </x14:dataValidation>
        <x14:dataValidation type="list" allowBlank="1" showInputMessage="1" showErrorMessage="1">
          <x14:formula1>
            <xm:f>defensores!$A$1:$A$200</xm:f>
          </x14:formula1>
          <xm:sqref>J27 M28 J29:J32</xm:sqref>
        </x14:dataValidation>
        <x14:dataValidation type="list" allowBlank="1" showInputMessage="1" showErrorMessage="1">
          <x14:formula1>
            <xm:f>'fiscalias penales'!$A$1:$A$64</xm:f>
          </x14:formula1>
          <xm:sqref>I27 L28 I29:I32</xm:sqref>
        </x14:dataValidation>
        <x14:dataValidation type="list" allowBlank="1" showInputMessage="1" showErrorMessage="1">
          <x14:formula1>
            <xm:f>Resultados!$A$1:$A$30</xm:f>
          </x14:formula1>
          <xm:sqref>Q28:Q29</xm:sqref>
        </x14:dataValidation>
        <x14:dataValidation type="list" allowBlank="1" showInputMessage="1" showErrorMessage="1">
          <x14:formula1>
            <xm:f>Resultados!$B$1:$B$30</xm:f>
          </x14:formula1>
          <xm:sqref>R28</xm:sqref>
        </x14:dataValidation>
        <x14:dataValidation type="list" allowBlank="1" showInputMessage="1" showErrorMessage="1">
          <x14:formula1>
            <xm:f>Jueces!$A$1:$A$20</xm:f>
          </x14:formula1>
          <xm:sqref>G27:G32</xm:sqref>
        </x14:dataValidation>
        <x14:dataValidation type="list" allowBlank="1" showInputMessage="1" showErrorMessage="1">
          <x14:formula1>
            <xm:f>Internos!$A$1:$A$25</xm:f>
          </x14:formula1>
          <xm:sqref>D27:D32</xm:sqref>
        </x14:dataValidation>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 type="list" allowBlank="1" showInputMessage="1" showErrorMessage="1">
          <x14:formula1>
            <xm:f>'fiscalias penales'!A1:A61</xm:f>
          </x14:formula1>
          <xm:sqref>I33:I34</xm:sqref>
        </x14:dataValidation>
      </x14:dataValidations>
    </ext>
  </extLst>
</worksheet>
</file>

<file path=xl/worksheets/sheet12.xml><?xml version="1.0" encoding="utf-8"?>
<worksheet xmlns="http://schemas.openxmlformats.org/spreadsheetml/2006/main" xmlns:r="http://schemas.openxmlformats.org/officeDocument/2006/relationships">
  <sheetPr codeName="Hoja5"/>
  <dimension ref="A1:XFD238"/>
  <sheetViews>
    <sheetView topLeftCell="D5" zoomScalePageLayoutView="70" workbookViewId="0">
      <selection activeCell="M18" sqref="M18"/>
    </sheetView>
  </sheetViews>
  <sheetFormatPr baseColWidth="10" defaultRowHeight="13.2"/>
  <cols>
    <col min="1" max="1" width="6.33203125" customWidth="1"/>
    <col min="2" max="2" width="42.44140625" customWidth="1"/>
    <col min="3" max="3" width="18.109375" customWidth="1"/>
    <col min="5" max="5" width="11.44140625" style="217"/>
    <col min="6" max="6" width="41.44140625" style="217" bestFit="1" customWidth="1"/>
    <col min="7" max="7" width="16" style="217" customWidth="1"/>
    <col min="8" max="9" width="11.44140625" style="217"/>
    <col min="10" max="10" width="45.44140625" style="217" customWidth="1"/>
    <col min="11" max="11" width="12.33203125" style="217" bestFit="1" customWidth="1"/>
    <col min="12" max="13" width="11.44140625" style="217"/>
  </cols>
  <sheetData>
    <row r="1" spans="1:16384" ht="21">
      <c r="B1" s="27" t="s">
        <v>514</v>
      </c>
      <c r="C1" s="21">
        <f ca="1">TODAY()</f>
        <v>45408</v>
      </c>
    </row>
    <row r="2" spans="1:16384" ht="34.5" customHeight="1">
      <c r="B2" s="801" t="s">
        <v>393</v>
      </c>
      <c r="C2" s="801"/>
      <c r="F2" s="802" t="s">
        <v>448</v>
      </c>
      <c r="G2" s="802"/>
      <c r="J2" s="369" t="s">
        <v>449</v>
      </c>
      <c r="K2" s="264"/>
      <c r="M2" s="3"/>
    </row>
    <row r="3" spans="1:16384" ht="21.9" customHeight="1">
      <c r="B3" s="13" t="s">
        <v>3</v>
      </c>
      <c r="C3" s="13" t="s">
        <v>362</v>
      </c>
      <c r="F3" s="13" t="s">
        <v>3</v>
      </c>
      <c r="G3" s="13" t="s">
        <v>362</v>
      </c>
      <c r="J3" s="13" t="s">
        <v>3</v>
      </c>
      <c r="K3" s="13" t="s">
        <v>362</v>
      </c>
      <c r="M3" s="3"/>
    </row>
    <row r="4" spans="1:16384" ht="21.9" customHeight="1">
      <c r="B4" s="11" t="s">
        <v>43</v>
      </c>
      <c r="C4" s="11">
        <f ca="1">COUNTIFS(EXPEDIENTES!G:G,B4,EXPEDIENTES!O:O,"NO")</f>
        <v>0</v>
      </c>
      <c r="F4" s="11" t="s">
        <v>43</v>
      </c>
      <c r="G4" s="11">
        <f>COUNTIF(EXPEDIENTES!G:G,F4)</f>
        <v>130</v>
      </c>
      <c r="J4" s="11" t="s">
        <v>43</v>
      </c>
      <c r="K4" s="11">
        <f ca="1">COUNTIFS(EXPEDIENTES!G:G,J4,EXPEDIENTES!O:O,"SI")</f>
        <v>130</v>
      </c>
      <c r="M4" s="3"/>
    </row>
    <row r="5" spans="1:16384" ht="21.9" customHeight="1">
      <c r="B5" s="11" t="s">
        <v>29</v>
      </c>
      <c r="C5" s="11">
        <f ca="1">COUNTIFS(EXPEDIENTES!G:G,B5,EXPEDIENTES!O:O,"NO")</f>
        <v>9</v>
      </c>
      <c r="F5" s="11" t="s">
        <v>29</v>
      </c>
      <c r="G5" s="11">
        <f>COUNTIF(EXPEDIENTES!G:G,F5)</f>
        <v>164</v>
      </c>
      <c r="J5" s="11" t="s">
        <v>29</v>
      </c>
      <c r="K5" s="11">
        <f ca="1">COUNTIFS(EXPEDIENTES!G:G,J5,EXPEDIENTES!O:O,"SI")</f>
        <v>155</v>
      </c>
      <c r="M5" s="3"/>
    </row>
    <row r="6" spans="1:16384" ht="21.9" customHeight="1">
      <c r="B6" s="11" t="s">
        <v>283</v>
      </c>
      <c r="C6" s="11">
        <f ca="1">COUNTIFS(EXPEDIENTES!G:G,B6,EXPEDIENTES!O:O,"NO")</f>
        <v>6</v>
      </c>
      <c r="F6" s="11" t="s">
        <v>283</v>
      </c>
      <c r="G6" s="11">
        <f>COUNTIF(EXPEDIENTES!G:G,F6)</f>
        <v>195</v>
      </c>
      <c r="J6" s="11" t="s">
        <v>283</v>
      </c>
      <c r="K6" s="11">
        <f ca="1">COUNTIFS(EXPEDIENTES!G:G,J6,EXPEDIENTES!O:O,"SI")</f>
        <v>189</v>
      </c>
      <c r="M6" s="1"/>
    </row>
    <row r="7" spans="1:16384" ht="21.9" customHeight="1">
      <c r="B7" s="11" t="s">
        <v>1433</v>
      </c>
      <c r="C7" s="11">
        <f ca="1">COUNTIFS(EXPEDIENTES!G:G,B7,EXPEDIENTES!O:O,"NO")</f>
        <v>5</v>
      </c>
      <c r="F7" s="11" t="s">
        <v>32</v>
      </c>
      <c r="G7" s="11">
        <f>COUNTIF(EXPEDIENTES!G:G,F7)</f>
        <v>78</v>
      </c>
      <c r="J7" s="11" t="s">
        <v>32</v>
      </c>
      <c r="K7" s="11">
        <f ca="1">COUNTIFS(EXPEDIENTES!G:G,J7,EXPEDIENTES!O:O,"SI")</f>
        <v>78</v>
      </c>
      <c r="M7" s="3"/>
    </row>
    <row r="8" spans="1:16384" ht="21.9" customHeight="1">
      <c r="B8" s="11" t="s">
        <v>568</v>
      </c>
      <c r="C8" s="11">
        <f ca="1">COUNTIFS(EXPEDIENTES!G:G,B8,EXPEDIENTES!O:O,"NO")</f>
        <v>7</v>
      </c>
      <c r="F8" s="11" t="s">
        <v>1433</v>
      </c>
      <c r="G8" s="11">
        <f>COUNTIF(EXPEDIENTES!G:G,F8)</f>
        <v>206</v>
      </c>
      <c r="J8" s="11" t="s">
        <v>1433</v>
      </c>
      <c r="K8" s="11">
        <f ca="1">COUNTIFS(EXPEDIENTES!G:G,J8,EXPEDIENTES!O:O,"SI")</f>
        <v>201</v>
      </c>
      <c r="M8" s="3"/>
    </row>
    <row r="9" spans="1:16384" ht="21.9" customHeight="1">
      <c r="B9" s="11" t="s">
        <v>1434</v>
      </c>
      <c r="C9" s="11">
        <f ca="1">COUNTIFS(EXPEDIENTES!G:G,B9,EXPEDIENTES!O:O,"NO")</f>
        <v>6</v>
      </c>
      <c r="F9" s="11" t="s">
        <v>568</v>
      </c>
      <c r="G9" s="11">
        <f>COUNTIF(EXPEDIENTES!G:G,F9)</f>
        <v>163</v>
      </c>
      <c r="J9" s="11" t="s">
        <v>568</v>
      </c>
      <c r="K9" s="11">
        <f ca="1">COUNTIFS(EXPEDIENTES!G:G,J9,EXPEDIENTES!O:O,"SI")</f>
        <v>156</v>
      </c>
      <c r="M9" s="3"/>
    </row>
    <row r="10" spans="1:16384" ht="21.9" customHeight="1">
      <c r="B10" s="11" t="s">
        <v>1435</v>
      </c>
      <c r="C10" s="11">
        <f ca="1">COUNTIFS(EXPEDIENTES!G:G,B10,EXPEDIENTES!O:O,"NO")</f>
        <v>9</v>
      </c>
      <c r="F10" s="11" t="s">
        <v>1434</v>
      </c>
      <c r="G10" s="11">
        <f>COUNTIF(EXPEDIENTES!G:G,F10)</f>
        <v>144</v>
      </c>
      <c r="J10" s="11" t="s">
        <v>1434</v>
      </c>
      <c r="K10" s="11">
        <f ca="1">COUNTIFS(EXPEDIENTES!G:G,J10,EXPEDIENTES!O:O,"SI")</f>
        <v>138</v>
      </c>
      <c r="M10" s="3"/>
    </row>
    <row r="11" spans="1:16384" s="110" customFormat="1" ht="21.9" customHeight="1">
      <c r="A11" s="111"/>
      <c r="B11" s="265" t="s">
        <v>2751</v>
      </c>
      <c r="C11" s="11">
        <f ca="1">COUNTIFS(EXPEDIENTES!G:G,B11,EXPEDIENTES!O:O,"NO")</f>
        <v>0</v>
      </c>
      <c r="D11" s="111"/>
      <c r="E11" s="219"/>
      <c r="F11" s="11" t="s">
        <v>1435</v>
      </c>
      <c r="G11" s="11">
        <f>COUNTIF(EXPEDIENTES!G:G,F11)</f>
        <v>151</v>
      </c>
      <c r="H11" s="219"/>
      <c r="I11" s="219"/>
      <c r="J11" s="11" t="s">
        <v>1435</v>
      </c>
      <c r="K11" s="11">
        <f ca="1">COUNTIFS(EXPEDIENTES!G:G,J11,EXPEDIENTES!O:O,"SI")</f>
        <v>142</v>
      </c>
      <c r="L11" s="219"/>
      <c r="M11" s="3"/>
      <c r="N11" s="111"/>
      <c r="O11" s="111"/>
      <c r="P11" s="111"/>
      <c r="Q11" s="111"/>
      <c r="R11" s="111"/>
      <c r="S11" s="111"/>
      <c r="T11" s="111"/>
      <c r="U11" s="111"/>
      <c r="V11" s="111"/>
      <c r="W11" s="111"/>
      <c r="X11" s="111"/>
      <c r="Y11" s="111"/>
      <c r="Z11" s="111"/>
      <c r="AA11" s="111"/>
      <c r="AB11" s="111"/>
      <c r="AC11" s="111"/>
      <c r="AD11" s="111"/>
      <c r="AE11" s="111"/>
      <c r="AF11" s="111"/>
      <c r="AG11" s="111"/>
      <c r="AH11" s="111"/>
      <c r="AI11" s="111"/>
      <c r="AJ11" s="111"/>
      <c r="AK11" s="111"/>
      <c r="AL11" s="111"/>
      <c r="AM11" s="111"/>
      <c r="AN11" s="111"/>
      <c r="AO11" s="111"/>
      <c r="AP11" s="111"/>
      <c r="AQ11" s="111"/>
      <c r="AR11" s="111"/>
      <c r="AS11" s="111"/>
      <c r="AT11" s="111"/>
      <c r="AU11" s="111"/>
      <c r="AV11" s="111"/>
      <c r="AW11" s="111"/>
      <c r="AX11" s="111"/>
      <c r="AY11" s="111"/>
      <c r="AZ11" s="111"/>
      <c r="BA11" s="111"/>
      <c r="BB11" s="111"/>
      <c r="BC11" s="111"/>
      <c r="BD11" s="111"/>
      <c r="BE11" s="111"/>
      <c r="BF11" s="111"/>
      <c r="BG11" s="111"/>
      <c r="BH11" s="111"/>
      <c r="BI11" s="111"/>
      <c r="BJ11" s="111"/>
      <c r="BK11" s="111"/>
      <c r="BL11" s="111"/>
      <c r="BM11" s="111"/>
      <c r="BN11" s="111"/>
      <c r="BO11" s="111"/>
      <c r="BP11" s="111"/>
      <c r="BQ11" s="111"/>
      <c r="BR11" s="111"/>
      <c r="BS11" s="111"/>
      <c r="BT11" s="111"/>
      <c r="BU11" s="111"/>
      <c r="BV11" s="111"/>
      <c r="BW11" s="111"/>
      <c r="BX11" s="111"/>
      <c r="BY11" s="111"/>
      <c r="BZ11" s="111"/>
      <c r="CA11" s="111"/>
      <c r="CB11" s="111"/>
      <c r="CC11" s="111"/>
      <c r="CD11" s="111"/>
      <c r="CE11" s="111"/>
      <c r="CF11" s="111"/>
      <c r="CG11" s="111"/>
      <c r="CH11" s="111"/>
      <c r="CI11" s="111"/>
      <c r="CJ11" s="111"/>
      <c r="CK11" s="111"/>
      <c r="CL11" s="111"/>
      <c r="CM11" s="111"/>
      <c r="CN11" s="111"/>
      <c r="CO11" s="111"/>
      <c r="CP11" s="111"/>
      <c r="CQ11" s="111"/>
      <c r="CR11" s="111"/>
      <c r="CS11" s="111"/>
      <c r="CT11" s="111"/>
      <c r="CU11" s="111"/>
      <c r="CV11" s="111"/>
      <c r="CW11" s="111"/>
      <c r="CX11" s="111"/>
      <c r="CY11" s="111"/>
      <c r="CZ11" s="111"/>
      <c r="DA11" s="111"/>
      <c r="DB11" s="111"/>
      <c r="DC11" s="111"/>
      <c r="DD11" s="111"/>
      <c r="DE11" s="111"/>
      <c r="DF11" s="111"/>
      <c r="DG11" s="111"/>
      <c r="DH11" s="111"/>
      <c r="DI11" s="111"/>
      <c r="DJ11" s="111"/>
      <c r="DK11" s="111"/>
      <c r="DL11" s="111"/>
      <c r="DM11" s="111"/>
      <c r="DN11" s="111"/>
      <c r="DO11" s="111"/>
      <c r="DP11" s="111"/>
      <c r="DQ11" s="111"/>
      <c r="DR11" s="111"/>
      <c r="DS11" s="111"/>
      <c r="DT11" s="111"/>
      <c r="DU11" s="111"/>
      <c r="DV11" s="111"/>
      <c r="DW11" s="111"/>
      <c r="DX11" s="111"/>
      <c r="DY11" s="111"/>
      <c r="DZ11" s="111"/>
      <c r="EA11" s="111"/>
      <c r="EB11" s="111"/>
      <c r="EC11" s="111"/>
      <c r="ED11" s="111"/>
      <c r="EE11" s="111"/>
      <c r="EF11" s="111"/>
      <c r="EG11" s="111"/>
      <c r="EH11" s="111"/>
      <c r="EI11" s="111"/>
      <c r="EJ11" s="111"/>
      <c r="EK11" s="111"/>
      <c r="EL11" s="111"/>
      <c r="EM11" s="111"/>
      <c r="EN11" s="111"/>
      <c r="EO11" s="111"/>
      <c r="EP11" s="111"/>
      <c r="EQ11" s="111"/>
      <c r="ER11" s="111"/>
      <c r="ES11" s="111"/>
      <c r="ET11" s="111"/>
      <c r="EU11" s="111"/>
      <c r="EV11" s="111"/>
      <c r="EW11" s="111"/>
      <c r="EX11" s="111"/>
      <c r="EY11" s="111"/>
      <c r="EZ11" s="111"/>
      <c r="FA11" s="111"/>
      <c r="FB11" s="111"/>
      <c r="FC11" s="111"/>
      <c r="FD11" s="111"/>
      <c r="FE11" s="111"/>
      <c r="FF11" s="111"/>
      <c r="FG11" s="111"/>
      <c r="FH11" s="111"/>
      <c r="FI11" s="111"/>
      <c r="FJ11" s="111"/>
      <c r="FK11" s="111"/>
      <c r="FL11" s="111"/>
      <c r="FM11" s="111"/>
      <c r="FN11" s="111"/>
      <c r="FO11" s="111"/>
      <c r="FP11" s="111"/>
      <c r="FQ11" s="111"/>
      <c r="FR11" s="111"/>
      <c r="FS11" s="111"/>
      <c r="FT11" s="111"/>
      <c r="FU11" s="111"/>
      <c r="FV11" s="111"/>
      <c r="FW11" s="111"/>
      <c r="FX11" s="111"/>
      <c r="FY11" s="111"/>
      <c r="FZ11" s="111"/>
      <c r="GA11" s="111"/>
      <c r="GB11" s="111"/>
      <c r="GC11" s="111"/>
      <c r="GD11" s="111"/>
      <c r="GE11" s="111"/>
      <c r="GF11" s="111"/>
      <c r="GG11" s="111"/>
      <c r="GH11" s="111"/>
      <c r="GI11" s="111"/>
      <c r="GJ11" s="111"/>
      <c r="GK11" s="111"/>
      <c r="GL11" s="111"/>
      <c r="GM11" s="111"/>
      <c r="GN11" s="111"/>
      <c r="GO11" s="111"/>
      <c r="GP11" s="111"/>
      <c r="GQ11" s="111"/>
      <c r="GR11" s="111"/>
      <c r="GS11" s="111"/>
      <c r="GT11" s="111"/>
      <c r="GU11" s="111"/>
      <c r="GV11" s="111"/>
      <c r="GW11" s="111"/>
      <c r="GX11" s="111"/>
      <c r="GY11" s="111"/>
      <c r="GZ11" s="111"/>
      <c r="HA11" s="111"/>
      <c r="HB11" s="111"/>
      <c r="HC11" s="111"/>
      <c r="HD11" s="111"/>
      <c r="HE11" s="111"/>
      <c r="HF11" s="111"/>
      <c r="HG11" s="111"/>
      <c r="HH11" s="111"/>
      <c r="HI11" s="111"/>
      <c r="HJ11" s="111"/>
      <c r="HK11" s="111"/>
      <c r="HL11" s="111"/>
      <c r="HM11" s="111"/>
      <c r="HN11" s="111"/>
      <c r="HO11" s="111"/>
      <c r="HP11" s="111"/>
      <c r="HQ11" s="111"/>
      <c r="HR11" s="111"/>
      <c r="HS11" s="111"/>
      <c r="HT11" s="111"/>
      <c r="HU11" s="111"/>
      <c r="HV11" s="111"/>
      <c r="HW11" s="111"/>
      <c r="HX11" s="111"/>
      <c r="HY11" s="111"/>
      <c r="HZ11" s="111"/>
      <c r="IA11" s="111"/>
      <c r="IB11" s="111"/>
      <c r="IC11" s="111"/>
      <c r="ID11" s="111"/>
      <c r="IE11" s="111"/>
      <c r="IF11" s="111"/>
      <c r="IG11" s="111"/>
      <c r="IH11" s="111"/>
      <c r="II11" s="111"/>
      <c r="IJ11" s="111"/>
      <c r="IK11" s="111"/>
      <c r="IL11" s="111"/>
      <c r="IM11" s="111"/>
      <c r="IN11" s="111"/>
      <c r="IO11" s="111"/>
      <c r="IP11" s="111"/>
      <c r="IQ11" s="111"/>
      <c r="IR11" s="111"/>
      <c r="IS11" s="111"/>
      <c r="IT11" s="111"/>
      <c r="IU11" s="111"/>
      <c r="IV11" s="111"/>
      <c r="IW11" s="111"/>
      <c r="IX11" s="111"/>
      <c r="IY11" s="111"/>
      <c r="IZ11" s="111"/>
      <c r="JA11" s="111"/>
      <c r="JB11" s="111"/>
      <c r="JC11" s="111"/>
      <c r="JD11" s="111"/>
      <c r="JE11" s="111"/>
      <c r="JF11" s="111"/>
      <c r="JG11" s="111"/>
      <c r="JH11" s="111"/>
      <c r="JI11" s="111"/>
      <c r="JJ11" s="111"/>
      <c r="JK11" s="111"/>
      <c r="JL11" s="111"/>
      <c r="JM11" s="111"/>
      <c r="JN11" s="111"/>
      <c r="JO11" s="111"/>
      <c r="JP11" s="111"/>
      <c r="JQ11" s="111"/>
      <c r="JR11" s="111"/>
      <c r="JS11" s="111"/>
      <c r="JT11" s="111"/>
      <c r="JU11" s="111"/>
      <c r="JV11" s="111"/>
      <c r="JW11" s="111"/>
      <c r="JX11" s="111"/>
      <c r="JY11" s="111"/>
      <c r="JZ11" s="111"/>
      <c r="KA11" s="111"/>
      <c r="KB11" s="111"/>
      <c r="KC11" s="111"/>
      <c r="KD11" s="111"/>
      <c r="KE11" s="111"/>
      <c r="KF11" s="111"/>
      <c r="KG11" s="111"/>
      <c r="KH11" s="111"/>
      <c r="KI11" s="111"/>
      <c r="KJ11" s="111"/>
      <c r="KK11" s="111"/>
      <c r="KL11" s="111"/>
      <c r="KM11" s="111"/>
      <c r="KN11" s="111"/>
      <c r="KO11" s="111"/>
      <c r="KP11" s="111"/>
      <c r="KQ11" s="111"/>
      <c r="KR11" s="111"/>
      <c r="KS11" s="111"/>
      <c r="KT11" s="111"/>
      <c r="KU11" s="111"/>
      <c r="KV11" s="111"/>
      <c r="KW11" s="111"/>
      <c r="KX11" s="111"/>
      <c r="KY11" s="111"/>
      <c r="KZ11" s="111"/>
      <c r="LA11" s="111"/>
      <c r="LB11" s="111"/>
      <c r="LC11" s="111"/>
      <c r="LD11" s="111"/>
      <c r="LE11" s="111"/>
      <c r="LF11" s="111"/>
      <c r="LG11" s="111"/>
      <c r="LH11" s="111"/>
      <c r="LI11" s="111"/>
      <c r="LJ11" s="111"/>
      <c r="LK11" s="111"/>
      <c r="LL11" s="111"/>
      <c r="LM11" s="111"/>
      <c r="LN11" s="111"/>
      <c r="LO11" s="111"/>
      <c r="LP11" s="111"/>
      <c r="LQ11" s="111"/>
      <c r="LR11" s="111"/>
      <c r="LS11" s="111"/>
      <c r="LT11" s="111"/>
      <c r="LU11" s="111"/>
      <c r="LV11" s="111"/>
      <c r="LW11" s="111"/>
      <c r="LX11" s="111"/>
      <c r="LY11" s="111"/>
      <c r="LZ11" s="111"/>
      <c r="MA11" s="111"/>
      <c r="MB11" s="111"/>
      <c r="MC11" s="111"/>
      <c r="MD11" s="111"/>
      <c r="ME11" s="111"/>
      <c r="MF11" s="111"/>
      <c r="MG11" s="111"/>
      <c r="MH11" s="111"/>
      <c r="MI11" s="111"/>
      <c r="MJ11" s="111"/>
      <c r="MK11" s="111"/>
      <c r="ML11" s="111"/>
      <c r="MM11" s="111"/>
      <c r="MN11" s="111"/>
      <c r="MO11" s="111"/>
      <c r="MP11" s="111"/>
      <c r="MQ11" s="111"/>
      <c r="MR11" s="111"/>
      <c r="MS11" s="111"/>
      <c r="MT11" s="111"/>
      <c r="MU11" s="111"/>
      <c r="MV11" s="111"/>
      <c r="MW11" s="111"/>
      <c r="MX11" s="111"/>
      <c r="MY11" s="111"/>
      <c r="MZ11" s="111"/>
      <c r="NA11" s="111"/>
      <c r="NB11" s="111"/>
      <c r="NC11" s="111"/>
      <c r="ND11" s="111"/>
      <c r="NE11" s="111"/>
      <c r="NF11" s="111"/>
      <c r="NG11" s="111"/>
      <c r="NH11" s="111"/>
      <c r="NI11" s="111"/>
      <c r="NJ11" s="111"/>
      <c r="NK11" s="111"/>
      <c r="NL11" s="111"/>
      <c r="NM11" s="111"/>
      <c r="NN11" s="111"/>
      <c r="NO11" s="111"/>
      <c r="NP11" s="111"/>
      <c r="NQ11" s="111"/>
      <c r="NR11" s="111"/>
      <c r="NS11" s="111"/>
      <c r="NT11" s="111"/>
      <c r="NU11" s="111"/>
      <c r="NV11" s="111"/>
      <c r="NW11" s="111"/>
      <c r="NX11" s="111"/>
      <c r="NY11" s="111"/>
      <c r="NZ11" s="111"/>
      <c r="OA11" s="111"/>
      <c r="OB11" s="111"/>
      <c r="OC11" s="111"/>
      <c r="OD11" s="111"/>
      <c r="OE11" s="111"/>
      <c r="OF11" s="111"/>
      <c r="OG11" s="111"/>
      <c r="OH11" s="111"/>
      <c r="OI11" s="111"/>
      <c r="OJ11" s="111"/>
      <c r="OK11" s="111"/>
      <c r="OL11" s="111"/>
      <c r="OM11" s="111"/>
      <c r="ON11" s="111"/>
      <c r="OO11" s="111"/>
      <c r="OP11" s="111"/>
      <c r="OQ11" s="111"/>
      <c r="OR11" s="111"/>
      <c r="OS11" s="111"/>
      <c r="OT11" s="111"/>
      <c r="OU11" s="111"/>
      <c r="OV11" s="111"/>
      <c r="OW11" s="111"/>
      <c r="OX11" s="111"/>
      <c r="OY11" s="111"/>
      <c r="OZ11" s="111"/>
      <c r="PA11" s="111"/>
      <c r="PB11" s="111"/>
      <c r="PC11" s="111"/>
      <c r="PD11" s="111"/>
      <c r="PE11" s="111"/>
      <c r="PF11" s="111"/>
      <c r="PG11" s="111"/>
      <c r="PH11" s="111"/>
      <c r="PI11" s="111"/>
      <c r="PJ11" s="111"/>
      <c r="PK11" s="111"/>
      <c r="PL11" s="111"/>
      <c r="PM11" s="111"/>
      <c r="PN11" s="111"/>
      <c r="PO11" s="111"/>
      <c r="PP11" s="111"/>
      <c r="PQ11" s="111"/>
      <c r="PR11" s="111"/>
      <c r="PS11" s="111"/>
      <c r="PT11" s="111"/>
      <c r="PU11" s="111"/>
      <c r="PV11" s="111"/>
      <c r="PW11" s="111"/>
      <c r="PX11" s="111"/>
      <c r="PY11" s="111"/>
      <c r="PZ11" s="111"/>
      <c r="QA11" s="111"/>
      <c r="QB11" s="111"/>
      <c r="QC11" s="111"/>
      <c r="QD11" s="111"/>
      <c r="QE11" s="111"/>
      <c r="QF11" s="111"/>
      <c r="QG11" s="111"/>
      <c r="QH11" s="111"/>
      <c r="QI11" s="111"/>
      <c r="QJ11" s="111"/>
      <c r="QK11" s="111"/>
      <c r="QL11" s="111"/>
      <c r="QM11" s="111"/>
      <c r="QN11" s="111"/>
      <c r="QO11" s="111"/>
      <c r="QP11" s="111"/>
      <c r="QQ11" s="111"/>
      <c r="QR11" s="111"/>
      <c r="QS11" s="111"/>
      <c r="QT11" s="111"/>
      <c r="QU11" s="111"/>
      <c r="QV11" s="111"/>
      <c r="QW11" s="111"/>
      <c r="QX11" s="111"/>
      <c r="QY11" s="111"/>
      <c r="QZ11" s="111"/>
      <c r="RA11" s="111"/>
      <c r="RB11" s="111"/>
      <c r="RC11" s="111"/>
      <c r="RD11" s="111"/>
      <c r="RE11" s="111"/>
      <c r="RF11" s="111"/>
      <c r="RG11" s="111"/>
      <c r="RH11" s="111"/>
      <c r="RI11" s="111"/>
      <c r="RJ11" s="111"/>
      <c r="RK11" s="111"/>
      <c r="RL11" s="111"/>
      <c r="RM11" s="111"/>
      <c r="RN11" s="111"/>
      <c r="RO11" s="111"/>
      <c r="RP11" s="111"/>
      <c r="RQ11" s="111"/>
      <c r="RR11" s="111"/>
      <c r="RS11" s="111"/>
      <c r="RT11" s="111"/>
      <c r="RU11" s="111"/>
      <c r="RV11" s="111"/>
      <c r="RW11" s="111"/>
      <c r="RX11" s="111"/>
      <c r="RY11" s="111"/>
      <c r="RZ11" s="111"/>
      <c r="SA11" s="111"/>
      <c r="SB11" s="111"/>
      <c r="SC11" s="111"/>
      <c r="SD11" s="111"/>
      <c r="SE11" s="111"/>
      <c r="SF11" s="111"/>
      <c r="SG11" s="111"/>
      <c r="SH11" s="111"/>
      <c r="SI11" s="111"/>
      <c r="SJ11" s="111"/>
      <c r="SK11" s="111"/>
      <c r="SL11" s="111"/>
      <c r="SM11" s="111"/>
      <c r="SN11" s="111"/>
      <c r="SO11" s="111"/>
      <c r="SP11" s="111"/>
      <c r="SQ11" s="111"/>
      <c r="SR11" s="111"/>
      <c r="SS11" s="111"/>
      <c r="ST11" s="111"/>
      <c r="SU11" s="111"/>
      <c r="SV11" s="111"/>
      <c r="SW11" s="111"/>
      <c r="SX11" s="111"/>
      <c r="SY11" s="111"/>
      <c r="SZ11" s="111"/>
      <c r="TA11" s="111"/>
      <c r="TB11" s="111"/>
      <c r="TC11" s="111"/>
      <c r="TD11" s="111"/>
      <c r="TE11" s="111"/>
      <c r="TF11" s="111"/>
      <c r="TG11" s="111"/>
      <c r="TH11" s="111"/>
      <c r="TI11" s="111"/>
      <c r="TJ11" s="111"/>
      <c r="TK11" s="111"/>
      <c r="TL11" s="111"/>
      <c r="TM11" s="111"/>
      <c r="TN11" s="111"/>
      <c r="TO11" s="111"/>
      <c r="TP11" s="111"/>
      <c r="TQ11" s="111"/>
      <c r="TR11" s="111"/>
      <c r="TS11" s="111"/>
      <c r="TT11" s="111"/>
      <c r="TU11" s="111"/>
      <c r="TV11" s="111"/>
      <c r="TW11" s="111"/>
      <c r="TX11" s="111"/>
      <c r="TY11" s="111"/>
      <c r="TZ11" s="111"/>
      <c r="UA11" s="111"/>
      <c r="UB11" s="111"/>
      <c r="UC11" s="111"/>
      <c r="UD11" s="111"/>
      <c r="UE11" s="111"/>
      <c r="UF11" s="111"/>
      <c r="UG11" s="111"/>
      <c r="UH11" s="111"/>
      <c r="UI11" s="111"/>
      <c r="UJ11" s="111"/>
      <c r="UK11" s="111"/>
      <c r="UL11" s="111"/>
      <c r="UM11" s="111"/>
      <c r="UN11" s="111"/>
      <c r="UO11" s="111"/>
      <c r="UP11" s="111"/>
      <c r="UQ11" s="111"/>
      <c r="UR11" s="111"/>
      <c r="US11" s="111"/>
      <c r="UT11" s="111"/>
      <c r="UU11" s="111"/>
      <c r="UV11" s="111"/>
      <c r="UW11" s="111"/>
      <c r="UX11" s="111"/>
      <c r="UY11" s="111"/>
      <c r="UZ11" s="111"/>
      <c r="VA11" s="111"/>
      <c r="VB11" s="111"/>
      <c r="VC11" s="111"/>
      <c r="VD11" s="111"/>
      <c r="VE11" s="111"/>
      <c r="VF11" s="111"/>
      <c r="VG11" s="111"/>
      <c r="VH11" s="111"/>
      <c r="VI11" s="111"/>
      <c r="VJ11" s="111"/>
      <c r="VK11" s="111"/>
      <c r="VL11" s="111"/>
      <c r="VM11" s="111"/>
      <c r="VN11" s="111"/>
      <c r="VO11" s="111"/>
      <c r="VP11" s="111"/>
      <c r="VQ11" s="111"/>
      <c r="VR11" s="111"/>
      <c r="VS11" s="111"/>
      <c r="VT11" s="111"/>
      <c r="VU11" s="111"/>
      <c r="VV11" s="111"/>
      <c r="VW11" s="111"/>
      <c r="VX11" s="111"/>
      <c r="VY11" s="111"/>
      <c r="VZ11" s="111"/>
      <c r="WA11" s="111"/>
      <c r="WB11" s="111"/>
      <c r="WC11" s="111"/>
      <c r="WD11" s="111"/>
      <c r="WE11" s="111"/>
      <c r="WF11" s="111"/>
      <c r="WG11" s="111"/>
      <c r="WH11" s="111"/>
      <c r="WI11" s="111"/>
      <c r="WJ11" s="111"/>
      <c r="WK11" s="111"/>
      <c r="WL11" s="111"/>
      <c r="WM11" s="111"/>
      <c r="WN11" s="111"/>
      <c r="WO11" s="111"/>
      <c r="WP11" s="111"/>
      <c r="WQ11" s="111"/>
      <c r="WR11" s="111"/>
      <c r="WS11" s="111"/>
      <c r="WT11" s="111"/>
      <c r="WU11" s="111"/>
      <c r="WV11" s="111"/>
      <c r="WW11" s="111"/>
      <c r="WX11" s="111"/>
      <c r="WY11" s="111"/>
      <c r="WZ11" s="111"/>
      <c r="XA11" s="111"/>
      <c r="XB11" s="111"/>
      <c r="XC11" s="111"/>
      <c r="XD11" s="111"/>
      <c r="XE11" s="111"/>
      <c r="XF11" s="111"/>
      <c r="XG11" s="111"/>
      <c r="XH11" s="111"/>
      <c r="XI11" s="111"/>
      <c r="XJ11" s="111"/>
      <c r="XK11" s="111"/>
      <c r="XL11" s="111"/>
      <c r="XM11" s="111"/>
      <c r="XN11" s="111"/>
      <c r="XO11" s="111"/>
      <c r="XP11" s="111"/>
      <c r="XQ11" s="111"/>
      <c r="XR11" s="111"/>
      <c r="XS11" s="111"/>
      <c r="XT11" s="111"/>
      <c r="XU11" s="111"/>
      <c r="XV11" s="111"/>
      <c r="XW11" s="111"/>
      <c r="XX11" s="111"/>
      <c r="XY11" s="111"/>
      <c r="XZ11" s="111"/>
      <c r="YA11" s="111"/>
      <c r="YB11" s="111"/>
      <c r="YC11" s="111"/>
      <c r="YD11" s="111"/>
      <c r="YE11" s="111"/>
      <c r="YF11" s="111"/>
      <c r="YG11" s="111"/>
      <c r="YH11" s="111"/>
      <c r="YI11" s="111"/>
      <c r="YJ11" s="111"/>
      <c r="YK11" s="111"/>
      <c r="YL11" s="111"/>
      <c r="YM11" s="111"/>
      <c r="YN11" s="111"/>
      <c r="YO11" s="111"/>
      <c r="YP11" s="111"/>
      <c r="YQ11" s="111"/>
      <c r="YR11" s="111"/>
      <c r="YS11" s="111"/>
      <c r="YT11" s="111"/>
      <c r="YU11" s="111"/>
      <c r="YV11" s="111"/>
      <c r="YW11" s="111"/>
      <c r="YX11" s="111"/>
      <c r="YY11" s="111"/>
      <c r="YZ11" s="111"/>
      <c r="ZA11" s="111"/>
      <c r="ZB11" s="111"/>
      <c r="ZC11" s="111"/>
      <c r="ZD11" s="111"/>
      <c r="ZE11" s="111"/>
      <c r="ZF11" s="111"/>
      <c r="ZG11" s="111"/>
      <c r="ZH11" s="111"/>
      <c r="ZI11" s="111"/>
      <c r="ZJ11" s="111"/>
      <c r="ZK11" s="111"/>
      <c r="ZL11" s="111"/>
      <c r="ZM11" s="111"/>
      <c r="ZN11" s="111"/>
      <c r="ZO11" s="111"/>
      <c r="ZP11" s="111"/>
      <c r="ZQ11" s="111"/>
      <c r="ZR11" s="111"/>
      <c r="ZS11" s="111"/>
      <c r="ZT11" s="111"/>
      <c r="ZU11" s="111"/>
      <c r="ZV11" s="111"/>
      <c r="ZW11" s="111"/>
      <c r="ZX11" s="111"/>
      <c r="ZY11" s="111"/>
      <c r="ZZ11" s="111"/>
      <c r="AAA11" s="111"/>
      <c r="AAB11" s="111"/>
      <c r="AAC11" s="111"/>
      <c r="AAD11" s="111"/>
      <c r="AAE11" s="111"/>
      <c r="AAF11" s="111"/>
      <c r="AAG11" s="111"/>
      <c r="AAH11" s="111"/>
      <c r="AAI11" s="111"/>
      <c r="AAJ11" s="111"/>
      <c r="AAK11" s="111"/>
      <c r="AAL11" s="111"/>
      <c r="AAM11" s="111"/>
      <c r="AAN11" s="111"/>
      <c r="AAO11" s="111"/>
      <c r="AAP11" s="111"/>
      <c r="AAQ11" s="111"/>
      <c r="AAR11" s="111"/>
      <c r="AAS11" s="111"/>
      <c r="AAT11" s="111"/>
      <c r="AAU11" s="111"/>
      <c r="AAV11" s="111"/>
      <c r="AAW11" s="111"/>
      <c r="AAX11" s="111"/>
      <c r="AAY11" s="111"/>
      <c r="AAZ11" s="111"/>
      <c r="ABA11" s="111"/>
      <c r="ABB11" s="111"/>
      <c r="ABC11" s="111"/>
      <c r="ABD11" s="111"/>
      <c r="ABE11" s="111"/>
      <c r="ABF11" s="111"/>
      <c r="ABG11" s="111"/>
      <c r="ABH11" s="111"/>
      <c r="ABI11" s="111"/>
      <c r="ABJ11" s="111"/>
      <c r="ABK11" s="111"/>
      <c r="ABL11" s="111"/>
      <c r="ABM11" s="111"/>
      <c r="ABN11" s="111"/>
      <c r="ABO11" s="111"/>
      <c r="ABP11" s="111"/>
      <c r="ABQ11" s="111"/>
      <c r="ABR11" s="111"/>
      <c r="ABS11" s="111"/>
      <c r="ABT11" s="111"/>
      <c r="ABU11" s="111"/>
      <c r="ABV11" s="111"/>
      <c r="ABW11" s="111"/>
      <c r="ABX11" s="111"/>
      <c r="ABY11" s="111"/>
      <c r="ABZ11" s="111"/>
      <c r="ACA11" s="111"/>
      <c r="ACB11" s="111"/>
      <c r="ACC11" s="111"/>
      <c r="ACD11" s="111"/>
      <c r="ACE11" s="111"/>
      <c r="ACF11" s="111"/>
      <c r="ACG11" s="111"/>
      <c r="ACH11" s="111"/>
      <c r="ACI11" s="111"/>
      <c r="ACJ11" s="111"/>
      <c r="ACK11" s="111"/>
      <c r="ACL11" s="111"/>
      <c r="ACM11" s="111"/>
      <c r="ACN11" s="111"/>
      <c r="ACO11" s="111"/>
      <c r="ACP11" s="111"/>
      <c r="ACQ11" s="111"/>
      <c r="ACR11" s="111"/>
      <c r="ACS11" s="111"/>
      <c r="ACT11" s="111"/>
      <c r="ACU11" s="111"/>
      <c r="ACV11" s="111"/>
      <c r="ACW11" s="111"/>
      <c r="ACX11" s="111"/>
      <c r="ACY11" s="111"/>
      <c r="ACZ11" s="111"/>
      <c r="ADA11" s="111"/>
      <c r="ADB11" s="111"/>
      <c r="ADC11" s="111"/>
      <c r="ADD11" s="111"/>
      <c r="ADE11" s="111"/>
      <c r="ADF11" s="111"/>
      <c r="ADG11" s="111"/>
      <c r="ADH11" s="111"/>
      <c r="ADI11" s="111"/>
      <c r="ADJ11" s="111"/>
      <c r="ADK11" s="111"/>
      <c r="ADL11" s="111"/>
      <c r="ADM11" s="111"/>
      <c r="ADN11" s="111"/>
      <c r="ADO11" s="111"/>
      <c r="ADP11" s="111"/>
      <c r="ADQ11" s="111"/>
      <c r="ADR11" s="111"/>
      <c r="ADS11" s="111"/>
      <c r="ADT11" s="111"/>
      <c r="ADU11" s="111"/>
      <c r="ADV11" s="111"/>
      <c r="ADW11" s="111"/>
      <c r="ADX11" s="111"/>
      <c r="ADY11" s="111"/>
      <c r="ADZ11" s="111"/>
      <c r="AEA11" s="111"/>
      <c r="AEB11" s="111"/>
      <c r="AEC11" s="111"/>
      <c r="AED11" s="111"/>
      <c r="AEE11" s="111"/>
      <c r="AEF11" s="111"/>
      <c r="AEG11" s="111"/>
      <c r="AEH11" s="111"/>
      <c r="AEI11" s="111"/>
      <c r="AEJ11" s="111"/>
      <c r="AEK11" s="111"/>
      <c r="AEL11" s="111"/>
      <c r="AEM11" s="111"/>
      <c r="AEN11" s="111"/>
      <c r="AEO11" s="111"/>
      <c r="AEP11" s="111"/>
      <c r="AEQ11" s="111"/>
      <c r="AER11" s="111"/>
      <c r="AES11" s="111"/>
      <c r="AET11" s="111"/>
      <c r="AEU11" s="111"/>
      <c r="AEV11" s="111"/>
      <c r="AEW11" s="111"/>
      <c r="AEX11" s="111"/>
      <c r="AEY11" s="111"/>
      <c r="AEZ11" s="111"/>
      <c r="AFA11" s="111"/>
      <c r="AFB11" s="111"/>
      <c r="AFC11" s="111"/>
      <c r="AFD11" s="111"/>
      <c r="AFE11" s="111"/>
      <c r="AFF11" s="111"/>
      <c r="AFG11" s="111"/>
      <c r="AFH11" s="111"/>
      <c r="AFI11" s="111"/>
      <c r="AFJ11" s="111"/>
      <c r="AFK11" s="111"/>
      <c r="AFL11" s="111"/>
      <c r="AFM11" s="111"/>
      <c r="AFN11" s="111"/>
      <c r="AFO11" s="111"/>
      <c r="AFP11" s="111"/>
      <c r="AFQ11" s="111"/>
      <c r="AFR11" s="111"/>
      <c r="AFS11" s="111"/>
      <c r="AFT11" s="111"/>
      <c r="AFU11" s="111"/>
      <c r="AFV11" s="111"/>
      <c r="AFW11" s="111"/>
      <c r="AFX11" s="111"/>
      <c r="AFY11" s="111"/>
      <c r="AFZ11" s="111"/>
      <c r="AGA11" s="111"/>
      <c r="AGB11" s="111"/>
      <c r="AGC11" s="111"/>
      <c r="AGD11" s="111"/>
      <c r="AGE11" s="111"/>
      <c r="AGF11" s="111"/>
      <c r="AGG11" s="111"/>
      <c r="AGH11" s="111"/>
      <c r="AGI11" s="111"/>
      <c r="AGJ11" s="111"/>
      <c r="AGK11" s="111"/>
      <c r="AGL11" s="111"/>
      <c r="AGM11" s="111"/>
      <c r="AGN11" s="111"/>
      <c r="AGO11" s="111"/>
      <c r="AGP11" s="111"/>
      <c r="AGQ11" s="111"/>
      <c r="AGR11" s="111"/>
      <c r="AGS11" s="111"/>
      <c r="AGT11" s="111"/>
      <c r="AGU11" s="111"/>
      <c r="AGV11" s="111"/>
      <c r="AGW11" s="111"/>
      <c r="AGX11" s="111"/>
      <c r="AGY11" s="111"/>
      <c r="AGZ11" s="111"/>
      <c r="AHA11" s="111"/>
      <c r="AHB11" s="111"/>
      <c r="AHC11" s="111"/>
      <c r="AHD11" s="111"/>
      <c r="AHE11" s="111"/>
      <c r="AHF11" s="111"/>
      <c r="AHG11" s="111"/>
      <c r="AHH11" s="111"/>
      <c r="AHI11" s="111"/>
      <c r="AHJ11" s="111"/>
      <c r="AHK11" s="111"/>
      <c r="AHL11" s="111"/>
      <c r="AHM11" s="111"/>
      <c r="AHN11" s="111"/>
      <c r="AHO11" s="111"/>
      <c r="AHP11" s="111"/>
      <c r="AHQ11" s="111"/>
      <c r="AHR11" s="111"/>
      <c r="AHS11" s="111"/>
      <c r="AHT11" s="111"/>
      <c r="AHU11" s="111"/>
      <c r="AHV11" s="111"/>
      <c r="AHW11" s="111"/>
      <c r="AHX11" s="111"/>
      <c r="AHY11" s="111"/>
      <c r="AHZ11" s="111"/>
      <c r="AIA11" s="111"/>
      <c r="AIB11" s="111"/>
      <c r="AIC11" s="111"/>
      <c r="AID11" s="111"/>
      <c r="AIE11" s="111"/>
      <c r="AIF11" s="111"/>
      <c r="AIG11" s="111"/>
      <c r="AIH11" s="111"/>
      <c r="AII11" s="111"/>
      <c r="AIJ11" s="111"/>
      <c r="AIK11" s="111"/>
      <c r="AIL11" s="111"/>
      <c r="AIM11" s="111"/>
      <c r="AIN11" s="111"/>
      <c r="AIO11" s="111"/>
      <c r="AIP11" s="111"/>
      <c r="AIQ11" s="111"/>
      <c r="AIR11" s="111"/>
      <c r="AIS11" s="111"/>
      <c r="AIT11" s="111"/>
      <c r="AIU11" s="111"/>
      <c r="AIV11" s="111"/>
      <c r="AIW11" s="111"/>
      <c r="AIX11" s="111"/>
      <c r="AIY11" s="111"/>
      <c r="AIZ11" s="111"/>
      <c r="AJA11" s="111"/>
      <c r="AJB11" s="111"/>
      <c r="AJC11" s="111"/>
      <c r="AJD11" s="111"/>
      <c r="AJE11" s="111"/>
      <c r="AJF11" s="111"/>
      <c r="AJG11" s="111"/>
      <c r="AJH11" s="111"/>
      <c r="AJI11" s="111"/>
      <c r="AJJ11" s="111"/>
      <c r="AJK11" s="111"/>
      <c r="AJL11" s="111"/>
      <c r="AJM11" s="111"/>
      <c r="AJN11" s="111"/>
      <c r="AJO11" s="111"/>
      <c r="AJP11" s="111"/>
      <c r="AJQ11" s="111"/>
      <c r="AJR11" s="111"/>
      <c r="AJS11" s="111"/>
      <c r="AJT11" s="111"/>
      <c r="AJU11" s="111"/>
      <c r="AJV11" s="111"/>
      <c r="AJW11" s="111"/>
      <c r="AJX11" s="111"/>
      <c r="AJY11" s="111"/>
      <c r="AJZ11" s="111"/>
      <c r="AKA11" s="111"/>
      <c r="AKB11" s="111"/>
      <c r="AKC11" s="111"/>
      <c r="AKD11" s="111"/>
      <c r="AKE11" s="111"/>
      <c r="AKF11" s="111"/>
      <c r="AKG11" s="111"/>
      <c r="AKH11" s="111"/>
      <c r="AKI11" s="111"/>
      <c r="AKJ11" s="111"/>
      <c r="AKK11" s="111"/>
      <c r="AKL11" s="111"/>
      <c r="AKM11" s="111"/>
      <c r="AKN11" s="111"/>
      <c r="AKO11" s="111"/>
      <c r="AKP11" s="111"/>
      <c r="AKQ11" s="111"/>
      <c r="AKR11" s="111"/>
      <c r="AKS11" s="111"/>
      <c r="AKT11" s="111"/>
      <c r="AKU11" s="111"/>
      <c r="AKV11" s="111"/>
      <c r="AKW11" s="111"/>
      <c r="AKX11" s="111"/>
      <c r="AKY11" s="111"/>
      <c r="AKZ11" s="111"/>
      <c r="ALA11" s="111"/>
      <c r="ALB11" s="111"/>
      <c r="ALC11" s="111"/>
      <c r="ALD11" s="111"/>
      <c r="ALE11" s="111"/>
      <c r="ALF11" s="111"/>
      <c r="ALG11" s="111"/>
      <c r="ALH11" s="111"/>
      <c r="ALI11" s="111"/>
      <c r="ALJ11" s="111"/>
      <c r="ALK11" s="111"/>
      <c r="ALL11" s="111"/>
      <c r="ALM11" s="111"/>
      <c r="ALN11" s="111"/>
      <c r="ALO11" s="111"/>
      <c r="ALP11" s="111"/>
      <c r="ALQ11" s="111"/>
      <c r="ALR11" s="111"/>
      <c r="ALS11" s="111"/>
      <c r="ALT11" s="111"/>
      <c r="ALU11" s="111"/>
      <c r="ALV11" s="111"/>
      <c r="ALW11" s="111"/>
      <c r="ALX11" s="111"/>
      <c r="ALY11" s="111"/>
      <c r="ALZ11" s="111"/>
      <c r="AMA11" s="111"/>
      <c r="AMB11" s="111"/>
      <c r="AMC11" s="111"/>
      <c r="AMD11" s="111"/>
      <c r="AME11" s="111"/>
      <c r="AMF11" s="111"/>
      <c r="AMG11" s="111"/>
      <c r="AMH11" s="111"/>
      <c r="AMI11" s="111"/>
      <c r="AMJ11" s="111"/>
      <c r="AMK11" s="111"/>
      <c r="AML11" s="111"/>
      <c r="AMM11" s="111"/>
      <c r="AMN11" s="111"/>
      <c r="AMO11" s="111"/>
      <c r="AMP11" s="111"/>
      <c r="AMQ11" s="111"/>
      <c r="AMR11" s="111"/>
      <c r="AMS11" s="111"/>
      <c r="AMT11" s="111"/>
      <c r="AMU11" s="111"/>
      <c r="AMV11" s="111"/>
      <c r="AMW11" s="111"/>
      <c r="AMX11" s="111"/>
      <c r="AMY11" s="111"/>
      <c r="AMZ11" s="111"/>
      <c r="ANA11" s="111"/>
      <c r="ANB11" s="111"/>
      <c r="ANC11" s="111"/>
      <c r="AND11" s="111"/>
      <c r="ANE11" s="111"/>
      <c r="ANF11" s="111"/>
      <c r="ANG11" s="111"/>
      <c r="ANH11" s="111"/>
      <c r="ANI11" s="111"/>
      <c r="ANJ11" s="111"/>
      <c r="ANK11" s="111"/>
      <c r="ANL11" s="111"/>
      <c r="ANM11" s="111"/>
      <c r="ANN11" s="111"/>
      <c r="ANO11" s="111"/>
      <c r="ANP11" s="111"/>
      <c r="ANQ11" s="111"/>
      <c r="ANR11" s="111"/>
      <c r="ANS11" s="111"/>
      <c r="ANT11" s="111"/>
      <c r="ANU11" s="111"/>
      <c r="ANV11" s="111"/>
      <c r="ANW11" s="111"/>
      <c r="ANX11" s="111"/>
      <c r="ANY11" s="111"/>
      <c r="ANZ11" s="111"/>
      <c r="AOA11" s="111"/>
      <c r="AOB11" s="111"/>
      <c r="AOC11" s="111"/>
      <c r="AOD11" s="111"/>
      <c r="AOE11" s="111"/>
      <c r="AOF11" s="111"/>
      <c r="AOG11" s="111"/>
      <c r="AOH11" s="111"/>
      <c r="AOI11" s="111"/>
      <c r="AOJ11" s="111"/>
      <c r="AOK11" s="111"/>
      <c r="AOL11" s="111"/>
      <c r="AOM11" s="111"/>
      <c r="AON11" s="111"/>
      <c r="AOO11" s="111"/>
      <c r="AOP11" s="111"/>
      <c r="AOQ11" s="111"/>
      <c r="AOR11" s="111"/>
      <c r="AOS11" s="111"/>
      <c r="AOT11" s="111"/>
      <c r="AOU11" s="111"/>
      <c r="AOV11" s="111"/>
      <c r="AOW11" s="111"/>
      <c r="AOX11" s="111"/>
      <c r="AOY11" s="111"/>
      <c r="AOZ11" s="111"/>
      <c r="APA11" s="111"/>
      <c r="APB11" s="111"/>
      <c r="APC11" s="111"/>
      <c r="APD11" s="111"/>
      <c r="APE11" s="111"/>
      <c r="APF11" s="111"/>
      <c r="APG11" s="111"/>
      <c r="APH11" s="111"/>
      <c r="API11" s="111"/>
      <c r="APJ11" s="111"/>
      <c r="APK11" s="111"/>
      <c r="APL11" s="111"/>
      <c r="APM11" s="111"/>
      <c r="APN11" s="111"/>
      <c r="APO11" s="111"/>
      <c r="APP11" s="111"/>
      <c r="APQ11" s="111"/>
      <c r="APR11" s="111"/>
      <c r="APS11" s="111"/>
      <c r="APT11" s="111"/>
      <c r="APU11" s="111"/>
      <c r="APV11" s="111"/>
      <c r="APW11" s="111"/>
      <c r="APX11" s="111"/>
      <c r="APY11" s="111"/>
      <c r="APZ11" s="111"/>
      <c r="AQA11" s="111"/>
      <c r="AQB11" s="111"/>
      <c r="AQC11" s="111"/>
      <c r="AQD11" s="111"/>
      <c r="AQE11" s="111"/>
      <c r="AQF11" s="111"/>
      <c r="AQG11" s="111"/>
      <c r="AQH11" s="111"/>
      <c r="AQI11" s="111"/>
      <c r="AQJ11" s="111"/>
      <c r="AQK11" s="111"/>
      <c r="AQL11" s="111"/>
      <c r="AQM11" s="111"/>
      <c r="AQN11" s="111"/>
      <c r="AQO11" s="111"/>
      <c r="AQP11" s="111"/>
      <c r="AQQ11" s="111"/>
      <c r="AQR11" s="111"/>
      <c r="AQS11" s="111"/>
      <c r="AQT11" s="111"/>
      <c r="AQU11" s="111"/>
      <c r="AQV11" s="111"/>
      <c r="AQW11" s="111"/>
      <c r="AQX11" s="111"/>
      <c r="AQY11" s="111"/>
      <c r="AQZ11" s="111"/>
      <c r="ARA11" s="111"/>
      <c r="ARB11" s="111"/>
      <c r="ARC11" s="111"/>
      <c r="ARD11" s="111"/>
      <c r="ARE11" s="111"/>
      <c r="ARF11" s="111"/>
      <c r="ARG11" s="111"/>
      <c r="ARH11" s="111"/>
      <c r="ARI11" s="111"/>
      <c r="ARJ11" s="111"/>
      <c r="ARK11" s="111"/>
      <c r="ARL11" s="111"/>
      <c r="ARM11" s="111"/>
      <c r="ARN11" s="111"/>
      <c r="ARO11" s="111"/>
      <c r="ARP11" s="111"/>
      <c r="ARQ11" s="111"/>
      <c r="ARR11" s="111"/>
      <c r="ARS11" s="111"/>
      <c r="ART11" s="111"/>
      <c r="ARU11" s="111"/>
      <c r="ARV11" s="111"/>
      <c r="ARW11" s="111"/>
      <c r="ARX11" s="111"/>
      <c r="ARY11" s="111"/>
      <c r="ARZ11" s="111"/>
      <c r="ASA11" s="111"/>
      <c r="ASB11" s="111"/>
      <c r="ASC11" s="111"/>
      <c r="ASD11" s="111"/>
      <c r="ASE11" s="111"/>
      <c r="ASF11" s="111"/>
      <c r="ASG11" s="111"/>
      <c r="ASH11" s="111"/>
      <c r="ASI11" s="111"/>
      <c r="ASJ11" s="111"/>
      <c r="ASK11" s="111"/>
      <c r="ASL11" s="111"/>
      <c r="ASM11" s="111"/>
      <c r="ASN11" s="111"/>
      <c r="ASO11" s="111"/>
      <c r="ASP11" s="111"/>
      <c r="ASQ11" s="111"/>
      <c r="ASR11" s="111"/>
      <c r="ASS11" s="111"/>
      <c r="AST11" s="111"/>
      <c r="ASU11" s="111"/>
      <c r="ASV11" s="111"/>
      <c r="ASW11" s="111"/>
      <c r="ASX11" s="111"/>
      <c r="ASY11" s="111"/>
      <c r="ASZ11" s="111"/>
      <c r="ATA11" s="111"/>
      <c r="ATB11" s="111"/>
      <c r="ATC11" s="111"/>
      <c r="ATD11" s="111"/>
      <c r="ATE11" s="111"/>
      <c r="ATF11" s="111"/>
      <c r="ATG11" s="111"/>
      <c r="ATH11" s="111"/>
      <c r="ATI11" s="111"/>
      <c r="ATJ11" s="111"/>
      <c r="ATK11" s="111"/>
      <c r="ATL11" s="111"/>
      <c r="ATM11" s="111"/>
      <c r="ATN11" s="111"/>
      <c r="ATO11" s="111"/>
      <c r="ATP11" s="111"/>
      <c r="ATQ11" s="111"/>
      <c r="ATR11" s="111"/>
      <c r="ATS11" s="111"/>
      <c r="ATT11" s="111"/>
      <c r="ATU11" s="111"/>
      <c r="ATV11" s="111"/>
      <c r="ATW11" s="111"/>
      <c r="ATX11" s="111"/>
      <c r="ATY11" s="111"/>
      <c r="ATZ11" s="111"/>
      <c r="AUA11" s="111"/>
      <c r="AUB11" s="111"/>
      <c r="AUC11" s="111"/>
      <c r="AUD11" s="111"/>
      <c r="AUE11" s="111"/>
      <c r="AUF11" s="111"/>
      <c r="AUG11" s="111"/>
      <c r="AUH11" s="111"/>
      <c r="AUI11" s="111"/>
      <c r="AUJ11" s="111"/>
      <c r="AUK11" s="111"/>
      <c r="AUL11" s="111"/>
      <c r="AUM11" s="111"/>
      <c r="AUN11" s="111"/>
      <c r="AUO11" s="111"/>
      <c r="AUP11" s="111"/>
      <c r="AUQ11" s="111"/>
      <c r="AUR11" s="111"/>
      <c r="AUS11" s="111"/>
      <c r="AUT11" s="111"/>
      <c r="AUU11" s="111"/>
      <c r="AUV11" s="111"/>
      <c r="AUW11" s="111"/>
      <c r="AUX11" s="111"/>
      <c r="AUY11" s="111"/>
      <c r="AUZ11" s="111"/>
      <c r="AVA11" s="111"/>
      <c r="AVB11" s="111"/>
      <c r="AVC11" s="111"/>
      <c r="AVD11" s="111"/>
      <c r="AVE11" s="111"/>
      <c r="AVF11" s="111"/>
      <c r="AVG11" s="111"/>
      <c r="AVH11" s="111"/>
      <c r="AVI11" s="111"/>
      <c r="AVJ11" s="111"/>
      <c r="AVK11" s="111"/>
      <c r="AVL11" s="111"/>
      <c r="AVM11" s="111"/>
      <c r="AVN11" s="111"/>
      <c r="AVO11" s="111"/>
      <c r="AVP11" s="111"/>
      <c r="AVQ11" s="111"/>
      <c r="AVR11" s="111"/>
      <c r="AVS11" s="111"/>
      <c r="AVT11" s="111"/>
      <c r="AVU11" s="111"/>
      <c r="AVV11" s="111"/>
      <c r="AVW11" s="111"/>
      <c r="AVX11" s="111"/>
      <c r="AVY11" s="111"/>
      <c r="AVZ11" s="111"/>
      <c r="AWA11" s="111"/>
      <c r="AWB11" s="111"/>
      <c r="AWC11" s="111"/>
      <c r="AWD11" s="111"/>
      <c r="AWE11" s="111"/>
      <c r="AWF11" s="111"/>
      <c r="AWG11" s="111"/>
      <c r="AWH11" s="111"/>
      <c r="AWI11" s="111"/>
      <c r="AWJ11" s="111"/>
      <c r="AWK11" s="111"/>
      <c r="AWL11" s="111"/>
      <c r="AWM11" s="111"/>
      <c r="AWN11" s="111"/>
      <c r="AWO11" s="111"/>
      <c r="AWP11" s="111"/>
      <c r="AWQ11" s="111"/>
      <c r="AWR11" s="111"/>
      <c r="AWS11" s="111"/>
      <c r="AWT11" s="111"/>
      <c r="AWU11" s="111"/>
      <c r="AWV11" s="111"/>
      <c r="AWW11" s="111"/>
      <c r="AWX11" s="111"/>
      <c r="AWY11" s="111"/>
      <c r="AWZ11" s="111"/>
      <c r="AXA11" s="111"/>
      <c r="AXB11" s="111"/>
      <c r="AXC11" s="111"/>
      <c r="AXD11" s="111"/>
      <c r="AXE11" s="111"/>
      <c r="AXF11" s="111"/>
      <c r="AXG11" s="111"/>
      <c r="AXH11" s="111"/>
      <c r="AXI11" s="111"/>
      <c r="AXJ11" s="111"/>
      <c r="AXK11" s="111"/>
      <c r="AXL11" s="111"/>
      <c r="AXM11" s="111"/>
      <c r="AXN11" s="111"/>
      <c r="AXO11" s="111"/>
      <c r="AXP11" s="111"/>
      <c r="AXQ11" s="111"/>
      <c r="AXR11" s="111"/>
      <c r="AXS11" s="111"/>
      <c r="AXT11" s="111"/>
      <c r="AXU11" s="111"/>
      <c r="AXV11" s="111"/>
      <c r="AXW11" s="111"/>
      <c r="AXX11" s="111"/>
      <c r="AXY11" s="111"/>
      <c r="AXZ11" s="111"/>
      <c r="AYA11" s="111"/>
      <c r="AYB11" s="111"/>
      <c r="AYC11" s="111"/>
      <c r="AYD11" s="111"/>
      <c r="AYE11" s="111"/>
      <c r="AYF11" s="111"/>
      <c r="AYG11" s="111"/>
      <c r="AYH11" s="111"/>
      <c r="AYI11" s="111"/>
      <c r="AYJ11" s="111"/>
      <c r="AYK11" s="111"/>
      <c r="AYL11" s="111"/>
      <c r="AYM11" s="111"/>
      <c r="AYN11" s="111"/>
      <c r="AYO11" s="111"/>
      <c r="AYP11" s="111"/>
      <c r="AYQ11" s="111"/>
      <c r="AYR11" s="111"/>
      <c r="AYS11" s="111"/>
      <c r="AYT11" s="111"/>
      <c r="AYU11" s="111"/>
      <c r="AYV11" s="111"/>
      <c r="AYW11" s="111"/>
      <c r="AYX11" s="111"/>
      <c r="AYY11" s="111"/>
      <c r="AYZ11" s="111"/>
      <c r="AZA11" s="111"/>
      <c r="AZB11" s="111"/>
      <c r="AZC11" s="111"/>
      <c r="AZD11" s="111"/>
      <c r="AZE11" s="111"/>
      <c r="AZF11" s="111"/>
      <c r="AZG11" s="111"/>
      <c r="AZH11" s="111"/>
      <c r="AZI11" s="111"/>
      <c r="AZJ11" s="111"/>
      <c r="AZK11" s="111"/>
      <c r="AZL11" s="111"/>
      <c r="AZM11" s="111"/>
      <c r="AZN11" s="111"/>
      <c r="AZO11" s="111"/>
      <c r="AZP11" s="111"/>
      <c r="AZQ11" s="111"/>
      <c r="AZR11" s="111"/>
      <c r="AZS11" s="111"/>
      <c r="AZT11" s="111"/>
      <c r="AZU11" s="111"/>
      <c r="AZV11" s="111"/>
      <c r="AZW11" s="111"/>
      <c r="AZX11" s="111"/>
      <c r="AZY11" s="111"/>
      <c r="AZZ11" s="111"/>
      <c r="BAA11" s="111"/>
      <c r="BAB11" s="111"/>
      <c r="BAC11" s="111"/>
      <c r="BAD11" s="111"/>
      <c r="BAE11" s="111"/>
      <c r="BAF11" s="111"/>
      <c r="BAG11" s="111"/>
      <c r="BAH11" s="111"/>
      <c r="BAI11" s="111"/>
      <c r="BAJ11" s="111"/>
      <c r="BAK11" s="111"/>
      <c r="BAL11" s="111"/>
      <c r="BAM11" s="111"/>
      <c r="BAN11" s="111"/>
      <c r="BAO11" s="111"/>
      <c r="BAP11" s="111"/>
      <c r="BAQ11" s="111"/>
      <c r="BAR11" s="111"/>
      <c r="BAS11" s="111"/>
      <c r="BAT11" s="111"/>
      <c r="BAU11" s="111"/>
      <c r="BAV11" s="111"/>
      <c r="BAW11" s="111"/>
      <c r="BAX11" s="111"/>
      <c r="BAY11" s="111"/>
      <c r="BAZ11" s="111"/>
      <c r="BBA11" s="111"/>
      <c r="BBB11" s="111"/>
      <c r="BBC11" s="111"/>
      <c r="BBD11" s="111"/>
      <c r="BBE11" s="111"/>
      <c r="BBF11" s="111"/>
      <c r="BBG11" s="111"/>
      <c r="BBH11" s="111"/>
      <c r="BBI11" s="111"/>
      <c r="BBJ11" s="111"/>
      <c r="BBK11" s="111"/>
      <c r="BBL11" s="111"/>
      <c r="BBM11" s="111"/>
      <c r="BBN11" s="111"/>
      <c r="BBO11" s="111"/>
      <c r="BBP11" s="111"/>
      <c r="BBQ11" s="111"/>
      <c r="BBR11" s="111"/>
      <c r="BBS11" s="111"/>
      <c r="BBT11" s="111"/>
      <c r="BBU11" s="111"/>
      <c r="BBV11" s="111"/>
      <c r="BBW11" s="111"/>
      <c r="BBX11" s="111"/>
      <c r="BBY11" s="111"/>
      <c r="BBZ11" s="111"/>
      <c r="BCA11" s="111"/>
      <c r="BCB11" s="111"/>
      <c r="BCC11" s="111"/>
      <c r="BCD11" s="111"/>
      <c r="BCE11" s="111"/>
      <c r="BCF11" s="111"/>
      <c r="BCG11" s="111"/>
      <c r="BCH11" s="111"/>
      <c r="BCI11" s="111"/>
      <c r="BCJ11" s="111"/>
      <c r="BCK11" s="111"/>
      <c r="BCL11" s="111"/>
      <c r="BCM11" s="111"/>
      <c r="BCN11" s="111"/>
      <c r="BCO11" s="111"/>
      <c r="BCP11" s="111"/>
      <c r="BCQ11" s="111"/>
      <c r="BCR11" s="111"/>
      <c r="BCS11" s="111"/>
      <c r="BCT11" s="111"/>
      <c r="BCU11" s="111"/>
      <c r="BCV11" s="111"/>
      <c r="BCW11" s="111"/>
      <c r="BCX11" s="111"/>
      <c r="BCY11" s="111"/>
      <c r="BCZ11" s="111"/>
      <c r="BDA11" s="111"/>
      <c r="BDB11" s="111"/>
      <c r="BDC11" s="111"/>
      <c r="BDD11" s="111"/>
      <c r="BDE11" s="111"/>
      <c r="BDF11" s="111"/>
      <c r="BDG11" s="111"/>
      <c r="BDH11" s="111"/>
      <c r="BDI11" s="111"/>
      <c r="BDJ11" s="111"/>
      <c r="BDK11" s="111"/>
      <c r="BDL11" s="111"/>
      <c r="BDM11" s="111"/>
      <c r="BDN11" s="111"/>
      <c r="BDO11" s="111"/>
      <c r="BDP11" s="111"/>
      <c r="BDQ11" s="111"/>
      <c r="BDR11" s="111"/>
      <c r="BDS11" s="111"/>
      <c r="BDT11" s="111"/>
      <c r="BDU11" s="111"/>
      <c r="BDV11" s="111"/>
      <c r="BDW11" s="111"/>
      <c r="BDX11" s="111"/>
      <c r="BDY11" s="111"/>
      <c r="BDZ11" s="111"/>
      <c r="BEA11" s="111"/>
      <c r="BEB11" s="111"/>
      <c r="BEC11" s="111"/>
      <c r="BED11" s="111"/>
      <c r="BEE11" s="111"/>
      <c r="BEF11" s="111"/>
      <c r="BEG11" s="111"/>
      <c r="BEH11" s="111"/>
      <c r="BEI11" s="111"/>
      <c r="BEJ11" s="111"/>
      <c r="BEK11" s="111"/>
      <c r="BEL11" s="111"/>
      <c r="BEM11" s="111"/>
      <c r="BEN11" s="111"/>
      <c r="BEO11" s="111"/>
      <c r="BEP11" s="111"/>
      <c r="BEQ11" s="111"/>
      <c r="BER11" s="111"/>
      <c r="BES11" s="111"/>
      <c r="BET11" s="111"/>
      <c r="BEU11" s="111"/>
      <c r="BEV11" s="111"/>
      <c r="BEW11" s="111"/>
      <c r="BEX11" s="111"/>
      <c r="BEY11" s="111"/>
      <c r="BEZ11" s="111"/>
      <c r="BFA11" s="111"/>
      <c r="BFB11" s="111"/>
      <c r="BFC11" s="111"/>
      <c r="BFD11" s="111"/>
      <c r="BFE11" s="111"/>
      <c r="BFF11" s="111"/>
      <c r="BFG11" s="111"/>
      <c r="BFH11" s="111"/>
      <c r="BFI11" s="111"/>
      <c r="BFJ11" s="111"/>
      <c r="BFK11" s="111"/>
      <c r="BFL11" s="111"/>
      <c r="BFM11" s="111"/>
      <c r="BFN11" s="111"/>
      <c r="BFO11" s="111"/>
      <c r="BFP11" s="111"/>
      <c r="BFQ11" s="111"/>
      <c r="BFR11" s="111"/>
      <c r="BFS11" s="111"/>
      <c r="BFT11" s="111"/>
      <c r="BFU11" s="111"/>
      <c r="BFV11" s="111"/>
      <c r="BFW11" s="111"/>
      <c r="BFX11" s="111"/>
      <c r="BFY11" s="111"/>
      <c r="BFZ11" s="111"/>
      <c r="BGA11" s="111"/>
      <c r="BGB11" s="111"/>
      <c r="BGC11" s="111"/>
      <c r="BGD11" s="111"/>
      <c r="BGE11" s="111"/>
      <c r="BGF11" s="111"/>
      <c r="BGG11" s="111"/>
      <c r="BGH11" s="111"/>
      <c r="BGI11" s="111"/>
      <c r="BGJ11" s="111"/>
      <c r="BGK11" s="111"/>
      <c r="BGL11" s="111"/>
      <c r="BGM11" s="111"/>
      <c r="BGN11" s="111"/>
      <c r="BGO11" s="111"/>
      <c r="BGP11" s="111"/>
      <c r="BGQ11" s="111"/>
      <c r="BGR11" s="111"/>
      <c r="BGS11" s="111"/>
      <c r="BGT11" s="111"/>
      <c r="BGU11" s="111"/>
      <c r="BGV11" s="111"/>
      <c r="BGW11" s="111"/>
      <c r="BGX11" s="111"/>
      <c r="BGY11" s="111"/>
      <c r="BGZ11" s="111"/>
      <c r="BHA11" s="111"/>
      <c r="BHB11" s="111"/>
      <c r="BHC11" s="111"/>
      <c r="BHD11" s="111"/>
      <c r="BHE11" s="111"/>
      <c r="BHF11" s="111"/>
      <c r="BHG11" s="111"/>
      <c r="BHH11" s="111"/>
      <c r="BHI11" s="111"/>
      <c r="BHJ11" s="111"/>
      <c r="BHK11" s="111"/>
      <c r="BHL11" s="111"/>
      <c r="BHM11" s="111"/>
      <c r="BHN11" s="111"/>
      <c r="BHO11" s="111"/>
      <c r="BHP11" s="111"/>
      <c r="BHQ11" s="111"/>
      <c r="BHR11" s="111"/>
      <c r="BHS11" s="111"/>
      <c r="BHT11" s="111"/>
      <c r="BHU11" s="111"/>
      <c r="BHV11" s="111"/>
      <c r="BHW11" s="111"/>
      <c r="BHX11" s="111"/>
      <c r="BHY11" s="111"/>
      <c r="BHZ11" s="111"/>
      <c r="BIA11" s="111"/>
      <c r="BIB11" s="111"/>
      <c r="BIC11" s="111"/>
      <c r="BID11" s="111"/>
      <c r="BIE11" s="111"/>
      <c r="BIF11" s="111"/>
      <c r="BIG11" s="111"/>
      <c r="BIH11" s="111"/>
      <c r="BII11" s="111"/>
      <c r="BIJ11" s="111"/>
      <c r="BIK11" s="111"/>
      <c r="BIL11" s="111"/>
      <c r="BIM11" s="111"/>
      <c r="BIN11" s="111"/>
      <c r="BIO11" s="111"/>
      <c r="BIP11" s="111"/>
      <c r="BIQ11" s="111"/>
      <c r="BIR11" s="111"/>
      <c r="BIS11" s="111"/>
      <c r="BIT11" s="111"/>
      <c r="BIU11" s="111"/>
      <c r="BIV11" s="111"/>
      <c r="BIW11" s="111"/>
      <c r="BIX11" s="111"/>
      <c r="BIY11" s="111"/>
      <c r="BIZ11" s="111"/>
      <c r="BJA11" s="111"/>
      <c r="BJB11" s="111"/>
      <c r="BJC11" s="111"/>
      <c r="BJD11" s="111"/>
      <c r="BJE11" s="111"/>
      <c r="BJF11" s="111"/>
      <c r="BJG11" s="111"/>
      <c r="BJH11" s="111"/>
      <c r="BJI11" s="111"/>
      <c r="BJJ11" s="111"/>
      <c r="BJK11" s="111"/>
      <c r="BJL11" s="111"/>
      <c r="BJM11" s="111"/>
      <c r="BJN11" s="111"/>
      <c r="BJO11" s="111"/>
      <c r="BJP11" s="111"/>
      <c r="BJQ11" s="111"/>
      <c r="BJR11" s="111"/>
      <c r="BJS11" s="111"/>
      <c r="BJT11" s="111"/>
      <c r="BJU11" s="111"/>
      <c r="BJV11" s="111"/>
      <c r="BJW11" s="111"/>
      <c r="BJX11" s="111"/>
      <c r="BJY11" s="111"/>
      <c r="BJZ11" s="111"/>
      <c r="BKA11" s="111"/>
      <c r="BKB11" s="111"/>
      <c r="BKC11" s="111"/>
      <c r="BKD11" s="111"/>
      <c r="BKE11" s="111"/>
      <c r="BKF11" s="111"/>
      <c r="BKG11" s="111"/>
      <c r="BKH11" s="111"/>
      <c r="BKI11" s="111"/>
      <c r="BKJ11" s="111"/>
      <c r="BKK11" s="111"/>
      <c r="BKL11" s="111"/>
      <c r="BKM11" s="111"/>
      <c r="BKN11" s="111"/>
      <c r="BKO11" s="111"/>
      <c r="BKP11" s="111"/>
      <c r="BKQ11" s="111"/>
      <c r="BKR11" s="111"/>
      <c r="BKS11" s="111"/>
      <c r="BKT11" s="111"/>
      <c r="BKU11" s="111"/>
      <c r="BKV11" s="111"/>
      <c r="BKW11" s="111"/>
      <c r="BKX11" s="111"/>
      <c r="BKY11" s="111"/>
      <c r="BKZ11" s="111"/>
      <c r="BLA11" s="111"/>
      <c r="BLB11" s="111"/>
      <c r="BLC11" s="111"/>
      <c r="BLD11" s="111"/>
      <c r="BLE11" s="111"/>
      <c r="BLF11" s="111"/>
      <c r="BLG11" s="111"/>
      <c r="BLH11" s="111"/>
      <c r="BLI11" s="111"/>
      <c r="BLJ11" s="111"/>
      <c r="BLK11" s="111"/>
      <c r="BLL11" s="111"/>
      <c r="BLM11" s="111"/>
      <c r="BLN11" s="111"/>
      <c r="BLO11" s="111"/>
      <c r="BLP11" s="111"/>
      <c r="BLQ11" s="111"/>
      <c r="BLR11" s="111"/>
      <c r="BLS11" s="111"/>
      <c r="BLT11" s="111"/>
      <c r="BLU11" s="111"/>
      <c r="BLV11" s="111"/>
      <c r="BLW11" s="111"/>
      <c r="BLX11" s="111"/>
      <c r="BLY11" s="111"/>
      <c r="BLZ11" s="111"/>
      <c r="BMA11" s="111"/>
      <c r="BMB11" s="111"/>
      <c r="BMC11" s="111"/>
      <c r="BMD11" s="111"/>
      <c r="BME11" s="111"/>
      <c r="BMF11" s="111"/>
      <c r="BMG11" s="111"/>
      <c r="BMH11" s="111"/>
      <c r="BMI11" s="111"/>
      <c r="BMJ11" s="111"/>
      <c r="BMK11" s="111"/>
      <c r="BML11" s="111"/>
      <c r="BMM11" s="111"/>
      <c r="BMN11" s="111"/>
      <c r="BMO11" s="111"/>
      <c r="BMP11" s="111"/>
      <c r="BMQ11" s="111"/>
      <c r="BMR11" s="111"/>
      <c r="BMS11" s="111"/>
      <c r="BMT11" s="111"/>
      <c r="BMU11" s="111"/>
      <c r="BMV11" s="111"/>
      <c r="BMW11" s="111"/>
      <c r="BMX11" s="111"/>
      <c r="BMY11" s="111"/>
      <c r="BMZ11" s="111"/>
      <c r="BNA11" s="111"/>
      <c r="BNB11" s="111"/>
      <c r="BNC11" s="111"/>
      <c r="BND11" s="111"/>
      <c r="BNE11" s="111"/>
      <c r="BNF11" s="111"/>
      <c r="BNG11" s="111"/>
      <c r="BNH11" s="111"/>
      <c r="BNI11" s="111"/>
      <c r="BNJ11" s="111"/>
      <c r="BNK11" s="111"/>
      <c r="BNL11" s="111"/>
      <c r="BNM11" s="111"/>
      <c r="BNN11" s="111"/>
      <c r="BNO11" s="111"/>
      <c r="BNP11" s="111"/>
      <c r="BNQ11" s="111"/>
      <c r="BNR11" s="111"/>
      <c r="BNS11" s="111"/>
      <c r="BNT11" s="111"/>
      <c r="BNU11" s="111"/>
      <c r="BNV11" s="111"/>
      <c r="BNW11" s="111"/>
      <c r="BNX11" s="111"/>
      <c r="BNY11" s="111"/>
      <c r="BNZ11" s="111"/>
      <c r="BOA11" s="111"/>
      <c r="BOB11" s="111"/>
      <c r="BOC11" s="111"/>
      <c r="BOD11" s="111"/>
      <c r="BOE11" s="111"/>
      <c r="BOF11" s="111"/>
      <c r="BOG11" s="111"/>
      <c r="BOH11" s="111"/>
      <c r="BOI11" s="111"/>
      <c r="BOJ11" s="111"/>
      <c r="BOK11" s="111"/>
      <c r="BOL11" s="111"/>
      <c r="BOM11" s="111"/>
      <c r="BON11" s="111"/>
      <c r="BOO11" s="111"/>
      <c r="BOP11" s="111"/>
      <c r="BOQ11" s="111"/>
      <c r="BOR11" s="111"/>
      <c r="BOS11" s="111"/>
      <c r="BOT11" s="111"/>
      <c r="BOU11" s="111"/>
      <c r="BOV11" s="111"/>
      <c r="BOW11" s="111"/>
      <c r="BOX11" s="111"/>
      <c r="BOY11" s="111"/>
      <c r="BOZ11" s="111"/>
      <c r="BPA11" s="111"/>
      <c r="BPB11" s="111"/>
      <c r="BPC11" s="111"/>
      <c r="BPD11" s="111"/>
      <c r="BPE11" s="111"/>
      <c r="BPF11" s="111"/>
      <c r="BPG11" s="111"/>
      <c r="BPH11" s="111"/>
      <c r="BPI11" s="111"/>
      <c r="BPJ11" s="111"/>
      <c r="BPK11" s="111"/>
      <c r="BPL11" s="111"/>
      <c r="BPM11" s="111"/>
      <c r="BPN11" s="111"/>
      <c r="BPO11" s="111"/>
      <c r="BPP11" s="111"/>
      <c r="BPQ11" s="111"/>
      <c r="BPR11" s="111"/>
      <c r="BPS11" s="111"/>
      <c r="BPT11" s="111"/>
      <c r="BPU11" s="111"/>
      <c r="BPV11" s="111"/>
      <c r="BPW11" s="111"/>
      <c r="BPX11" s="111"/>
      <c r="BPY11" s="111"/>
      <c r="BPZ11" s="111"/>
      <c r="BQA11" s="111"/>
      <c r="BQB11" s="111"/>
      <c r="BQC11" s="111"/>
      <c r="BQD11" s="111"/>
      <c r="BQE11" s="111"/>
      <c r="BQF11" s="111"/>
      <c r="BQG11" s="111"/>
      <c r="BQH11" s="111"/>
      <c r="BQI11" s="111"/>
      <c r="BQJ11" s="111"/>
      <c r="BQK11" s="111"/>
      <c r="BQL11" s="111"/>
      <c r="BQM11" s="111"/>
      <c r="BQN11" s="111"/>
      <c r="BQO11" s="111"/>
      <c r="BQP11" s="111"/>
      <c r="BQQ11" s="111"/>
      <c r="BQR11" s="111"/>
      <c r="BQS11" s="111"/>
      <c r="BQT11" s="111"/>
      <c r="BQU11" s="111"/>
      <c r="BQV11" s="111"/>
      <c r="BQW11" s="111"/>
      <c r="BQX11" s="111"/>
      <c r="BQY11" s="111"/>
      <c r="BQZ11" s="111"/>
      <c r="BRA11" s="111"/>
      <c r="BRB11" s="111"/>
      <c r="BRC11" s="111"/>
      <c r="BRD11" s="111"/>
      <c r="BRE11" s="111"/>
      <c r="BRF11" s="111"/>
      <c r="BRG11" s="111"/>
      <c r="BRH11" s="111"/>
      <c r="BRI11" s="111"/>
      <c r="BRJ11" s="111"/>
      <c r="BRK11" s="111"/>
      <c r="BRL11" s="111"/>
      <c r="BRM11" s="111"/>
      <c r="BRN11" s="111"/>
      <c r="BRO11" s="111"/>
      <c r="BRP11" s="111"/>
      <c r="BRQ11" s="111"/>
      <c r="BRR11" s="111"/>
      <c r="BRS11" s="111"/>
      <c r="BRT11" s="111"/>
      <c r="BRU11" s="111"/>
      <c r="BRV11" s="111"/>
      <c r="BRW11" s="111"/>
      <c r="BRX11" s="111"/>
      <c r="BRY11" s="111"/>
      <c r="BRZ11" s="111"/>
      <c r="BSA11" s="111"/>
      <c r="BSB11" s="111"/>
      <c r="BSC11" s="111"/>
      <c r="BSD11" s="111"/>
      <c r="BSE11" s="111"/>
      <c r="BSF11" s="111"/>
      <c r="BSG11" s="111"/>
      <c r="BSH11" s="111"/>
      <c r="BSI11" s="111"/>
      <c r="BSJ11" s="111"/>
      <c r="BSK11" s="111"/>
      <c r="BSL11" s="111"/>
      <c r="BSM11" s="111"/>
      <c r="BSN11" s="111"/>
      <c r="BSO11" s="111"/>
      <c r="BSP11" s="111"/>
      <c r="BSQ11" s="111"/>
      <c r="BSR11" s="111"/>
      <c r="BSS11" s="111"/>
      <c r="BST11" s="111"/>
      <c r="BSU11" s="111"/>
      <c r="BSV11" s="111"/>
      <c r="BSW11" s="111"/>
      <c r="BSX11" s="111"/>
      <c r="BSY11" s="111"/>
      <c r="BSZ11" s="111"/>
      <c r="BTA11" s="111"/>
      <c r="BTB11" s="111"/>
      <c r="BTC11" s="111"/>
      <c r="BTD11" s="111"/>
      <c r="BTE11" s="111"/>
      <c r="BTF11" s="111"/>
      <c r="BTG11" s="111"/>
      <c r="BTH11" s="111"/>
      <c r="BTI11" s="111"/>
      <c r="BTJ11" s="111"/>
      <c r="BTK11" s="111"/>
      <c r="BTL11" s="111"/>
      <c r="BTM11" s="111"/>
      <c r="BTN11" s="111"/>
      <c r="BTO11" s="111"/>
      <c r="BTP11" s="111"/>
      <c r="BTQ11" s="111"/>
      <c r="BTR11" s="111"/>
      <c r="BTS11" s="111"/>
      <c r="BTT11" s="111"/>
      <c r="BTU11" s="111"/>
      <c r="BTV11" s="111"/>
      <c r="BTW11" s="111"/>
      <c r="BTX11" s="111"/>
      <c r="BTY11" s="111"/>
      <c r="BTZ11" s="111"/>
      <c r="BUA11" s="111"/>
      <c r="BUB11" s="111"/>
      <c r="BUC11" s="111"/>
      <c r="BUD11" s="111"/>
      <c r="BUE11" s="111"/>
      <c r="BUF11" s="111"/>
      <c r="BUG11" s="111"/>
      <c r="BUH11" s="111"/>
      <c r="BUI11" s="111"/>
      <c r="BUJ11" s="111"/>
      <c r="BUK11" s="111"/>
      <c r="BUL11" s="111"/>
      <c r="BUM11" s="111"/>
      <c r="BUN11" s="111"/>
      <c r="BUO11" s="111"/>
      <c r="BUP11" s="111"/>
      <c r="BUQ11" s="111"/>
      <c r="BUR11" s="111"/>
      <c r="BUS11" s="111"/>
      <c r="BUT11" s="111"/>
      <c r="BUU11" s="111"/>
      <c r="BUV11" s="111"/>
      <c r="BUW11" s="111"/>
      <c r="BUX11" s="111"/>
      <c r="BUY11" s="111"/>
      <c r="BUZ11" s="111"/>
      <c r="BVA11" s="111"/>
      <c r="BVB11" s="111"/>
      <c r="BVC11" s="111"/>
      <c r="BVD11" s="111"/>
      <c r="BVE11" s="111"/>
      <c r="BVF11" s="111"/>
      <c r="BVG11" s="111"/>
      <c r="BVH11" s="111"/>
      <c r="BVI11" s="111"/>
      <c r="BVJ11" s="111"/>
      <c r="BVK11" s="111"/>
      <c r="BVL11" s="111"/>
      <c r="BVM11" s="111"/>
      <c r="BVN11" s="111"/>
      <c r="BVO11" s="111"/>
      <c r="BVP11" s="111"/>
      <c r="BVQ11" s="111"/>
      <c r="BVR11" s="111"/>
      <c r="BVS11" s="111"/>
      <c r="BVT11" s="111"/>
      <c r="BVU11" s="111"/>
      <c r="BVV11" s="111"/>
      <c r="BVW11" s="111"/>
      <c r="BVX11" s="111"/>
      <c r="BVY11" s="111"/>
      <c r="BVZ11" s="111"/>
      <c r="BWA11" s="111"/>
      <c r="BWB11" s="111"/>
      <c r="BWC11" s="111"/>
      <c r="BWD11" s="111"/>
      <c r="BWE11" s="111"/>
      <c r="BWF11" s="111"/>
      <c r="BWG11" s="111"/>
      <c r="BWH11" s="111"/>
      <c r="BWI11" s="111"/>
      <c r="BWJ11" s="111"/>
      <c r="BWK11" s="111"/>
      <c r="BWL11" s="111"/>
      <c r="BWM11" s="111"/>
      <c r="BWN11" s="111"/>
      <c r="BWO11" s="111"/>
      <c r="BWP11" s="111"/>
      <c r="BWQ11" s="111"/>
      <c r="BWR11" s="111"/>
      <c r="BWS11" s="111"/>
      <c r="BWT11" s="111"/>
      <c r="BWU11" s="111"/>
      <c r="BWV11" s="111"/>
      <c r="BWW11" s="111"/>
      <c r="BWX11" s="111"/>
      <c r="BWY11" s="111"/>
      <c r="BWZ11" s="111"/>
      <c r="BXA11" s="111"/>
      <c r="BXB11" s="111"/>
      <c r="BXC11" s="111"/>
      <c r="BXD11" s="111"/>
      <c r="BXE11" s="111"/>
      <c r="BXF11" s="111"/>
      <c r="BXG11" s="111"/>
      <c r="BXH11" s="111"/>
      <c r="BXI11" s="111"/>
      <c r="BXJ11" s="111"/>
      <c r="BXK11" s="111"/>
      <c r="BXL11" s="111"/>
      <c r="BXM11" s="111"/>
      <c r="BXN11" s="111"/>
      <c r="BXO11" s="111"/>
      <c r="BXP11" s="111"/>
      <c r="BXQ11" s="111"/>
      <c r="BXR11" s="111"/>
      <c r="BXS11" s="111"/>
      <c r="BXT11" s="111"/>
      <c r="BXU11" s="111"/>
      <c r="BXV11" s="111"/>
      <c r="BXW11" s="111"/>
      <c r="BXX11" s="111"/>
      <c r="BXY11" s="111"/>
      <c r="BXZ11" s="111"/>
      <c r="BYA11" s="111"/>
      <c r="BYB11" s="111"/>
      <c r="BYC11" s="111"/>
      <c r="BYD11" s="111"/>
      <c r="BYE11" s="111"/>
      <c r="BYF11" s="111"/>
      <c r="BYG11" s="111"/>
      <c r="BYH11" s="111"/>
      <c r="BYI11" s="111"/>
      <c r="BYJ11" s="111"/>
      <c r="BYK11" s="111"/>
      <c r="BYL11" s="111"/>
      <c r="BYM11" s="111"/>
      <c r="BYN11" s="111"/>
      <c r="BYO11" s="111"/>
      <c r="BYP11" s="111"/>
      <c r="BYQ11" s="111"/>
      <c r="BYR11" s="111"/>
      <c r="BYS11" s="111"/>
      <c r="BYT11" s="111"/>
      <c r="BYU11" s="111"/>
      <c r="BYV11" s="111"/>
      <c r="BYW11" s="111"/>
      <c r="BYX11" s="111"/>
      <c r="BYY11" s="111"/>
      <c r="BYZ11" s="111"/>
      <c r="BZA11" s="111"/>
      <c r="BZB11" s="111"/>
      <c r="BZC11" s="111"/>
      <c r="BZD11" s="111"/>
      <c r="BZE11" s="111"/>
      <c r="BZF11" s="111"/>
      <c r="BZG11" s="111"/>
      <c r="BZH11" s="111"/>
      <c r="BZI11" s="111"/>
      <c r="BZJ11" s="111"/>
      <c r="BZK11" s="111"/>
      <c r="BZL11" s="111"/>
      <c r="BZM11" s="111"/>
      <c r="BZN11" s="111"/>
      <c r="BZO11" s="111"/>
      <c r="BZP11" s="111"/>
      <c r="BZQ11" s="111"/>
      <c r="BZR11" s="111"/>
      <c r="BZS11" s="111"/>
      <c r="BZT11" s="111"/>
      <c r="BZU11" s="111"/>
      <c r="BZV11" s="111"/>
      <c r="BZW11" s="111"/>
      <c r="BZX11" s="111"/>
      <c r="BZY11" s="111"/>
      <c r="BZZ11" s="111"/>
      <c r="CAA11" s="111"/>
      <c r="CAB11" s="111"/>
      <c r="CAC11" s="111"/>
      <c r="CAD11" s="111"/>
      <c r="CAE11" s="111"/>
      <c r="CAF11" s="111"/>
      <c r="CAG11" s="111"/>
      <c r="CAH11" s="111"/>
      <c r="CAI11" s="111"/>
      <c r="CAJ11" s="111"/>
      <c r="CAK11" s="111"/>
      <c r="CAL11" s="111"/>
      <c r="CAM11" s="111"/>
      <c r="CAN11" s="111"/>
      <c r="CAO11" s="111"/>
      <c r="CAP11" s="111"/>
      <c r="CAQ11" s="111"/>
      <c r="CAR11" s="111"/>
      <c r="CAS11" s="111"/>
      <c r="CAT11" s="111"/>
      <c r="CAU11" s="111"/>
      <c r="CAV11" s="111"/>
      <c r="CAW11" s="111"/>
      <c r="CAX11" s="111"/>
      <c r="CAY11" s="111"/>
      <c r="CAZ11" s="111"/>
      <c r="CBA11" s="111"/>
      <c r="CBB11" s="111"/>
      <c r="CBC11" s="111"/>
      <c r="CBD11" s="111"/>
      <c r="CBE11" s="111"/>
      <c r="CBF11" s="111"/>
      <c r="CBG11" s="111"/>
      <c r="CBH11" s="111"/>
      <c r="CBI11" s="111"/>
      <c r="CBJ11" s="111"/>
      <c r="CBK11" s="111"/>
      <c r="CBL11" s="111"/>
      <c r="CBM11" s="111"/>
      <c r="CBN11" s="111"/>
      <c r="CBO11" s="111"/>
      <c r="CBP11" s="111"/>
      <c r="CBQ11" s="111"/>
      <c r="CBR11" s="111"/>
      <c r="CBS11" s="111"/>
      <c r="CBT11" s="111"/>
      <c r="CBU11" s="111"/>
      <c r="CBV11" s="111"/>
      <c r="CBW11" s="111"/>
      <c r="CBX11" s="111"/>
      <c r="CBY11" s="111"/>
      <c r="CBZ11" s="111"/>
      <c r="CCA11" s="111"/>
      <c r="CCB11" s="111"/>
      <c r="CCC11" s="111"/>
      <c r="CCD11" s="111"/>
      <c r="CCE11" s="111"/>
      <c r="CCF11" s="111"/>
      <c r="CCG11" s="111"/>
      <c r="CCH11" s="111"/>
      <c r="CCI11" s="111"/>
      <c r="CCJ11" s="111"/>
      <c r="CCK11" s="111"/>
      <c r="CCL11" s="111"/>
      <c r="CCM11" s="111"/>
      <c r="CCN11" s="111"/>
      <c r="CCO11" s="111"/>
      <c r="CCP11" s="111"/>
      <c r="CCQ11" s="111"/>
      <c r="CCR11" s="111"/>
      <c r="CCS11" s="111"/>
      <c r="CCT11" s="111"/>
      <c r="CCU11" s="111"/>
      <c r="CCV11" s="111"/>
      <c r="CCW11" s="111"/>
      <c r="CCX11" s="111"/>
      <c r="CCY11" s="111"/>
      <c r="CCZ11" s="111"/>
      <c r="CDA11" s="111"/>
      <c r="CDB11" s="111"/>
      <c r="CDC11" s="111"/>
      <c r="CDD11" s="111"/>
      <c r="CDE11" s="111"/>
      <c r="CDF11" s="111"/>
      <c r="CDG11" s="111"/>
      <c r="CDH11" s="111"/>
      <c r="CDI11" s="111"/>
      <c r="CDJ11" s="111"/>
      <c r="CDK11" s="111"/>
      <c r="CDL11" s="111"/>
      <c r="CDM11" s="111"/>
      <c r="CDN11" s="111"/>
      <c r="CDO11" s="111"/>
      <c r="CDP11" s="111"/>
      <c r="CDQ11" s="111"/>
      <c r="CDR11" s="111"/>
      <c r="CDS11" s="111"/>
      <c r="CDT11" s="111"/>
      <c r="CDU11" s="111"/>
      <c r="CDV11" s="111"/>
      <c r="CDW11" s="111"/>
      <c r="CDX11" s="111"/>
      <c r="CDY11" s="111"/>
      <c r="CDZ11" s="111"/>
      <c r="CEA11" s="111"/>
      <c r="CEB11" s="111"/>
      <c r="CEC11" s="111"/>
      <c r="CED11" s="111"/>
      <c r="CEE11" s="111"/>
      <c r="CEF11" s="111"/>
      <c r="CEG11" s="111"/>
      <c r="CEH11" s="111"/>
      <c r="CEI11" s="111"/>
      <c r="CEJ11" s="111"/>
      <c r="CEK11" s="111"/>
      <c r="CEL11" s="111"/>
      <c r="CEM11" s="111"/>
      <c r="CEN11" s="111"/>
      <c r="CEO11" s="111"/>
      <c r="CEP11" s="111"/>
      <c r="CEQ11" s="111"/>
      <c r="CER11" s="111"/>
      <c r="CES11" s="111"/>
      <c r="CET11" s="111"/>
      <c r="CEU11" s="111"/>
      <c r="CEV11" s="111"/>
      <c r="CEW11" s="111"/>
      <c r="CEX11" s="111"/>
      <c r="CEY11" s="111"/>
      <c r="CEZ11" s="111"/>
      <c r="CFA11" s="111"/>
      <c r="CFB11" s="111"/>
      <c r="CFC11" s="111"/>
      <c r="CFD11" s="111"/>
      <c r="CFE11" s="111"/>
      <c r="CFF11" s="111"/>
      <c r="CFG11" s="111"/>
      <c r="CFH11" s="111"/>
      <c r="CFI11" s="111"/>
      <c r="CFJ11" s="111"/>
      <c r="CFK11" s="111"/>
      <c r="CFL11" s="111"/>
      <c r="CFM11" s="111"/>
      <c r="CFN11" s="111"/>
      <c r="CFO11" s="111"/>
      <c r="CFP11" s="111"/>
      <c r="CFQ11" s="111"/>
      <c r="CFR11" s="111"/>
      <c r="CFS11" s="111"/>
      <c r="CFT11" s="111"/>
      <c r="CFU11" s="111"/>
      <c r="CFV11" s="111"/>
      <c r="CFW11" s="111"/>
      <c r="CFX11" s="111"/>
      <c r="CFY11" s="111"/>
      <c r="CFZ11" s="111"/>
      <c r="CGA11" s="111"/>
      <c r="CGB11" s="111"/>
      <c r="CGC11" s="111"/>
      <c r="CGD11" s="111"/>
      <c r="CGE11" s="111"/>
      <c r="CGF11" s="111"/>
      <c r="CGG11" s="111"/>
      <c r="CGH11" s="111"/>
      <c r="CGI11" s="111"/>
      <c r="CGJ11" s="111"/>
      <c r="CGK11" s="111"/>
      <c r="CGL11" s="111"/>
      <c r="CGM11" s="111"/>
      <c r="CGN11" s="111"/>
      <c r="CGO11" s="111"/>
      <c r="CGP11" s="111"/>
      <c r="CGQ11" s="111"/>
      <c r="CGR11" s="111"/>
      <c r="CGS11" s="111"/>
      <c r="CGT11" s="111"/>
      <c r="CGU11" s="111"/>
      <c r="CGV11" s="111"/>
      <c r="CGW11" s="111"/>
      <c r="CGX11" s="111"/>
      <c r="CGY11" s="111"/>
      <c r="CGZ11" s="111"/>
      <c r="CHA11" s="111"/>
      <c r="CHB11" s="111"/>
      <c r="CHC11" s="111"/>
      <c r="CHD11" s="111"/>
      <c r="CHE11" s="111"/>
      <c r="CHF11" s="111"/>
      <c r="CHG11" s="111"/>
      <c r="CHH11" s="111"/>
      <c r="CHI11" s="111"/>
      <c r="CHJ11" s="111"/>
      <c r="CHK11" s="111"/>
      <c r="CHL11" s="111"/>
      <c r="CHM11" s="111"/>
      <c r="CHN11" s="111"/>
      <c r="CHO11" s="111"/>
      <c r="CHP11" s="111"/>
      <c r="CHQ11" s="111"/>
      <c r="CHR11" s="111"/>
      <c r="CHS11" s="111"/>
      <c r="CHT11" s="111"/>
      <c r="CHU11" s="111"/>
      <c r="CHV11" s="111"/>
      <c r="CHW11" s="111"/>
      <c r="CHX11" s="111"/>
      <c r="CHY11" s="111"/>
      <c r="CHZ11" s="111"/>
      <c r="CIA11" s="111"/>
      <c r="CIB11" s="111"/>
      <c r="CIC11" s="111"/>
      <c r="CID11" s="111"/>
      <c r="CIE11" s="111"/>
      <c r="CIF11" s="111"/>
      <c r="CIG11" s="111"/>
      <c r="CIH11" s="111"/>
      <c r="CII11" s="111"/>
      <c r="CIJ11" s="111"/>
      <c r="CIK11" s="111"/>
      <c r="CIL11" s="111"/>
      <c r="CIM11" s="111"/>
      <c r="CIN11" s="111"/>
      <c r="CIO11" s="111"/>
      <c r="CIP11" s="111"/>
      <c r="CIQ11" s="111"/>
      <c r="CIR11" s="111"/>
      <c r="CIS11" s="111"/>
      <c r="CIT11" s="111"/>
      <c r="CIU11" s="111"/>
      <c r="CIV11" s="111"/>
      <c r="CIW11" s="111"/>
      <c r="CIX11" s="111"/>
      <c r="CIY11" s="111"/>
      <c r="CIZ11" s="111"/>
      <c r="CJA11" s="111"/>
      <c r="CJB11" s="111"/>
      <c r="CJC11" s="111"/>
      <c r="CJD11" s="111"/>
      <c r="CJE11" s="111"/>
      <c r="CJF11" s="111"/>
      <c r="CJG11" s="111"/>
      <c r="CJH11" s="111"/>
      <c r="CJI11" s="111"/>
      <c r="CJJ11" s="111"/>
      <c r="CJK11" s="111"/>
      <c r="CJL11" s="111"/>
      <c r="CJM11" s="111"/>
      <c r="CJN11" s="111"/>
      <c r="CJO11" s="111"/>
      <c r="CJP11" s="111"/>
      <c r="CJQ11" s="111"/>
      <c r="CJR11" s="111"/>
      <c r="CJS11" s="111"/>
      <c r="CJT11" s="111"/>
      <c r="CJU11" s="111"/>
      <c r="CJV11" s="111"/>
      <c r="CJW11" s="111"/>
      <c r="CJX11" s="111"/>
      <c r="CJY11" s="111"/>
      <c r="CJZ11" s="111"/>
      <c r="CKA11" s="111"/>
      <c r="CKB11" s="111"/>
      <c r="CKC11" s="111"/>
      <c r="CKD11" s="111"/>
      <c r="CKE11" s="111"/>
      <c r="CKF11" s="111"/>
      <c r="CKG11" s="111"/>
      <c r="CKH11" s="111"/>
      <c r="CKI11" s="111"/>
      <c r="CKJ11" s="111"/>
      <c r="CKK11" s="111"/>
      <c r="CKL11" s="111"/>
      <c r="CKM11" s="111"/>
      <c r="CKN11" s="111"/>
      <c r="CKO11" s="111"/>
      <c r="CKP11" s="111"/>
      <c r="CKQ11" s="111"/>
      <c r="CKR11" s="111"/>
      <c r="CKS11" s="111"/>
      <c r="CKT11" s="111"/>
      <c r="CKU11" s="111"/>
      <c r="CKV11" s="111"/>
      <c r="CKW11" s="111"/>
      <c r="CKX11" s="111"/>
      <c r="CKY11" s="111"/>
      <c r="CKZ11" s="111"/>
      <c r="CLA11" s="111"/>
      <c r="CLB11" s="111"/>
      <c r="CLC11" s="111"/>
      <c r="CLD11" s="111"/>
      <c r="CLE11" s="111"/>
      <c r="CLF11" s="111"/>
      <c r="CLG11" s="111"/>
      <c r="CLH11" s="111"/>
      <c r="CLI11" s="111"/>
      <c r="CLJ11" s="111"/>
      <c r="CLK11" s="111"/>
      <c r="CLL11" s="111"/>
      <c r="CLM11" s="111"/>
      <c r="CLN11" s="111"/>
      <c r="CLO11" s="111"/>
      <c r="CLP11" s="111"/>
      <c r="CLQ11" s="111"/>
      <c r="CLR11" s="111"/>
      <c r="CLS11" s="111"/>
      <c r="CLT11" s="111"/>
      <c r="CLU11" s="111"/>
      <c r="CLV11" s="111"/>
      <c r="CLW11" s="111"/>
      <c r="CLX11" s="111"/>
      <c r="CLY11" s="111"/>
      <c r="CLZ11" s="111"/>
      <c r="CMA11" s="111"/>
      <c r="CMB11" s="111"/>
      <c r="CMC11" s="111"/>
      <c r="CMD11" s="111"/>
      <c r="CME11" s="111"/>
      <c r="CMF11" s="111"/>
      <c r="CMG11" s="111"/>
      <c r="CMH11" s="111"/>
      <c r="CMI11" s="111"/>
      <c r="CMJ11" s="111"/>
      <c r="CMK11" s="111"/>
      <c r="CML11" s="111"/>
      <c r="CMM11" s="111"/>
      <c r="CMN11" s="111"/>
      <c r="CMO11" s="111"/>
      <c r="CMP11" s="111"/>
      <c r="CMQ11" s="111"/>
      <c r="CMR11" s="111"/>
      <c r="CMS11" s="111"/>
      <c r="CMT11" s="111"/>
      <c r="CMU11" s="111"/>
      <c r="CMV11" s="111"/>
      <c r="CMW11" s="111"/>
      <c r="CMX11" s="111"/>
      <c r="CMY11" s="111"/>
      <c r="CMZ11" s="111"/>
      <c r="CNA11" s="111"/>
      <c r="CNB11" s="111"/>
      <c r="CNC11" s="111"/>
      <c r="CND11" s="111"/>
      <c r="CNE11" s="111"/>
      <c r="CNF11" s="111"/>
      <c r="CNG11" s="111"/>
      <c r="CNH11" s="111"/>
      <c r="CNI11" s="111"/>
      <c r="CNJ11" s="111"/>
      <c r="CNK11" s="111"/>
      <c r="CNL11" s="111"/>
      <c r="CNM11" s="111"/>
      <c r="CNN11" s="111"/>
      <c r="CNO11" s="111"/>
      <c r="CNP11" s="111"/>
      <c r="CNQ11" s="111"/>
      <c r="CNR11" s="111"/>
      <c r="CNS11" s="111"/>
      <c r="CNT11" s="111"/>
      <c r="CNU11" s="111"/>
      <c r="CNV11" s="111"/>
      <c r="CNW11" s="111"/>
      <c r="CNX11" s="111"/>
      <c r="CNY11" s="111"/>
      <c r="CNZ11" s="111"/>
      <c r="COA11" s="111"/>
      <c r="COB11" s="111"/>
      <c r="COC11" s="111"/>
      <c r="COD11" s="111"/>
      <c r="COE11" s="111"/>
      <c r="COF11" s="111"/>
      <c r="COG11" s="111"/>
      <c r="COH11" s="111"/>
      <c r="COI11" s="111"/>
      <c r="COJ11" s="111"/>
      <c r="COK11" s="111"/>
      <c r="COL11" s="111"/>
      <c r="COM11" s="111"/>
      <c r="CON11" s="111"/>
      <c r="COO11" s="111"/>
      <c r="COP11" s="111"/>
      <c r="COQ11" s="111"/>
      <c r="COR11" s="111"/>
      <c r="COS11" s="111"/>
      <c r="COT11" s="111"/>
      <c r="COU11" s="111"/>
      <c r="COV11" s="111"/>
      <c r="COW11" s="111"/>
      <c r="COX11" s="111"/>
      <c r="COY11" s="111"/>
      <c r="COZ11" s="111"/>
      <c r="CPA11" s="111"/>
      <c r="CPB11" s="111"/>
      <c r="CPC11" s="111"/>
      <c r="CPD11" s="111"/>
      <c r="CPE11" s="111"/>
      <c r="CPF11" s="111"/>
      <c r="CPG11" s="111"/>
      <c r="CPH11" s="111"/>
      <c r="CPI11" s="111"/>
      <c r="CPJ11" s="111"/>
      <c r="CPK11" s="111"/>
      <c r="CPL11" s="111"/>
      <c r="CPM11" s="111"/>
      <c r="CPN11" s="111"/>
      <c r="CPO11" s="111"/>
      <c r="CPP11" s="111"/>
      <c r="CPQ11" s="111"/>
      <c r="CPR11" s="111"/>
      <c r="CPS11" s="111"/>
      <c r="CPT11" s="111"/>
      <c r="CPU11" s="111"/>
      <c r="CPV11" s="111"/>
      <c r="CPW11" s="111"/>
      <c r="CPX11" s="111"/>
      <c r="CPY11" s="111"/>
      <c r="CPZ11" s="111"/>
      <c r="CQA11" s="111"/>
      <c r="CQB11" s="111"/>
      <c r="CQC11" s="111"/>
      <c r="CQD11" s="111"/>
      <c r="CQE11" s="111"/>
      <c r="CQF11" s="111"/>
      <c r="CQG11" s="111"/>
      <c r="CQH11" s="111"/>
      <c r="CQI11" s="111"/>
      <c r="CQJ11" s="111"/>
      <c r="CQK11" s="111"/>
      <c r="CQL11" s="111"/>
      <c r="CQM11" s="111"/>
      <c r="CQN11" s="111"/>
      <c r="CQO11" s="111"/>
      <c r="CQP11" s="111"/>
      <c r="CQQ11" s="111"/>
      <c r="CQR11" s="111"/>
      <c r="CQS11" s="111"/>
      <c r="CQT11" s="111"/>
      <c r="CQU11" s="111"/>
      <c r="CQV11" s="111"/>
      <c r="CQW11" s="111"/>
      <c r="CQX11" s="111"/>
      <c r="CQY11" s="111"/>
      <c r="CQZ11" s="111"/>
      <c r="CRA11" s="111"/>
      <c r="CRB11" s="111"/>
      <c r="CRC11" s="111"/>
      <c r="CRD11" s="111"/>
      <c r="CRE11" s="111"/>
      <c r="CRF11" s="111"/>
      <c r="CRG11" s="111"/>
      <c r="CRH11" s="111"/>
      <c r="CRI11" s="111"/>
      <c r="CRJ11" s="111"/>
      <c r="CRK11" s="111"/>
      <c r="CRL11" s="111"/>
      <c r="CRM11" s="111"/>
      <c r="CRN11" s="111"/>
      <c r="CRO11" s="111"/>
      <c r="CRP11" s="111"/>
      <c r="CRQ11" s="111"/>
      <c r="CRR11" s="111"/>
      <c r="CRS11" s="111"/>
      <c r="CRT11" s="111"/>
      <c r="CRU11" s="111"/>
      <c r="CRV11" s="111"/>
      <c r="CRW11" s="111"/>
      <c r="CRX11" s="111"/>
      <c r="CRY11" s="111"/>
      <c r="CRZ11" s="111"/>
      <c r="CSA11" s="111"/>
      <c r="CSB11" s="111"/>
      <c r="CSC11" s="111"/>
      <c r="CSD11" s="111"/>
      <c r="CSE11" s="111"/>
      <c r="CSF11" s="111"/>
      <c r="CSG11" s="111"/>
      <c r="CSH11" s="111"/>
      <c r="CSI11" s="111"/>
      <c r="CSJ11" s="111"/>
      <c r="CSK11" s="111"/>
      <c r="CSL11" s="111"/>
      <c r="CSM11" s="111"/>
      <c r="CSN11" s="111"/>
      <c r="CSO11" s="111"/>
      <c r="CSP11" s="111"/>
      <c r="CSQ11" s="111"/>
      <c r="CSR11" s="111"/>
      <c r="CSS11" s="111"/>
      <c r="CST11" s="111"/>
      <c r="CSU11" s="111"/>
      <c r="CSV11" s="111"/>
      <c r="CSW11" s="111"/>
      <c r="CSX11" s="111"/>
      <c r="CSY11" s="111"/>
      <c r="CSZ11" s="111"/>
      <c r="CTA11" s="111"/>
      <c r="CTB11" s="111"/>
      <c r="CTC11" s="111"/>
      <c r="CTD11" s="111"/>
      <c r="CTE11" s="111"/>
      <c r="CTF11" s="111"/>
      <c r="CTG11" s="111"/>
      <c r="CTH11" s="111"/>
      <c r="CTI11" s="111"/>
      <c r="CTJ11" s="111"/>
      <c r="CTK11" s="111"/>
      <c r="CTL11" s="111"/>
      <c r="CTM11" s="111"/>
      <c r="CTN11" s="111"/>
      <c r="CTO11" s="111"/>
      <c r="CTP11" s="111"/>
      <c r="CTQ11" s="111"/>
      <c r="CTR11" s="111"/>
      <c r="CTS11" s="111"/>
      <c r="CTT11" s="111"/>
      <c r="CTU11" s="111"/>
      <c r="CTV11" s="111"/>
      <c r="CTW11" s="111"/>
      <c r="CTX11" s="111"/>
      <c r="CTY11" s="111"/>
      <c r="CTZ11" s="111"/>
      <c r="CUA11" s="111"/>
      <c r="CUB11" s="111"/>
      <c r="CUC11" s="111"/>
      <c r="CUD11" s="111"/>
      <c r="CUE11" s="111"/>
      <c r="CUF11" s="111"/>
      <c r="CUG11" s="111"/>
      <c r="CUH11" s="111"/>
      <c r="CUI11" s="111"/>
      <c r="CUJ11" s="111"/>
      <c r="CUK11" s="111"/>
      <c r="CUL11" s="111"/>
      <c r="CUM11" s="111"/>
      <c r="CUN11" s="111"/>
      <c r="CUO11" s="111"/>
      <c r="CUP11" s="111"/>
      <c r="CUQ11" s="111"/>
      <c r="CUR11" s="111"/>
      <c r="CUS11" s="111"/>
      <c r="CUT11" s="111"/>
      <c r="CUU11" s="111"/>
      <c r="CUV11" s="111"/>
      <c r="CUW11" s="111"/>
      <c r="CUX11" s="111"/>
      <c r="CUY11" s="111"/>
      <c r="CUZ11" s="111"/>
      <c r="CVA11" s="111"/>
      <c r="CVB11" s="111"/>
      <c r="CVC11" s="111"/>
      <c r="CVD11" s="111"/>
      <c r="CVE11" s="111"/>
      <c r="CVF11" s="111"/>
      <c r="CVG11" s="111"/>
      <c r="CVH11" s="111"/>
      <c r="CVI11" s="111"/>
      <c r="CVJ11" s="111"/>
      <c r="CVK11" s="111"/>
      <c r="CVL11" s="111"/>
      <c r="CVM11" s="111"/>
      <c r="CVN11" s="111"/>
      <c r="CVO11" s="111"/>
      <c r="CVP11" s="111"/>
      <c r="CVQ11" s="111"/>
      <c r="CVR11" s="111"/>
      <c r="CVS11" s="111"/>
      <c r="CVT11" s="111"/>
      <c r="CVU11" s="111"/>
      <c r="CVV11" s="111"/>
      <c r="CVW11" s="111"/>
      <c r="CVX11" s="111"/>
      <c r="CVY11" s="111"/>
      <c r="CVZ11" s="111"/>
      <c r="CWA11" s="111"/>
      <c r="CWB11" s="111"/>
      <c r="CWC11" s="111"/>
      <c r="CWD11" s="111"/>
      <c r="CWE11" s="111"/>
      <c r="CWF11" s="111"/>
      <c r="CWG11" s="111"/>
      <c r="CWH11" s="111"/>
      <c r="CWI11" s="111"/>
      <c r="CWJ11" s="111"/>
      <c r="CWK11" s="111"/>
      <c r="CWL11" s="111"/>
      <c r="CWM11" s="111"/>
      <c r="CWN11" s="111"/>
      <c r="CWO11" s="111"/>
      <c r="CWP11" s="111"/>
      <c r="CWQ11" s="111"/>
      <c r="CWR11" s="111"/>
      <c r="CWS11" s="111"/>
      <c r="CWT11" s="111"/>
      <c r="CWU11" s="111"/>
      <c r="CWV11" s="111"/>
      <c r="CWW11" s="111"/>
      <c r="CWX11" s="111"/>
      <c r="CWY11" s="111"/>
      <c r="CWZ11" s="111"/>
      <c r="CXA11" s="111"/>
      <c r="CXB11" s="111"/>
      <c r="CXC11" s="111"/>
      <c r="CXD11" s="111"/>
      <c r="CXE11" s="111"/>
      <c r="CXF11" s="111"/>
      <c r="CXG11" s="111"/>
      <c r="CXH11" s="111"/>
      <c r="CXI11" s="111"/>
      <c r="CXJ11" s="111"/>
      <c r="CXK11" s="111"/>
      <c r="CXL11" s="111"/>
      <c r="CXM11" s="111"/>
      <c r="CXN11" s="111"/>
      <c r="CXO11" s="111"/>
      <c r="CXP11" s="111"/>
      <c r="CXQ11" s="111"/>
      <c r="CXR11" s="111"/>
      <c r="CXS11" s="111"/>
      <c r="CXT11" s="111"/>
      <c r="CXU11" s="111"/>
      <c r="CXV11" s="111"/>
      <c r="CXW11" s="111"/>
      <c r="CXX11" s="111"/>
      <c r="CXY11" s="111"/>
      <c r="CXZ11" s="111"/>
      <c r="CYA11" s="111"/>
      <c r="CYB11" s="111"/>
      <c r="CYC11" s="111"/>
      <c r="CYD11" s="111"/>
      <c r="CYE11" s="111"/>
      <c r="CYF11" s="111"/>
      <c r="CYG11" s="111"/>
      <c r="CYH11" s="111"/>
      <c r="CYI11" s="111"/>
      <c r="CYJ11" s="111"/>
      <c r="CYK11" s="111"/>
      <c r="CYL11" s="111"/>
      <c r="CYM11" s="111"/>
      <c r="CYN11" s="111"/>
      <c r="CYO11" s="111"/>
      <c r="CYP11" s="111"/>
      <c r="CYQ11" s="111"/>
      <c r="CYR11" s="111"/>
      <c r="CYS11" s="111"/>
      <c r="CYT11" s="111"/>
      <c r="CYU11" s="111"/>
      <c r="CYV11" s="111"/>
      <c r="CYW11" s="111"/>
      <c r="CYX11" s="111"/>
      <c r="CYY11" s="111"/>
      <c r="CYZ11" s="111"/>
      <c r="CZA11" s="111"/>
      <c r="CZB11" s="111"/>
      <c r="CZC11" s="111"/>
      <c r="CZD11" s="111"/>
      <c r="CZE11" s="111"/>
      <c r="CZF11" s="111"/>
      <c r="CZG11" s="111"/>
      <c r="CZH11" s="111"/>
      <c r="CZI11" s="111"/>
      <c r="CZJ11" s="111"/>
      <c r="CZK11" s="111"/>
      <c r="CZL11" s="111"/>
      <c r="CZM11" s="111"/>
      <c r="CZN11" s="111"/>
      <c r="CZO11" s="111"/>
      <c r="CZP11" s="111"/>
      <c r="CZQ11" s="111"/>
      <c r="CZR11" s="111"/>
      <c r="CZS11" s="111"/>
      <c r="CZT11" s="111"/>
      <c r="CZU11" s="111"/>
      <c r="CZV11" s="111"/>
      <c r="CZW11" s="111"/>
      <c r="CZX11" s="111"/>
      <c r="CZY11" s="111"/>
      <c r="CZZ11" s="111"/>
      <c r="DAA11" s="111"/>
      <c r="DAB11" s="111"/>
      <c r="DAC11" s="111"/>
      <c r="DAD11" s="111"/>
      <c r="DAE11" s="111"/>
      <c r="DAF11" s="111"/>
      <c r="DAG11" s="111"/>
      <c r="DAH11" s="111"/>
      <c r="DAI11" s="111"/>
      <c r="DAJ11" s="111"/>
      <c r="DAK11" s="111"/>
      <c r="DAL11" s="111"/>
      <c r="DAM11" s="111"/>
      <c r="DAN11" s="111"/>
      <c r="DAO11" s="111"/>
      <c r="DAP11" s="111"/>
      <c r="DAQ11" s="111"/>
      <c r="DAR11" s="111"/>
      <c r="DAS11" s="111"/>
      <c r="DAT11" s="111"/>
      <c r="DAU11" s="111"/>
      <c r="DAV11" s="111"/>
      <c r="DAW11" s="111"/>
      <c r="DAX11" s="111"/>
      <c r="DAY11" s="111"/>
      <c r="DAZ11" s="111"/>
      <c r="DBA11" s="111"/>
      <c r="DBB11" s="111"/>
      <c r="DBC11" s="111"/>
      <c r="DBD11" s="111"/>
      <c r="DBE11" s="111"/>
      <c r="DBF11" s="111"/>
      <c r="DBG11" s="111"/>
      <c r="DBH11" s="111"/>
      <c r="DBI11" s="111"/>
      <c r="DBJ11" s="111"/>
      <c r="DBK11" s="111"/>
      <c r="DBL11" s="111"/>
      <c r="DBM11" s="111"/>
      <c r="DBN11" s="111"/>
      <c r="DBO11" s="111"/>
      <c r="DBP11" s="111"/>
      <c r="DBQ11" s="111"/>
      <c r="DBR11" s="111"/>
      <c r="DBS11" s="111"/>
      <c r="DBT11" s="111"/>
      <c r="DBU11" s="111"/>
      <c r="DBV11" s="111"/>
      <c r="DBW11" s="111"/>
      <c r="DBX11" s="111"/>
      <c r="DBY11" s="111"/>
      <c r="DBZ11" s="111"/>
      <c r="DCA11" s="111"/>
      <c r="DCB11" s="111"/>
      <c r="DCC11" s="111"/>
      <c r="DCD11" s="111"/>
      <c r="DCE11" s="111"/>
      <c r="DCF11" s="111"/>
      <c r="DCG11" s="111"/>
      <c r="DCH11" s="111"/>
      <c r="DCI11" s="111"/>
      <c r="DCJ11" s="111"/>
      <c r="DCK11" s="111"/>
      <c r="DCL11" s="111"/>
      <c r="DCM11" s="111"/>
      <c r="DCN11" s="111"/>
      <c r="DCO11" s="111"/>
      <c r="DCP11" s="111"/>
      <c r="DCQ11" s="111"/>
      <c r="DCR11" s="111"/>
      <c r="DCS11" s="111"/>
      <c r="DCT11" s="111"/>
      <c r="DCU11" s="111"/>
      <c r="DCV11" s="111"/>
      <c r="DCW11" s="111"/>
      <c r="DCX11" s="111"/>
      <c r="DCY11" s="111"/>
      <c r="DCZ11" s="111"/>
      <c r="DDA11" s="111"/>
      <c r="DDB11" s="111"/>
      <c r="DDC11" s="111"/>
      <c r="DDD11" s="111"/>
      <c r="DDE11" s="111"/>
      <c r="DDF11" s="111"/>
      <c r="DDG11" s="111"/>
      <c r="DDH11" s="111"/>
      <c r="DDI11" s="111"/>
      <c r="DDJ11" s="111"/>
      <c r="DDK11" s="111"/>
      <c r="DDL11" s="111"/>
      <c r="DDM11" s="111"/>
      <c r="DDN11" s="111"/>
      <c r="DDO11" s="111"/>
      <c r="DDP11" s="111"/>
      <c r="DDQ11" s="111"/>
      <c r="DDR11" s="111"/>
      <c r="DDS11" s="111"/>
      <c r="DDT11" s="111"/>
      <c r="DDU11" s="111"/>
      <c r="DDV11" s="111"/>
      <c r="DDW11" s="111"/>
      <c r="DDX11" s="111"/>
      <c r="DDY11" s="111"/>
      <c r="DDZ11" s="111"/>
      <c r="DEA11" s="111"/>
      <c r="DEB11" s="111"/>
      <c r="DEC11" s="111"/>
      <c r="DED11" s="111"/>
      <c r="DEE11" s="111"/>
      <c r="DEF11" s="111"/>
      <c r="DEG11" s="111"/>
      <c r="DEH11" s="111"/>
      <c r="DEI11" s="111"/>
      <c r="DEJ11" s="111"/>
      <c r="DEK11" s="111"/>
      <c r="DEL11" s="111"/>
      <c r="DEM11" s="111"/>
      <c r="DEN11" s="111"/>
      <c r="DEO11" s="111"/>
      <c r="DEP11" s="111"/>
      <c r="DEQ11" s="111"/>
      <c r="DER11" s="111"/>
      <c r="DES11" s="111"/>
      <c r="DET11" s="111"/>
      <c r="DEU11" s="111"/>
      <c r="DEV11" s="111"/>
      <c r="DEW11" s="111"/>
      <c r="DEX11" s="111"/>
      <c r="DEY11" s="111"/>
      <c r="DEZ11" s="111"/>
      <c r="DFA11" s="111"/>
      <c r="DFB11" s="111"/>
      <c r="DFC11" s="111"/>
      <c r="DFD11" s="111"/>
      <c r="DFE11" s="111"/>
      <c r="DFF11" s="111"/>
      <c r="DFG11" s="111"/>
      <c r="DFH11" s="111"/>
      <c r="DFI11" s="111"/>
      <c r="DFJ11" s="111"/>
      <c r="DFK11" s="111"/>
      <c r="DFL11" s="111"/>
      <c r="DFM11" s="111"/>
      <c r="DFN11" s="111"/>
      <c r="DFO11" s="111"/>
      <c r="DFP11" s="111"/>
      <c r="DFQ11" s="111"/>
      <c r="DFR11" s="111"/>
      <c r="DFS11" s="111"/>
      <c r="DFT11" s="111"/>
      <c r="DFU11" s="111"/>
      <c r="DFV11" s="111"/>
      <c r="DFW11" s="111"/>
      <c r="DFX11" s="111"/>
      <c r="DFY11" s="111"/>
      <c r="DFZ11" s="111"/>
      <c r="DGA11" s="111"/>
      <c r="DGB11" s="111"/>
      <c r="DGC11" s="111"/>
      <c r="DGD11" s="111"/>
      <c r="DGE11" s="111"/>
      <c r="DGF11" s="111"/>
      <c r="DGG11" s="111"/>
      <c r="DGH11" s="111"/>
      <c r="DGI11" s="111"/>
      <c r="DGJ11" s="111"/>
      <c r="DGK11" s="111"/>
      <c r="DGL11" s="111"/>
      <c r="DGM11" s="111"/>
      <c r="DGN11" s="111"/>
      <c r="DGO11" s="111"/>
      <c r="DGP11" s="111"/>
      <c r="DGQ11" s="111"/>
      <c r="DGR11" s="111"/>
      <c r="DGS11" s="111"/>
      <c r="DGT11" s="111"/>
      <c r="DGU11" s="111"/>
      <c r="DGV11" s="111"/>
      <c r="DGW11" s="111"/>
      <c r="DGX11" s="111"/>
      <c r="DGY11" s="111"/>
      <c r="DGZ11" s="111"/>
      <c r="DHA11" s="111"/>
      <c r="DHB11" s="111"/>
      <c r="DHC11" s="111"/>
      <c r="DHD11" s="111"/>
      <c r="DHE11" s="111"/>
      <c r="DHF11" s="111"/>
      <c r="DHG11" s="111"/>
      <c r="DHH11" s="111"/>
      <c r="DHI11" s="111"/>
      <c r="DHJ11" s="111"/>
      <c r="DHK11" s="111"/>
      <c r="DHL11" s="111"/>
      <c r="DHM11" s="111"/>
      <c r="DHN11" s="111"/>
      <c r="DHO11" s="111"/>
      <c r="DHP11" s="111"/>
      <c r="DHQ11" s="111"/>
      <c r="DHR11" s="111"/>
      <c r="DHS11" s="111"/>
      <c r="DHT11" s="111"/>
      <c r="DHU11" s="111"/>
      <c r="DHV11" s="111"/>
      <c r="DHW11" s="111"/>
      <c r="DHX11" s="111"/>
      <c r="DHY11" s="111"/>
      <c r="DHZ11" s="111"/>
      <c r="DIA11" s="111"/>
      <c r="DIB11" s="111"/>
      <c r="DIC11" s="111"/>
      <c r="DID11" s="111"/>
      <c r="DIE11" s="111"/>
      <c r="DIF11" s="111"/>
      <c r="DIG11" s="111"/>
      <c r="DIH11" s="111"/>
      <c r="DII11" s="111"/>
      <c r="DIJ11" s="111"/>
      <c r="DIK11" s="111"/>
      <c r="DIL11" s="111"/>
      <c r="DIM11" s="111"/>
      <c r="DIN11" s="111"/>
      <c r="DIO11" s="111"/>
      <c r="DIP11" s="111"/>
      <c r="DIQ11" s="111"/>
      <c r="DIR11" s="111"/>
      <c r="DIS11" s="111"/>
      <c r="DIT11" s="111"/>
      <c r="DIU11" s="111"/>
      <c r="DIV11" s="111"/>
      <c r="DIW11" s="111"/>
      <c r="DIX11" s="111"/>
      <c r="DIY11" s="111"/>
      <c r="DIZ11" s="111"/>
      <c r="DJA11" s="111"/>
      <c r="DJB11" s="111"/>
      <c r="DJC11" s="111"/>
      <c r="DJD11" s="111"/>
      <c r="DJE11" s="111"/>
      <c r="DJF11" s="111"/>
      <c r="DJG11" s="111"/>
      <c r="DJH11" s="111"/>
      <c r="DJI11" s="111"/>
      <c r="DJJ11" s="111"/>
      <c r="DJK11" s="111"/>
      <c r="DJL11" s="111"/>
      <c r="DJM11" s="111"/>
      <c r="DJN11" s="111"/>
      <c r="DJO11" s="111"/>
      <c r="DJP11" s="111"/>
      <c r="DJQ11" s="111"/>
      <c r="DJR11" s="111"/>
      <c r="DJS11" s="111"/>
      <c r="DJT11" s="111"/>
      <c r="DJU11" s="111"/>
      <c r="DJV11" s="111"/>
      <c r="DJW11" s="111"/>
      <c r="DJX11" s="111"/>
      <c r="DJY11" s="111"/>
      <c r="DJZ11" s="111"/>
      <c r="DKA11" s="111"/>
      <c r="DKB11" s="111"/>
      <c r="DKC11" s="111"/>
      <c r="DKD11" s="111"/>
      <c r="DKE11" s="111"/>
      <c r="DKF11" s="111"/>
      <c r="DKG11" s="111"/>
      <c r="DKH11" s="111"/>
      <c r="DKI11" s="111"/>
      <c r="DKJ11" s="111"/>
      <c r="DKK11" s="111"/>
      <c r="DKL11" s="111"/>
      <c r="DKM11" s="111"/>
      <c r="DKN11" s="111"/>
      <c r="DKO11" s="111"/>
      <c r="DKP11" s="111"/>
      <c r="DKQ11" s="111"/>
      <c r="DKR11" s="111"/>
      <c r="DKS11" s="111"/>
      <c r="DKT11" s="111"/>
      <c r="DKU11" s="111"/>
      <c r="DKV11" s="111"/>
      <c r="DKW11" s="111"/>
      <c r="DKX11" s="111"/>
      <c r="DKY11" s="111"/>
      <c r="DKZ11" s="111"/>
      <c r="DLA11" s="111"/>
      <c r="DLB11" s="111"/>
      <c r="DLC11" s="111"/>
      <c r="DLD11" s="111"/>
      <c r="DLE11" s="111"/>
      <c r="DLF11" s="111"/>
      <c r="DLG11" s="111"/>
      <c r="DLH11" s="111"/>
      <c r="DLI11" s="111"/>
      <c r="DLJ11" s="111"/>
      <c r="DLK11" s="111"/>
      <c r="DLL11" s="111"/>
      <c r="DLM11" s="111"/>
      <c r="DLN11" s="111"/>
      <c r="DLO11" s="111"/>
      <c r="DLP11" s="111"/>
      <c r="DLQ11" s="111"/>
      <c r="DLR11" s="111"/>
      <c r="DLS11" s="111"/>
      <c r="DLT11" s="111"/>
      <c r="DLU11" s="111"/>
      <c r="DLV11" s="111"/>
      <c r="DLW11" s="111"/>
      <c r="DLX11" s="111"/>
      <c r="DLY11" s="111"/>
      <c r="DLZ11" s="111"/>
      <c r="DMA11" s="111"/>
      <c r="DMB11" s="111"/>
      <c r="DMC11" s="111"/>
      <c r="DMD11" s="111"/>
      <c r="DME11" s="111"/>
      <c r="DMF11" s="111"/>
      <c r="DMG11" s="111"/>
      <c r="DMH11" s="111"/>
      <c r="DMI11" s="111"/>
      <c r="DMJ11" s="111"/>
      <c r="DMK11" s="111"/>
      <c r="DML11" s="111"/>
      <c r="DMM11" s="111"/>
      <c r="DMN11" s="111"/>
      <c r="DMO11" s="111"/>
      <c r="DMP11" s="111"/>
      <c r="DMQ11" s="111"/>
      <c r="DMR11" s="111"/>
      <c r="DMS11" s="111"/>
      <c r="DMT11" s="111"/>
      <c r="DMU11" s="111"/>
      <c r="DMV11" s="111"/>
      <c r="DMW11" s="111"/>
      <c r="DMX11" s="111"/>
      <c r="DMY11" s="111"/>
      <c r="DMZ11" s="111"/>
      <c r="DNA11" s="111"/>
      <c r="DNB11" s="111"/>
      <c r="DNC11" s="111"/>
      <c r="DND11" s="111"/>
      <c r="DNE11" s="111"/>
      <c r="DNF11" s="111"/>
      <c r="DNG11" s="111"/>
      <c r="DNH11" s="111"/>
      <c r="DNI11" s="111"/>
      <c r="DNJ11" s="111"/>
      <c r="DNK11" s="111"/>
      <c r="DNL11" s="111"/>
      <c r="DNM11" s="111"/>
      <c r="DNN11" s="111"/>
      <c r="DNO11" s="111"/>
      <c r="DNP11" s="111"/>
      <c r="DNQ11" s="111"/>
      <c r="DNR11" s="111"/>
      <c r="DNS11" s="111"/>
      <c r="DNT11" s="111"/>
      <c r="DNU11" s="111"/>
      <c r="DNV11" s="111"/>
      <c r="DNW11" s="111"/>
      <c r="DNX11" s="111"/>
      <c r="DNY11" s="111"/>
      <c r="DNZ11" s="111"/>
      <c r="DOA11" s="111"/>
      <c r="DOB11" s="111"/>
      <c r="DOC11" s="111"/>
      <c r="DOD11" s="111"/>
      <c r="DOE11" s="111"/>
      <c r="DOF11" s="111"/>
      <c r="DOG11" s="111"/>
      <c r="DOH11" s="111"/>
      <c r="DOI11" s="111"/>
      <c r="DOJ11" s="111"/>
      <c r="DOK11" s="111"/>
      <c r="DOL11" s="111"/>
      <c r="DOM11" s="111"/>
      <c r="DON11" s="111"/>
      <c r="DOO11" s="111"/>
      <c r="DOP11" s="111"/>
      <c r="DOQ11" s="111"/>
      <c r="DOR11" s="111"/>
      <c r="DOS11" s="111"/>
      <c r="DOT11" s="111"/>
      <c r="DOU11" s="111"/>
      <c r="DOV11" s="111"/>
      <c r="DOW11" s="111"/>
      <c r="DOX11" s="111"/>
      <c r="DOY11" s="111"/>
      <c r="DOZ11" s="111"/>
      <c r="DPA11" s="111"/>
      <c r="DPB11" s="111"/>
      <c r="DPC11" s="111"/>
      <c r="DPD11" s="111"/>
      <c r="DPE11" s="111"/>
      <c r="DPF11" s="111"/>
      <c r="DPG11" s="111"/>
      <c r="DPH11" s="111"/>
      <c r="DPI11" s="111"/>
      <c r="DPJ11" s="111"/>
      <c r="DPK11" s="111"/>
      <c r="DPL11" s="111"/>
      <c r="DPM11" s="111"/>
      <c r="DPN11" s="111"/>
      <c r="DPO11" s="111"/>
      <c r="DPP11" s="111"/>
      <c r="DPQ11" s="111"/>
      <c r="DPR11" s="111"/>
      <c r="DPS11" s="111"/>
      <c r="DPT11" s="111"/>
      <c r="DPU11" s="111"/>
      <c r="DPV11" s="111"/>
      <c r="DPW11" s="111"/>
      <c r="DPX11" s="111"/>
      <c r="DPY11" s="111"/>
      <c r="DPZ11" s="111"/>
      <c r="DQA11" s="111"/>
      <c r="DQB11" s="111"/>
      <c r="DQC11" s="111"/>
      <c r="DQD11" s="111"/>
      <c r="DQE11" s="111"/>
      <c r="DQF11" s="111"/>
      <c r="DQG11" s="111"/>
      <c r="DQH11" s="111"/>
      <c r="DQI11" s="111"/>
      <c r="DQJ11" s="111"/>
      <c r="DQK11" s="111"/>
      <c r="DQL11" s="111"/>
      <c r="DQM11" s="111"/>
      <c r="DQN11" s="111"/>
      <c r="DQO11" s="111"/>
      <c r="DQP11" s="111"/>
      <c r="DQQ11" s="111"/>
      <c r="DQR11" s="111"/>
      <c r="DQS11" s="111"/>
      <c r="DQT11" s="111"/>
      <c r="DQU11" s="111"/>
      <c r="DQV11" s="111"/>
      <c r="DQW11" s="111"/>
      <c r="DQX11" s="111"/>
      <c r="DQY11" s="111"/>
      <c r="DQZ11" s="111"/>
      <c r="DRA11" s="111"/>
      <c r="DRB11" s="111"/>
      <c r="DRC11" s="111"/>
      <c r="DRD11" s="111"/>
      <c r="DRE11" s="111"/>
      <c r="DRF11" s="111"/>
      <c r="DRG11" s="111"/>
      <c r="DRH11" s="111"/>
      <c r="DRI11" s="111"/>
      <c r="DRJ11" s="111"/>
      <c r="DRK11" s="111"/>
      <c r="DRL11" s="111"/>
      <c r="DRM11" s="111"/>
      <c r="DRN11" s="111"/>
      <c r="DRO11" s="111"/>
      <c r="DRP11" s="111"/>
      <c r="DRQ11" s="111"/>
      <c r="DRR11" s="111"/>
      <c r="DRS11" s="111"/>
      <c r="DRT11" s="111"/>
      <c r="DRU11" s="111"/>
      <c r="DRV11" s="111"/>
      <c r="DRW11" s="111"/>
      <c r="DRX11" s="111"/>
      <c r="DRY11" s="111"/>
      <c r="DRZ11" s="111"/>
      <c r="DSA11" s="111"/>
      <c r="DSB11" s="111"/>
      <c r="DSC11" s="111"/>
      <c r="DSD11" s="111"/>
      <c r="DSE11" s="111"/>
      <c r="DSF11" s="111"/>
      <c r="DSG11" s="111"/>
      <c r="DSH11" s="111"/>
      <c r="DSI11" s="111"/>
      <c r="DSJ11" s="111"/>
      <c r="DSK11" s="111"/>
      <c r="DSL11" s="111"/>
      <c r="DSM11" s="111"/>
      <c r="DSN11" s="111"/>
      <c r="DSO11" s="111"/>
      <c r="DSP11" s="111"/>
      <c r="DSQ11" s="111"/>
      <c r="DSR11" s="111"/>
      <c r="DSS11" s="111"/>
      <c r="DST11" s="111"/>
      <c r="DSU11" s="111"/>
      <c r="DSV11" s="111"/>
      <c r="DSW11" s="111"/>
      <c r="DSX11" s="111"/>
      <c r="DSY11" s="111"/>
      <c r="DSZ11" s="111"/>
      <c r="DTA11" s="111"/>
      <c r="DTB11" s="111"/>
      <c r="DTC11" s="111"/>
      <c r="DTD11" s="111"/>
      <c r="DTE11" s="111"/>
      <c r="DTF11" s="111"/>
      <c r="DTG11" s="111"/>
      <c r="DTH11" s="111"/>
      <c r="DTI11" s="111"/>
      <c r="DTJ11" s="111"/>
      <c r="DTK11" s="111"/>
      <c r="DTL11" s="111"/>
      <c r="DTM11" s="111"/>
      <c r="DTN11" s="111"/>
      <c r="DTO11" s="111"/>
      <c r="DTP11" s="111"/>
      <c r="DTQ11" s="111"/>
      <c r="DTR11" s="111"/>
      <c r="DTS11" s="111"/>
      <c r="DTT11" s="111"/>
      <c r="DTU11" s="111"/>
      <c r="DTV11" s="111"/>
      <c r="DTW11" s="111"/>
      <c r="DTX11" s="111"/>
      <c r="DTY11" s="111"/>
      <c r="DTZ11" s="111"/>
      <c r="DUA11" s="111"/>
      <c r="DUB11" s="111"/>
      <c r="DUC11" s="111"/>
      <c r="DUD11" s="111"/>
      <c r="DUE11" s="111"/>
      <c r="DUF11" s="111"/>
      <c r="DUG11" s="111"/>
      <c r="DUH11" s="111"/>
      <c r="DUI11" s="111"/>
      <c r="DUJ11" s="111"/>
      <c r="DUK11" s="111"/>
      <c r="DUL11" s="111"/>
      <c r="DUM11" s="111"/>
      <c r="DUN11" s="111"/>
      <c r="DUO11" s="111"/>
      <c r="DUP11" s="111"/>
      <c r="DUQ11" s="111"/>
      <c r="DUR11" s="111"/>
      <c r="DUS11" s="111"/>
      <c r="DUT11" s="111"/>
      <c r="DUU11" s="111"/>
      <c r="DUV11" s="111"/>
      <c r="DUW11" s="111"/>
      <c r="DUX11" s="111"/>
      <c r="DUY11" s="111"/>
      <c r="DUZ11" s="111"/>
      <c r="DVA11" s="111"/>
      <c r="DVB11" s="111"/>
      <c r="DVC11" s="111"/>
      <c r="DVD11" s="111"/>
      <c r="DVE11" s="111"/>
      <c r="DVF11" s="111"/>
      <c r="DVG11" s="111"/>
      <c r="DVH11" s="111"/>
      <c r="DVI11" s="111"/>
      <c r="DVJ11" s="111"/>
      <c r="DVK11" s="111"/>
      <c r="DVL11" s="111"/>
      <c r="DVM11" s="111"/>
      <c r="DVN11" s="111"/>
      <c r="DVO11" s="111"/>
      <c r="DVP11" s="111"/>
      <c r="DVQ11" s="111"/>
      <c r="DVR11" s="111"/>
      <c r="DVS11" s="111"/>
      <c r="DVT11" s="111"/>
      <c r="DVU11" s="111"/>
      <c r="DVV11" s="111"/>
      <c r="DVW11" s="111"/>
      <c r="DVX11" s="111"/>
      <c r="DVY11" s="111"/>
      <c r="DVZ11" s="111"/>
      <c r="DWA11" s="111"/>
      <c r="DWB11" s="111"/>
      <c r="DWC11" s="111"/>
      <c r="DWD11" s="111"/>
      <c r="DWE11" s="111"/>
      <c r="DWF11" s="111"/>
      <c r="DWG11" s="111"/>
      <c r="DWH11" s="111"/>
      <c r="DWI11" s="111"/>
      <c r="DWJ11" s="111"/>
      <c r="DWK11" s="111"/>
      <c r="DWL11" s="111"/>
      <c r="DWM11" s="111"/>
      <c r="DWN11" s="111"/>
      <c r="DWO11" s="111"/>
      <c r="DWP11" s="111"/>
      <c r="DWQ11" s="111"/>
      <c r="DWR11" s="111"/>
      <c r="DWS11" s="111"/>
      <c r="DWT11" s="111"/>
      <c r="DWU11" s="111"/>
      <c r="DWV11" s="111"/>
      <c r="DWW11" s="111"/>
      <c r="DWX11" s="111"/>
      <c r="DWY11" s="111"/>
      <c r="DWZ11" s="111"/>
      <c r="DXA11" s="111"/>
      <c r="DXB11" s="111"/>
      <c r="DXC11" s="111"/>
      <c r="DXD11" s="111"/>
      <c r="DXE11" s="111"/>
      <c r="DXF11" s="111"/>
      <c r="DXG11" s="111"/>
      <c r="DXH11" s="111"/>
      <c r="DXI11" s="111"/>
      <c r="DXJ11" s="111"/>
      <c r="DXK11" s="111"/>
      <c r="DXL11" s="111"/>
      <c r="DXM11" s="111"/>
      <c r="DXN11" s="111"/>
      <c r="DXO11" s="111"/>
      <c r="DXP11" s="111"/>
      <c r="DXQ11" s="111"/>
      <c r="DXR11" s="111"/>
      <c r="DXS11" s="111"/>
      <c r="DXT11" s="111"/>
      <c r="DXU11" s="111"/>
      <c r="DXV11" s="111"/>
      <c r="DXW11" s="111"/>
      <c r="DXX11" s="111"/>
      <c r="DXY11" s="111"/>
      <c r="DXZ11" s="111"/>
      <c r="DYA11" s="111"/>
      <c r="DYB11" s="111"/>
      <c r="DYC11" s="111"/>
      <c r="DYD11" s="111"/>
      <c r="DYE11" s="111"/>
      <c r="DYF11" s="111"/>
      <c r="DYG11" s="111"/>
      <c r="DYH11" s="111"/>
      <c r="DYI11" s="111"/>
      <c r="DYJ11" s="111"/>
      <c r="DYK11" s="111"/>
      <c r="DYL11" s="111"/>
      <c r="DYM11" s="111"/>
      <c r="DYN11" s="111"/>
      <c r="DYO11" s="111"/>
      <c r="DYP11" s="111"/>
      <c r="DYQ11" s="111"/>
      <c r="DYR11" s="111"/>
      <c r="DYS11" s="111"/>
      <c r="DYT11" s="111"/>
      <c r="DYU11" s="111"/>
      <c r="DYV11" s="111"/>
      <c r="DYW11" s="111"/>
      <c r="DYX11" s="111"/>
      <c r="DYY11" s="111"/>
      <c r="DYZ11" s="111"/>
      <c r="DZA11" s="111"/>
      <c r="DZB11" s="111"/>
      <c r="DZC11" s="111"/>
      <c r="DZD11" s="111"/>
      <c r="DZE11" s="111"/>
      <c r="DZF11" s="111"/>
      <c r="DZG11" s="111"/>
      <c r="DZH11" s="111"/>
      <c r="DZI11" s="111"/>
      <c r="DZJ11" s="111"/>
      <c r="DZK11" s="111"/>
      <c r="DZL11" s="111"/>
      <c r="DZM11" s="111"/>
      <c r="DZN11" s="111"/>
      <c r="DZO11" s="111"/>
      <c r="DZP11" s="111"/>
      <c r="DZQ11" s="111"/>
      <c r="DZR11" s="111"/>
      <c r="DZS11" s="111"/>
      <c r="DZT11" s="111"/>
      <c r="DZU11" s="111"/>
      <c r="DZV11" s="111"/>
      <c r="DZW11" s="111"/>
      <c r="DZX11" s="111"/>
      <c r="DZY11" s="111"/>
      <c r="DZZ11" s="111"/>
      <c r="EAA11" s="111"/>
      <c r="EAB11" s="111"/>
      <c r="EAC11" s="111"/>
      <c r="EAD11" s="111"/>
      <c r="EAE11" s="111"/>
      <c r="EAF11" s="111"/>
      <c r="EAG11" s="111"/>
      <c r="EAH11" s="111"/>
      <c r="EAI11" s="111"/>
      <c r="EAJ11" s="111"/>
      <c r="EAK11" s="111"/>
      <c r="EAL11" s="111"/>
      <c r="EAM11" s="111"/>
      <c r="EAN11" s="111"/>
      <c r="EAO11" s="111"/>
      <c r="EAP11" s="111"/>
      <c r="EAQ11" s="111"/>
      <c r="EAR11" s="111"/>
      <c r="EAS11" s="111"/>
      <c r="EAT11" s="111"/>
      <c r="EAU11" s="111"/>
      <c r="EAV11" s="111"/>
      <c r="EAW11" s="111"/>
      <c r="EAX11" s="111"/>
      <c r="EAY11" s="111"/>
      <c r="EAZ11" s="111"/>
      <c r="EBA11" s="111"/>
      <c r="EBB11" s="111"/>
      <c r="EBC11" s="111"/>
      <c r="EBD11" s="111"/>
      <c r="EBE11" s="111"/>
      <c r="EBF11" s="111"/>
      <c r="EBG11" s="111"/>
      <c r="EBH11" s="111"/>
      <c r="EBI11" s="111"/>
      <c r="EBJ11" s="111"/>
      <c r="EBK11" s="111"/>
      <c r="EBL11" s="111"/>
      <c r="EBM11" s="111"/>
      <c r="EBN11" s="111"/>
      <c r="EBO11" s="111"/>
      <c r="EBP11" s="111"/>
      <c r="EBQ11" s="111"/>
      <c r="EBR11" s="111"/>
      <c r="EBS11" s="111"/>
      <c r="EBT11" s="111"/>
      <c r="EBU11" s="111"/>
      <c r="EBV11" s="111"/>
      <c r="EBW11" s="111"/>
      <c r="EBX11" s="111"/>
      <c r="EBY11" s="111"/>
      <c r="EBZ11" s="111"/>
      <c r="ECA11" s="111"/>
      <c r="ECB11" s="111"/>
      <c r="ECC11" s="111"/>
      <c r="ECD11" s="111"/>
      <c r="ECE11" s="111"/>
      <c r="ECF11" s="111"/>
      <c r="ECG11" s="111"/>
      <c r="ECH11" s="111"/>
      <c r="ECI11" s="111"/>
      <c r="ECJ11" s="111"/>
      <c r="ECK11" s="111"/>
      <c r="ECL11" s="111"/>
      <c r="ECM11" s="111"/>
      <c r="ECN11" s="111"/>
      <c r="ECO11" s="111"/>
      <c r="ECP11" s="111"/>
      <c r="ECQ11" s="111"/>
      <c r="ECR11" s="111"/>
      <c r="ECS11" s="111"/>
      <c r="ECT11" s="111"/>
      <c r="ECU11" s="111"/>
      <c r="ECV11" s="111"/>
      <c r="ECW11" s="111"/>
      <c r="ECX11" s="111"/>
      <c r="ECY11" s="111"/>
      <c r="ECZ11" s="111"/>
      <c r="EDA11" s="111"/>
      <c r="EDB11" s="111"/>
      <c r="EDC11" s="111"/>
      <c r="EDD11" s="111"/>
      <c r="EDE11" s="111"/>
      <c r="EDF11" s="111"/>
      <c r="EDG11" s="111"/>
      <c r="EDH11" s="111"/>
      <c r="EDI11" s="111"/>
      <c r="EDJ11" s="111"/>
      <c r="EDK11" s="111"/>
      <c r="EDL11" s="111"/>
      <c r="EDM11" s="111"/>
      <c r="EDN11" s="111"/>
      <c r="EDO11" s="111"/>
      <c r="EDP11" s="111"/>
      <c r="EDQ11" s="111"/>
      <c r="EDR11" s="111"/>
      <c r="EDS11" s="111"/>
      <c r="EDT11" s="111"/>
      <c r="EDU11" s="111"/>
      <c r="EDV11" s="111"/>
      <c r="EDW11" s="111"/>
      <c r="EDX11" s="111"/>
      <c r="EDY11" s="111"/>
      <c r="EDZ11" s="111"/>
      <c r="EEA11" s="111"/>
      <c r="EEB11" s="111"/>
      <c r="EEC11" s="111"/>
      <c r="EED11" s="111"/>
      <c r="EEE11" s="111"/>
      <c r="EEF11" s="111"/>
      <c r="EEG11" s="111"/>
      <c r="EEH11" s="111"/>
      <c r="EEI11" s="111"/>
      <c r="EEJ11" s="111"/>
      <c r="EEK11" s="111"/>
      <c r="EEL11" s="111"/>
      <c r="EEM11" s="111"/>
      <c r="EEN11" s="111"/>
      <c r="EEO11" s="111"/>
      <c r="EEP11" s="111"/>
      <c r="EEQ11" s="111"/>
      <c r="EER11" s="111"/>
      <c r="EES11" s="111"/>
      <c r="EET11" s="111"/>
      <c r="EEU11" s="111"/>
      <c r="EEV11" s="111"/>
      <c r="EEW11" s="111"/>
      <c r="EEX11" s="111"/>
      <c r="EEY11" s="111"/>
      <c r="EEZ11" s="111"/>
      <c r="EFA11" s="111"/>
      <c r="EFB11" s="111"/>
      <c r="EFC11" s="111"/>
      <c r="EFD11" s="111"/>
      <c r="EFE11" s="111"/>
      <c r="EFF11" s="111"/>
      <c r="EFG11" s="111"/>
      <c r="EFH11" s="111"/>
      <c r="EFI11" s="111"/>
      <c r="EFJ11" s="111"/>
      <c r="EFK11" s="111"/>
      <c r="EFL11" s="111"/>
      <c r="EFM11" s="111"/>
      <c r="EFN11" s="111"/>
      <c r="EFO11" s="111"/>
      <c r="EFP11" s="111"/>
      <c r="EFQ11" s="111"/>
      <c r="EFR11" s="111"/>
      <c r="EFS11" s="111"/>
      <c r="EFT11" s="111"/>
      <c r="EFU11" s="111"/>
      <c r="EFV11" s="111"/>
      <c r="EFW11" s="111"/>
      <c r="EFX11" s="111"/>
      <c r="EFY11" s="111"/>
      <c r="EFZ11" s="111"/>
      <c r="EGA11" s="111"/>
      <c r="EGB11" s="111"/>
      <c r="EGC11" s="111"/>
      <c r="EGD11" s="111"/>
      <c r="EGE11" s="111"/>
      <c r="EGF11" s="111"/>
      <c r="EGG11" s="111"/>
      <c r="EGH11" s="111"/>
      <c r="EGI11" s="111"/>
      <c r="EGJ11" s="111"/>
      <c r="EGK11" s="111"/>
      <c r="EGL11" s="111"/>
      <c r="EGM11" s="111"/>
      <c r="EGN11" s="111"/>
      <c r="EGO11" s="111"/>
      <c r="EGP11" s="111"/>
      <c r="EGQ11" s="111"/>
      <c r="EGR11" s="111"/>
      <c r="EGS11" s="111"/>
      <c r="EGT11" s="111"/>
      <c r="EGU11" s="111"/>
      <c r="EGV11" s="111"/>
      <c r="EGW11" s="111"/>
      <c r="EGX11" s="111"/>
      <c r="EGY11" s="111"/>
      <c r="EGZ11" s="111"/>
      <c r="EHA11" s="111"/>
      <c r="EHB11" s="111"/>
      <c r="EHC11" s="111"/>
      <c r="EHD11" s="111"/>
      <c r="EHE11" s="111"/>
      <c r="EHF11" s="111"/>
      <c r="EHG11" s="111"/>
      <c r="EHH11" s="111"/>
      <c r="EHI11" s="111"/>
      <c r="EHJ11" s="111"/>
      <c r="EHK11" s="111"/>
      <c r="EHL11" s="111"/>
      <c r="EHM11" s="111"/>
      <c r="EHN11" s="111"/>
      <c r="EHO11" s="111"/>
      <c r="EHP11" s="111"/>
      <c r="EHQ11" s="111"/>
      <c r="EHR11" s="111"/>
      <c r="EHS11" s="111"/>
      <c r="EHT11" s="111"/>
      <c r="EHU11" s="111"/>
      <c r="EHV11" s="111"/>
      <c r="EHW11" s="111"/>
      <c r="EHX11" s="111"/>
      <c r="EHY11" s="111"/>
      <c r="EHZ11" s="111"/>
      <c r="EIA11" s="111"/>
      <c r="EIB11" s="111"/>
      <c r="EIC11" s="111"/>
      <c r="EID11" s="111"/>
      <c r="EIE11" s="111"/>
      <c r="EIF11" s="111"/>
      <c r="EIG11" s="111"/>
      <c r="EIH11" s="111"/>
      <c r="EII11" s="111"/>
      <c r="EIJ11" s="111"/>
      <c r="EIK11" s="111"/>
      <c r="EIL11" s="111"/>
      <c r="EIM11" s="111"/>
      <c r="EIN11" s="111"/>
      <c r="EIO11" s="111"/>
      <c r="EIP11" s="111"/>
      <c r="EIQ11" s="111"/>
      <c r="EIR11" s="111"/>
      <c r="EIS11" s="111"/>
      <c r="EIT11" s="111"/>
      <c r="EIU11" s="111"/>
      <c r="EIV11" s="111"/>
      <c r="EIW11" s="111"/>
      <c r="EIX11" s="111"/>
      <c r="EIY11" s="111"/>
      <c r="EIZ11" s="111"/>
      <c r="EJA11" s="111"/>
      <c r="EJB11" s="111"/>
      <c r="EJC11" s="111"/>
      <c r="EJD11" s="111"/>
      <c r="EJE11" s="111"/>
      <c r="EJF11" s="111"/>
      <c r="EJG11" s="111"/>
      <c r="EJH11" s="111"/>
      <c r="EJI11" s="111"/>
      <c r="EJJ11" s="111"/>
      <c r="EJK11" s="111"/>
      <c r="EJL11" s="111"/>
      <c r="EJM11" s="111"/>
      <c r="EJN11" s="111"/>
      <c r="EJO11" s="111"/>
      <c r="EJP11" s="111"/>
      <c r="EJQ11" s="111"/>
      <c r="EJR11" s="111"/>
      <c r="EJS11" s="111"/>
      <c r="EJT11" s="111"/>
      <c r="EJU11" s="111"/>
      <c r="EJV11" s="111"/>
      <c r="EJW11" s="111"/>
      <c r="EJX11" s="111"/>
      <c r="EJY11" s="111"/>
      <c r="EJZ11" s="111"/>
      <c r="EKA11" s="111"/>
      <c r="EKB11" s="111"/>
      <c r="EKC11" s="111"/>
      <c r="EKD11" s="111"/>
      <c r="EKE11" s="111"/>
      <c r="EKF11" s="111"/>
      <c r="EKG11" s="111"/>
      <c r="EKH11" s="111"/>
      <c r="EKI11" s="111"/>
      <c r="EKJ11" s="111"/>
      <c r="EKK11" s="111"/>
      <c r="EKL11" s="111"/>
      <c r="EKM11" s="111"/>
      <c r="EKN11" s="111"/>
      <c r="EKO11" s="111"/>
      <c r="EKP11" s="111"/>
      <c r="EKQ11" s="111"/>
      <c r="EKR11" s="111"/>
      <c r="EKS11" s="111"/>
      <c r="EKT11" s="111"/>
      <c r="EKU11" s="111"/>
      <c r="EKV11" s="111"/>
      <c r="EKW11" s="111"/>
      <c r="EKX11" s="111"/>
      <c r="EKY11" s="111"/>
      <c r="EKZ11" s="111"/>
      <c r="ELA11" s="111"/>
      <c r="ELB11" s="111"/>
      <c r="ELC11" s="111"/>
      <c r="ELD11" s="111"/>
      <c r="ELE11" s="111"/>
      <c r="ELF11" s="111"/>
      <c r="ELG11" s="111"/>
      <c r="ELH11" s="111"/>
      <c r="ELI11" s="111"/>
      <c r="ELJ11" s="111"/>
      <c r="ELK11" s="111"/>
      <c r="ELL11" s="111"/>
      <c r="ELM11" s="111"/>
      <c r="ELN11" s="111"/>
      <c r="ELO11" s="111"/>
      <c r="ELP11" s="111"/>
      <c r="ELQ11" s="111"/>
      <c r="ELR11" s="111"/>
      <c r="ELS11" s="111"/>
      <c r="ELT11" s="111"/>
      <c r="ELU11" s="111"/>
      <c r="ELV11" s="111"/>
      <c r="ELW11" s="111"/>
      <c r="ELX11" s="111"/>
      <c r="ELY11" s="111"/>
      <c r="ELZ11" s="111"/>
      <c r="EMA11" s="111"/>
      <c r="EMB11" s="111"/>
      <c r="EMC11" s="111"/>
      <c r="EMD11" s="111"/>
      <c r="EME11" s="111"/>
      <c r="EMF11" s="111"/>
      <c r="EMG11" s="111"/>
      <c r="EMH11" s="111"/>
      <c r="EMI11" s="111"/>
      <c r="EMJ11" s="111"/>
      <c r="EMK11" s="111"/>
      <c r="EML11" s="111"/>
      <c r="EMM11" s="111"/>
      <c r="EMN11" s="111"/>
      <c r="EMO11" s="111"/>
      <c r="EMP11" s="111"/>
      <c r="EMQ11" s="111"/>
      <c r="EMR11" s="111"/>
      <c r="EMS11" s="111"/>
      <c r="EMT11" s="111"/>
      <c r="EMU11" s="111"/>
      <c r="EMV11" s="111"/>
      <c r="EMW11" s="111"/>
      <c r="EMX11" s="111"/>
      <c r="EMY11" s="111"/>
      <c r="EMZ11" s="111"/>
      <c r="ENA11" s="111"/>
      <c r="ENB11" s="111"/>
      <c r="ENC11" s="111"/>
      <c r="END11" s="111"/>
      <c r="ENE11" s="111"/>
      <c r="ENF11" s="111"/>
      <c r="ENG11" s="111"/>
      <c r="ENH11" s="111"/>
      <c r="ENI11" s="111"/>
      <c r="ENJ11" s="111"/>
      <c r="ENK11" s="111"/>
      <c r="ENL11" s="111"/>
      <c r="ENM11" s="111"/>
      <c r="ENN11" s="111"/>
      <c r="ENO11" s="111"/>
      <c r="ENP11" s="111"/>
      <c r="ENQ11" s="111"/>
      <c r="ENR11" s="111"/>
      <c r="ENS11" s="111"/>
      <c r="ENT11" s="111"/>
      <c r="ENU11" s="111"/>
      <c r="ENV11" s="111"/>
      <c r="ENW11" s="111"/>
      <c r="ENX11" s="111"/>
      <c r="ENY11" s="111"/>
      <c r="ENZ11" s="111"/>
      <c r="EOA11" s="111"/>
      <c r="EOB11" s="111"/>
      <c r="EOC11" s="111"/>
      <c r="EOD11" s="111"/>
      <c r="EOE11" s="111"/>
      <c r="EOF11" s="111"/>
      <c r="EOG11" s="111"/>
      <c r="EOH11" s="111"/>
      <c r="EOI11" s="111"/>
      <c r="EOJ11" s="111"/>
      <c r="EOK11" s="111"/>
      <c r="EOL11" s="111"/>
      <c r="EOM11" s="111"/>
      <c r="EON11" s="111"/>
      <c r="EOO11" s="111"/>
      <c r="EOP11" s="111"/>
      <c r="EOQ11" s="111"/>
      <c r="EOR11" s="111"/>
      <c r="EOS11" s="111"/>
      <c r="EOT11" s="111"/>
      <c r="EOU11" s="111"/>
      <c r="EOV11" s="111"/>
      <c r="EOW11" s="111"/>
      <c r="EOX11" s="111"/>
      <c r="EOY11" s="111"/>
      <c r="EOZ11" s="111"/>
      <c r="EPA11" s="111"/>
      <c r="EPB11" s="111"/>
      <c r="EPC11" s="111"/>
      <c r="EPD11" s="111"/>
      <c r="EPE11" s="111"/>
      <c r="EPF11" s="111"/>
      <c r="EPG11" s="111"/>
      <c r="EPH11" s="111"/>
      <c r="EPI11" s="111"/>
      <c r="EPJ11" s="111"/>
      <c r="EPK11" s="111"/>
      <c r="EPL11" s="111"/>
      <c r="EPM11" s="111"/>
      <c r="EPN11" s="111"/>
      <c r="EPO11" s="111"/>
      <c r="EPP11" s="111"/>
      <c r="EPQ11" s="111"/>
      <c r="EPR11" s="111"/>
      <c r="EPS11" s="111"/>
      <c r="EPT11" s="111"/>
      <c r="EPU11" s="111"/>
      <c r="EPV11" s="111"/>
      <c r="EPW11" s="111"/>
      <c r="EPX11" s="111"/>
      <c r="EPY11" s="111"/>
      <c r="EPZ11" s="111"/>
      <c r="EQA11" s="111"/>
      <c r="EQB11" s="111"/>
      <c r="EQC11" s="111"/>
      <c r="EQD11" s="111"/>
      <c r="EQE11" s="111"/>
      <c r="EQF11" s="111"/>
      <c r="EQG11" s="111"/>
      <c r="EQH11" s="111"/>
      <c r="EQI11" s="111"/>
      <c r="EQJ11" s="111"/>
      <c r="EQK11" s="111"/>
      <c r="EQL11" s="111"/>
      <c r="EQM11" s="111"/>
      <c r="EQN11" s="111"/>
      <c r="EQO11" s="111"/>
      <c r="EQP11" s="111"/>
      <c r="EQQ11" s="111"/>
      <c r="EQR11" s="111"/>
      <c r="EQS11" s="111"/>
      <c r="EQT11" s="111"/>
      <c r="EQU11" s="111"/>
      <c r="EQV11" s="111"/>
      <c r="EQW11" s="111"/>
      <c r="EQX11" s="111"/>
      <c r="EQY11" s="111"/>
      <c r="EQZ11" s="111"/>
      <c r="ERA11" s="111"/>
      <c r="ERB11" s="111"/>
      <c r="ERC11" s="111"/>
      <c r="ERD11" s="111"/>
      <c r="ERE11" s="111"/>
      <c r="ERF11" s="111"/>
      <c r="ERG11" s="111"/>
      <c r="ERH11" s="111"/>
      <c r="ERI11" s="111"/>
      <c r="ERJ11" s="111"/>
      <c r="ERK11" s="111"/>
      <c r="ERL11" s="111"/>
      <c r="ERM11" s="111"/>
      <c r="ERN11" s="111"/>
      <c r="ERO11" s="111"/>
      <c r="ERP11" s="111"/>
      <c r="ERQ11" s="111"/>
      <c r="ERR11" s="111"/>
      <c r="ERS11" s="111"/>
      <c r="ERT11" s="111"/>
      <c r="ERU11" s="111"/>
      <c r="ERV11" s="111"/>
      <c r="ERW11" s="111"/>
      <c r="ERX11" s="111"/>
      <c r="ERY11" s="111"/>
      <c r="ERZ11" s="111"/>
      <c r="ESA11" s="111"/>
      <c r="ESB11" s="111"/>
      <c r="ESC11" s="111"/>
      <c r="ESD11" s="111"/>
      <c r="ESE11" s="111"/>
      <c r="ESF11" s="111"/>
      <c r="ESG11" s="111"/>
      <c r="ESH11" s="111"/>
      <c r="ESI11" s="111"/>
      <c r="ESJ11" s="111"/>
      <c r="ESK11" s="111"/>
      <c r="ESL11" s="111"/>
      <c r="ESM11" s="111"/>
      <c r="ESN11" s="111"/>
      <c r="ESO11" s="111"/>
      <c r="ESP11" s="111"/>
      <c r="ESQ11" s="111"/>
      <c r="ESR11" s="111"/>
      <c r="ESS11" s="111"/>
      <c r="EST11" s="111"/>
      <c r="ESU11" s="111"/>
      <c r="ESV11" s="111"/>
      <c r="ESW11" s="111"/>
      <c r="ESX11" s="111"/>
      <c r="ESY11" s="111"/>
      <c r="ESZ11" s="111"/>
      <c r="ETA11" s="111"/>
      <c r="ETB11" s="111"/>
      <c r="ETC11" s="111"/>
      <c r="ETD11" s="111"/>
      <c r="ETE11" s="111"/>
      <c r="ETF11" s="111"/>
      <c r="ETG11" s="111"/>
      <c r="ETH11" s="111"/>
      <c r="ETI11" s="111"/>
      <c r="ETJ11" s="111"/>
      <c r="ETK11" s="111"/>
      <c r="ETL11" s="111"/>
      <c r="ETM11" s="111"/>
      <c r="ETN11" s="111"/>
      <c r="ETO11" s="111"/>
      <c r="ETP11" s="111"/>
      <c r="ETQ11" s="111"/>
      <c r="ETR11" s="111"/>
      <c r="ETS11" s="111"/>
      <c r="ETT11" s="111"/>
      <c r="ETU11" s="111"/>
      <c r="ETV11" s="111"/>
      <c r="ETW11" s="111"/>
      <c r="ETX11" s="111"/>
      <c r="ETY11" s="111"/>
      <c r="ETZ11" s="111"/>
      <c r="EUA11" s="111"/>
      <c r="EUB11" s="111"/>
      <c r="EUC11" s="111"/>
      <c r="EUD11" s="111"/>
      <c r="EUE11" s="111"/>
      <c r="EUF11" s="111"/>
      <c r="EUG11" s="111"/>
      <c r="EUH11" s="111"/>
      <c r="EUI11" s="111"/>
      <c r="EUJ11" s="111"/>
      <c r="EUK11" s="111"/>
      <c r="EUL11" s="111"/>
      <c r="EUM11" s="111"/>
      <c r="EUN11" s="111"/>
      <c r="EUO11" s="111"/>
      <c r="EUP11" s="111"/>
      <c r="EUQ11" s="111"/>
      <c r="EUR11" s="111"/>
      <c r="EUS11" s="111"/>
      <c r="EUT11" s="111"/>
      <c r="EUU11" s="111"/>
      <c r="EUV11" s="111"/>
      <c r="EUW11" s="111"/>
      <c r="EUX11" s="111"/>
      <c r="EUY11" s="111"/>
      <c r="EUZ11" s="111"/>
      <c r="EVA11" s="111"/>
      <c r="EVB11" s="111"/>
      <c r="EVC11" s="111"/>
      <c r="EVD11" s="111"/>
      <c r="EVE11" s="111"/>
      <c r="EVF11" s="111"/>
      <c r="EVG11" s="111"/>
      <c r="EVH11" s="111"/>
      <c r="EVI11" s="111"/>
      <c r="EVJ11" s="111"/>
      <c r="EVK11" s="111"/>
      <c r="EVL11" s="111"/>
      <c r="EVM11" s="111"/>
      <c r="EVN11" s="111"/>
      <c r="EVO11" s="111"/>
      <c r="EVP11" s="111"/>
      <c r="EVQ11" s="111"/>
      <c r="EVR11" s="111"/>
      <c r="EVS11" s="111"/>
      <c r="EVT11" s="111"/>
      <c r="EVU11" s="111"/>
      <c r="EVV11" s="111"/>
      <c r="EVW11" s="111"/>
      <c r="EVX11" s="111"/>
      <c r="EVY11" s="111"/>
      <c r="EVZ11" s="111"/>
      <c r="EWA11" s="111"/>
      <c r="EWB11" s="111"/>
      <c r="EWC11" s="111"/>
      <c r="EWD11" s="111"/>
      <c r="EWE11" s="111"/>
      <c r="EWF11" s="111"/>
      <c r="EWG11" s="111"/>
      <c r="EWH11" s="111"/>
      <c r="EWI11" s="111"/>
      <c r="EWJ11" s="111"/>
      <c r="EWK11" s="111"/>
      <c r="EWL11" s="111"/>
      <c r="EWM11" s="111"/>
      <c r="EWN11" s="111"/>
      <c r="EWO11" s="111"/>
      <c r="EWP11" s="111"/>
      <c r="EWQ11" s="111"/>
      <c r="EWR11" s="111"/>
      <c r="EWS11" s="111"/>
      <c r="EWT11" s="111"/>
      <c r="EWU11" s="111"/>
      <c r="EWV11" s="111"/>
      <c r="EWW11" s="111"/>
      <c r="EWX11" s="111"/>
      <c r="EWY11" s="111"/>
      <c r="EWZ11" s="111"/>
      <c r="EXA11" s="111"/>
      <c r="EXB11" s="111"/>
      <c r="EXC11" s="111"/>
      <c r="EXD11" s="111"/>
      <c r="EXE11" s="111"/>
      <c r="EXF11" s="111"/>
      <c r="EXG11" s="111"/>
      <c r="EXH11" s="111"/>
      <c r="EXI11" s="111"/>
      <c r="EXJ11" s="111"/>
      <c r="EXK11" s="111"/>
      <c r="EXL11" s="111"/>
      <c r="EXM11" s="111"/>
      <c r="EXN11" s="111"/>
      <c r="EXO11" s="111"/>
      <c r="EXP11" s="111"/>
      <c r="EXQ11" s="111"/>
      <c r="EXR11" s="111"/>
      <c r="EXS11" s="111"/>
      <c r="EXT11" s="111"/>
      <c r="EXU11" s="111"/>
      <c r="EXV11" s="111"/>
      <c r="EXW11" s="111"/>
      <c r="EXX11" s="111"/>
      <c r="EXY11" s="111"/>
      <c r="EXZ11" s="111"/>
      <c r="EYA11" s="111"/>
      <c r="EYB11" s="111"/>
      <c r="EYC11" s="111"/>
      <c r="EYD11" s="111"/>
      <c r="EYE11" s="111"/>
      <c r="EYF11" s="111"/>
      <c r="EYG11" s="111"/>
      <c r="EYH11" s="111"/>
      <c r="EYI11" s="111"/>
      <c r="EYJ11" s="111"/>
      <c r="EYK11" s="111"/>
      <c r="EYL11" s="111"/>
      <c r="EYM11" s="111"/>
      <c r="EYN11" s="111"/>
      <c r="EYO11" s="111"/>
      <c r="EYP11" s="111"/>
      <c r="EYQ11" s="111"/>
      <c r="EYR11" s="111"/>
      <c r="EYS11" s="111"/>
      <c r="EYT11" s="111"/>
      <c r="EYU11" s="111"/>
      <c r="EYV11" s="111"/>
      <c r="EYW11" s="111"/>
      <c r="EYX11" s="111"/>
      <c r="EYY11" s="111"/>
      <c r="EYZ11" s="111"/>
      <c r="EZA11" s="111"/>
      <c r="EZB11" s="111"/>
      <c r="EZC11" s="111"/>
      <c r="EZD11" s="111"/>
      <c r="EZE11" s="111"/>
      <c r="EZF11" s="111"/>
      <c r="EZG11" s="111"/>
      <c r="EZH11" s="111"/>
      <c r="EZI11" s="111"/>
      <c r="EZJ11" s="111"/>
      <c r="EZK11" s="111"/>
      <c r="EZL11" s="111"/>
      <c r="EZM11" s="111"/>
      <c r="EZN11" s="111"/>
      <c r="EZO11" s="111"/>
      <c r="EZP11" s="111"/>
      <c r="EZQ11" s="111"/>
      <c r="EZR11" s="111"/>
      <c r="EZS11" s="111"/>
      <c r="EZT11" s="111"/>
      <c r="EZU11" s="111"/>
      <c r="EZV11" s="111"/>
      <c r="EZW11" s="111"/>
      <c r="EZX11" s="111"/>
      <c r="EZY11" s="111"/>
      <c r="EZZ11" s="111"/>
      <c r="FAA11" s="111"/>
      <c r="FAB11" s="111"/>
      <c r="FAC11" s="111"/>
      <c r="FAD11" s="111"/>
      <c r="FAE11" s="111"/>
      <c r="FAF11" s="111"/>
      <c r="FAG11" s="111"/>
      <c r="FAH11" s="111"/>
      <c r="FAI11" s="111"/>
      <c r="FAJ11" s="111"/>
      <c r="FAK11" s="111"/>
      <c r="FAL11" s="111"/>
      <c r="FAM11" s="111"/>
      <c r="FAN11" s="111"/>
      <c r="FAO11" s="111"/>
      <c r="FAP11" s="111"/>
      <c r="FAQ11" s="111"/>
      <c r="FAR11" s="111"/>
      <c r="FAS11" s="111"/>
      <c r="FAT11" s="111"/>
      <c r="FAU11" s="111"/>
      <c r="FAV11" s="111"/>
      <c r="FAW11" s="111"/>
      <c r="FAX11" s="111"/>
      <c r="FAY11" s="111"/>
      <c r="FAZ11" s="111"/>
      <c r="FBA11" s="111"/>
      <c r="FBB11" s="111"/>
      <c r="FBC11" s="111"/>
      <c r="FBD11" s="111"/>
      <c r="FBE11" s="111"/>
      <c r="FBF11" s="111"/>
      <c r="FBG11" s="111"/>
      <c r="FBH11" s="111"/>
      <c r="FBI11" s="111"/>
      <c r="FBJ11" s="111"/>
      <c r="FBK11" s="111"/>
      <c r="FBL11" s="111"/>
      <c r="FBM11" s="111"/>
      <c r="FBN11" s="111"/>
      <c r="FBO11" s="111"/>
      <c r="FBP11" s="111"/>
      <c r="FBQ11" s="111"/>
      <c r="FBR11" s="111"/>
      <c r="FBS11" s="111"/>
      <c r="FBT11" s="111"/>
      <c r="FBU11" s="111"/>
      <c r="FBV11" s="111"/>
      <c r="FBW11" s="111"/>
      <c r="FBX11" s="111"/>
      <c r="FBY11" s="111"/>
      <c r="FBZ11" s="111"/>
      <c r="FCA11" s="111"/>
      <c r="FCB11" s="111"/>
      <c r="FCC11" s="111"/>
      <c r="FCD11" s="111"/>
      <c r="FCE11" s="111"/>
      <c r="FCF11" s="111"/>
      <c r="FCG11" s="111"/>
      <c r="FCH11" s="111"/>
      <c r="FCI11" s="111"/>
      <c r="FCJ11" s="111"/>
      <c r="FCK11" s="111"/>
      <c r="FCL11" s="111"/>
      <c r="FCM11" s="111"/>
      <c r="FCN11" s="111"/>
      <c r="FCO11" s="111"/>
      <c r="FCP11" s="111"/>
      <c r="FCQ11" s="111"/>
      <c r="FCR11" s="111"/>
      <c r="FCS11" s="111"/>
      <c r="FCT11" s="111"/>
      <c r="FCU11" s="111"/>
      <c r="FCV11" s="111"/>
      <c r="FCW11" s="111"/>
      <c r="FCX11" s="111"/>
      <c r="FCY11" s="111"/>
      <c r="FCZ11" s="111"/>
      <c r="FDA11" s="111"/>
      <c r="FDB11" s="111"/>
      <c r="FDC11" s="111"/>
      <c r="FDD11" s="111"/>
      <c r="FDE11" s="111"/>
      <c r="FDF11" s="111"/>
      <c r="FDG11" s="111"/>
      <c r="FDH11" s="111"/>
      <c r="FDI11" s="111"/>
      <c r="FDJ11" s="111"/>
      <c r="FDK11" s="111"/>
      <c r="FDL11" s="111"/>
      <c r="FDM11" s="111"/>
      <c r="FDN11" s="111"/>
      <c r="FDO11" s="111"/>
      <c r="FDP11" s="111"/>
      <c r="FDQ11" s="111"/>
      <c r="FDR11" s="111"/>
      <c r="FDS11" s="111"/>
      <c r="FDT11" s="111"/>
      <c r="FDU11" s="111"/>
      <c r="FDV11" s="111"/>
      <c r="FDW11" s="111"/>
      <c r="FDX11" s="111"/>
      <c r="FDY11" s="111"/>
      <c r="FDZ11" s="111"/>
      <c r="FEA11" s="111"/>
      <c r="FEB11" s="111"/>
      <c r="FEC11" s="111"/>
      <c r="FED11" s="111"/>
      <c r="FEE11" s="111"/>
      <c r="FEF11" s="111"/>
      <c r="FEG11" s="111"/>
      <c r="FEH11" s="111"/>
      <c r="FEI11" s="111"/>
      <c r="FEJ11" s="111"/>
      <c r="FEK11" s="111"/>
      <c r="FEL11" s="111"/>
      <c r="FEM11" s="111"/>
      <c r="FEN11" s="111"/>
      <c r="FEO11" s="111"/>
      <c r="FEP11" s="111"/>
      <c r="FEQ11" s="111"/>
      <c r="FER11" s="111"/>
      <c r="FES11" s="111"/>
      <c r="FET11" s="111"/>
      <c r="FEU11" s="111"/>
      <c r="FEV11" s="111"/>
      <c r="FEW11" s="111"/>
      <c r="FEX11" s="111"/>
      <c r="FEY11" s="111"/>
      <c r="FEZ11" s="111"/>
      <c r="FFA11" s="111"/>
      <c r="FFB11" s="111"/>
      <c r="FFC11" s="111"/>
      <c r="FFD11" s="111"/>
      <c r="FFE11" s="111"/>
      <c r="FFF11" s="111"/>
      <c r="FFG11" s="111"/>
      <c r="FFH11" s="111"/>
      <c r="FFI11" s="111"/>
      <c r="FFJ11" s="111"/>
      <c r="FFK11" s="111"/>
      <c r="FFL11" s="111"/>
      <c r="FFM11" s="111"/>
      <c r="FFN11" s="111"/>
      <c r="FFO11" s="111"/>
      <c r="FFP11" s="111"/>
      <c r="FFQ11" s="111"/>
      <c r="FFR11" s="111"/>
      <c r="FFS11" s="111"/>
      <c r="FFT11" s="111"/>
      <c r="FFU11" s="111"/>
      <c r="FFV11" s="111"/>
      <c r="FFW11" s="111"/>
      <c r="FFX11" s="111"/>
      <c r="FFY11" s="111"/>
      <c r="FFZ11" s="111"/>
      <c r="FGA11" s="111"/>
      <c r="FGB11" s="111"/>
      <c r="FGC11" s="111"/>
      <c r="FGD11" s="111"/>
      <c r="FGE11" s="111"/>
      <c r="FGF11" s="111"/>
      <c r="FGG11" s="111"/>
      <c r="FGH11" s="111"/>
      <c r="FGI11" s="111"/>
      <c r="FGJ11" s="111"/>
      <c r="FGK11" s="111"/>
      <c r="FGL11" s="111"/>
      <c r="FGM11" s="111"/>
      <c r="FGN11" s="111"/>
      <c r="FGO11" s="111"/>
      <c r="FGP11" s="111"/>
      <c r="FGQ11" s="111"/>
      <c r="FGR11" s="111"/>
      <c r="FGS11" s="111"/>
      <c r="FGT11" s="111"/>
      <c r="FGU11" s="111"/>
      <c r="FGV11" s="111"/>
      <c r="FGW11" s="111"/>
      <c r="FGX11" s="111"/>
      <c r="FGY11" s="111"/>
      <c r="FGZ11" s="111"/>
      <c r="FHA11" s="111"/>
      <c r="FHB11" s="111"/>
      <c r="FHC11" s="111"/>
      <c r="FHD11" s="111"/>
      <c r="FHE11" s="111"/>
      <c r="FHF11" s="111"/>
      <c r="FHG11" s="111"/>
      <c r="FHH11" s="111"/>
      <c r="FHI11" s="111"/>
      <c r="FHJ11" s="111"/>
      <c r="FHK11" s="111"/>
      <c r="FHL11" s="111"/>
      <c r="FHM11" s="111"/>
      <c r="FHN11" s="111"/>
      <c r="FHO11" s="111"/>
      <c r="FHP11" s="111"/>
      <c r="FHQ11" s="111"/>
      <c r="FHR11" s="111"/>
      <c r="FHS11" s="111"/>
      <c r="FHT11" s="111"/>
      <c r="FHU11" s="111"/>
      <c r="FHV11" s="111"/>
      <c r="FHW11" s="111"/>
      <c r="FHX11" s="111"/>
      <c r="FHY11" s="111"/>
      <c r="FHZ11" s="111"/>
      <c r="FIA11" s="111"/>
      <c r="FIB11" s="111"/>
      <c r="FIC11" s="111"/>
      <c r="FID11" s="111"/>
      <c r="FIE11" s="111"/>
      <c r="FIF11" s="111"/>
      <c r="FIG11" s="111"/>
      <c r="FIH11" s="111"/>
      <c r="FII11" s="111"/>
      <c r="FIJ11" s="111"/>
      <c r="FIK11" s="111"/>
      <c r="FIL11" s="111"/>
      <c r="FIM11" s="111"/>
      <c r="FIN11" s="111"/>
      <c r="FIO11" s="111"/>
      <c r="FIP11" s="111"/>
      <c r="FIQ11" s="111"/>
      <c r="FIR11" s="111"/>
      <c r="FIS11" s="111"/>
      <c r="FIT11" s="111"/>
      <c r="FIU11" s="111"/>
      <c r="FIV11" s="111"/>
      <c r="FIW11" s="111"/>
      <c r="FIX11" s="111"/>
      <c r="FIY11" s="111"/>
      <c r="FIZ11" s="111"/>
      <c r="FJA11" s="111"/>
      <c r="FJB11" s="111"/>
      <c r="FJC11" s="111"/>
      <c r="FJD11" s="111"/>
      <c r="FJE11" s="111"/>
      <c r="FJF11" s="111"/>
      <c r="FJG11" s="111"/>
      <c r="FJH11" s="111"/>
      <c r="FJI11" s="111"/>
      <c r="FJJ11" s="111"/>
      <c r="FJK11" s="111"/>
      <c r="FJL11" s="111"/>
      <c r="FJM11" s="111"/>
      <c r="FJN11" s="111"/>
      <c r="FJO11" s="111"/>
      <c r="FJP11" s="111"/>
      <c r="FJQ11" s="111"/>
      <c r="FJR11" s="111"/>
      <c r="FJS11" s="111"/>
      <c r="FJT11" s="111"/>
      <c r="FJU11" s="111"/>
      <c r="FJV11" s="111"/>
      <c r="FJW11" s="111"/>
      <c r="FJX11" s="111"/>
      <c r="FJY11" s="111"/>
      <c r="FJZ11" s="111"/>
      <c r="FKA11" s="111"/>
      <c r="FKB11" s="111"/>
      <c r="FKC11" s="111"/>
      <c r="FKD11" s="111"/>
      <c r="FKE11" s="111"/>
      <c r="FKF11" s="111"/>
      <c r="FKG11" s="111"/>
      <c r="FKH11" s="111"/>
      <c r="FKI11" s="111"/>
      <c r="FKJ11" s="111"/>
      <c r="FKK11" s="111"/>
      <c r="FKL11" s="111"/>
      <c r="FKM11" s="111"/>
      <c r="FKN11" s="111"/>
      <c r="FKO11" s="111"/>
      <c r="FKP11" s="111"/>
      <c r="FKQ11" s="111"/>
      <c r="FKR11" s="111"/>
      <c r="FKS11" s="111"/>
      <c r="FKT11" s="111"/>
      <c r="FKU11" s="111"/>
      <c r="FKV11" s="111"/>
      <c r="FKW11" s="111"/>
      <c r="FKX11" s="111"/>
      <c r="FKY11" s="111"/>
      <c r="FKZ11" s="111"/>
      <c r="FLA11" s="111"/>
      <c r="FLB11" s="111"/>
      <c r="FLC11" s="111"/>
      <c r="FLD11" s="111"/>
      <c r="FLE11" s="111"/>
      <c r="FLF11" s="111"/>
      <c r="FLG11" s="111"/>
      <c r="FLH11" s="111"/>
      <c r="FLI11" s="111"/>
      <c r="FLJ11" s="111"/>
      <c r="FLK11" s="111"/>
      <c r="FLL11" s="111"/>
      <c r="FLM11" s="111"/>
      <c r="FLN11" s="111"/>
      <c r="FLO11" s="111"/>
      <c r="FLP11" s="111"/>
      <c r="FLQ11" s="111"/>
      <c r="FLR11" s="111"/>
      <c r="FLS11" s="111"/>
      <c r="FLT11" s="111"/>
      <c r="FLU11" s="111"/>
      <c r="FLV11" s="111"/>
      <c r="FLW11" s="111"/>
      <c r="FLX11" s="111"/>
      <c r="FLY11" s="111"/>
      <c r="FLZ11" s="111"/>
      <c r="FMA11" s="111"/>
      <c r="FMB11" s="111"/>
      <c r="FMC11" s="111"/>
      <c r="FMD11" s="111"/>
      <c r="FME11" s="111"/>
      <c r="FMF11" s="111"/>
      <c r="FMG11" s="111"/>
      <c r="FMH11" s="111"/>
      <c r="FMI11" s="111"/>
      <c r="FMJ11" s="111"/>
      <c r="FMK11" s="111"/>
      <c r="FML11" s="111"/>
      <c r="FMM11" s="111"/>
      <c r="FMN11" s="111"/>
      <c r="FMO11" s="111"/>
      <c r="FMP11" s="111"/>
      <c r="FMQ11" s="111"/>
      <c r="FMR11" s="111"/>
      <c r="FMS11" s="111"/>
      <c r="FMT11" s="111"/>
      <c r="FMU11" s="111"/>
      <c r="FMV11" s="111"/>
      <c r="FMW11" s="111"/>
      <c r="FMX11" s="111"/>
      <c r="FMY11" s="111"/>
      <c r="FMZ11" s="111"/>
      <c r="FNA11" s="111"/>
      <c r="FNB11" s="111"/>
      <c r="FNC11" s="111"/>
      <c r="FND11" s="111"/>
      <c r="FNE11" s="111"/>
      <c r="FNF11" s="111"/>
      <c r="FNG11" s="111"/>
      <c r="FNH11" s="111"/>
      <c r="FNI11" s="111"/>
      <c r="FNJ11" s="111"/>
      <c r="FNK11" s="111"/>
      <c r="FNL11" s="111"/>
      <c r="FNM11" s="111"/>
      <c r="FNN11" s="111"/>
      <c r="FNO11" s="111"/>
      <c r="FNP11" s="111"/>
      <c r="FNQ11" s="111"/>
      <c r="FNR11" s="111"/>
      <c r="FNS11" s="111"/>
      <c r="FNT11" s="111"/>
      <c r="FNU11" s="111"/>
      <c r="FNV11" s="111"/>
      <c r="FNW11" s="111"/>
      <c r="FNX11" s="111"/>
      <c r="FNY11" s="111"/>
      <c r="FNZ11" s="111"/>
      <c r="FOA11" s="111"/>
      <c r="FOB11" s="111"/>
      <c r="FOC11" s="111"/>
      <c r="FOD11" s="111"/>
      <c r="FOE11" s="111"/>
      <c r="FOF11" s="111"/>
      <c r="FOG11" s="111"/>
      <c r="FOH11" s="111"/>
      <c r="FOI11" s="111"/>
      <c r="FOJ11" s="111"/>
      <c r="FOK11" s="111"/>
      <c r="FOL11" s="111"/>
      <c r="FOM11" s="111"/>
      <c r="FON11" s="111"/>
      <c r="FOO11" s="111"/>
      <c r="FOP11" s="111"/>
      <c r="FOQ11" s="111"/>
      <c r="FOR11" s="111"/>
      <c r="FOS11" s="111"/>
      <c r="FOT11" s="111"/>
      <c r="FOU11" s="111"/>
      <c r="FOV11" s="111"/>
      <c r="FOW11" s="111"/>
      <c r="FOX11" s="111"/>
      <c r="FOY11" s="111"/>
      <c r="FOZ11" s="111"/>
      <c r="FPA11" s="111"/>
      <c r="FPB11" s="111"/>
      <c r="FPC11" s="111"/>
      <c r="FPD11" s="111"/>
      <c r="FPE11" s="111"/>
      <c r="FPF11" s="111"/>
      <c r="FPG11" s="111"/>
      <c r="FPH11" s="111"/>
      <c r="FPI11" s="111"/>
      <c r="FPJ11" s="111"/>
      <c r="FPK11" s="111"/>
      <c r="FPL11" s="111"/>
      <c r="FPM11" s="111"/>
      <c r="FPN11" s="111"/>
      <c r="FPO11" s="111"/>
      <c r="FPP11" s="111"/>
      <c r="FPQ11" s="111"/>
      <c r="FPR11" s="111"/>
      <c r="FPS11" s="111"/>
      <c r="FPT11" s="111"/>
      <c r="FPU11" s="111"/>
      <c r="FPV11" s="111"/>
      <c r="FPW11" s="111"/>
      <c r="FPX11" s="111"/>
      <c r="FPY11" s="111"/>
      <c r="FPZ11" s="111"/>
      <c r="FQA11" s="111"/>
      <c r="FQB11" s="111"/>
      <c r="FQC11" s="111"/>
      <c r="FQD11" s="111"/>
      <c r="FQE11" s="111"/>
      <c r="FQF11" s="111"/>
      <c r="FQG11" s="111"/>
      <c r="FQH11" s="111"/>
      <c r="FQI11" s="111"/>
      <c r="FQJ11" s="111"/>
      <c r="FQK11" s="111"/>
      <c r="FQL11" s="111"/>
      <c r="FQM11" s="111"/>
      <c r="FQN11" s="111"/>
      <c r="FQO11" s="111"/>
      <c r="FQP11" s="111"/>
      <c r="FQQ11" s="111"/>
      <c r="FQR11" s="111"/>
      <c r="FQS11" s="111"/>
      <c r="FQT11" s="111"/>
      <c r="FQU11" s="111"/>
      <c r="FQV11" s="111"/>
      <c r="FQW11" s="111"/>
      <c r="FQX11" s="111"/>
      <c r="FQY11" s="111"/>
      <c r="FQZ11" s="111"/>
      <c r="FRA11" s="111"/>
      <c r="FRB11" s="111"/>
      <c r="FRC11" s="111"/>
      <c r="FRD11" s="111"/>
      <c r="FRE11" s="111"/>
      <c r="FRF11" s="111"/>
      <c r="FRG11" s="111"/>
      <c r="FRH11" s="111"/>
      <c r="FRI11" s="111"/>
      <c r="FRJ11" s="111"/>
      <c r="FRK11" s="111"/>
      <c r="FRL11" s="111"/>
      <c r="FRM11" s="111"/>
      <c r="FRN11" s="111"/>
      <c r="FRO11" s="111"/>
      <c r="FRP11" s="111"/>
      <c r="FRQ11" s="111"/>
      <c r="FRR11" s="111"/>
      <c r="FRS11" s="111"/>
      <c r="FRT11" s="111"/>
      <c r="FRU11" s="111"/>
      <c r="FRV11" s="111"/>
      <c r="FRW11" s="111"/>
      <c r="FRX11" s="111"/>
      <c r="FRY11" s="111"/>
      <c r="FRZ11" s="111"/>
      <c r="FSA11" s="111"/>
      <c r="FSB11" s="111"/>
      <c r="FSC11" s="111"/>
      <c r="FSD11" s="111"/>
      <c r="FSE11" s="111"/>
      <c r="FSF11" s="111"/>
      <c r="FSG11" s="111"/>
      <c r="FSH11" s="111"/>
      <c r="FSI11" s="111"/>
      <c r="FSJ11" s="111"/>
      <c r="FSK11" s="111"/>
      <c r="FSL11" s="111"/>
      <c r="FSM11" s="111"/>
      <c r="FSN11" s="111"/>
      <c r="FSO11" s="111"/>
      <c r="FSP11" s="111"/>
      <c r="FSQ11" s="111"/>
      <c r="FSR11" s="111"/>
      <c r="FSS11" s="111"/>
      <c r="FST11" s="111"/>
      <c r="FSU11" s="111"/>
      <c r="FSV11" s="111"/>
      <c r="FSW11" s="111"/>
      <c r="FSX11" s="111"/>
      <c r="FSY11" s="111"/>
      <c r="FSZ11" s="111"/>
      <c r="FTA11" s="111"/>
      <c r="FTB11" s="111"/>
      <c r="FTC11" s="111"/>
      <c r="FTD11" s="111"/>
      <c r="FTE11" s="111"/>
      <c r="FTF11" s="111"/>
      <c r="FTG11" s="111"/>
      <c r="FTH11" s="111"/>
      <c r="FTI11" s="111"/>
      <c r="FTJ11" s="111"/>
      <c r="FTK11" s="111"/>
      <c r="FTL11" s="111"/>
      <c r="FTM11" s="111"/>
      <c r="FTN11" s="111"/>
      <c r="FTO11" s="111"/>
      <c r="FTP11" s="111"/>
      <c r="FTQ11" s="111"/>
      <c r="FTR11" s="111"/>
      <c r="FTS11" s="111"/>
      <c r="FTT11" s="111"/>
      <c r="FTU11" s="111"/>
      <c r="FTV11" s="111"/>
      <c r="FTW11" s="111"/>
      <c r="FTX11" s="111"/>
      <c r="FTY11" s="111"/>
      <c r="FTZ11" s="111"/>
      <c r="FUA11" s="111"/>
      <c r="FUB11" s="111"/>
      <c r="FUC11" s="111"/>
      <c r="FUD11" s="111"/>
      <c r="FUE11" s="111"/>
      <c r="FUF11" s="111"/>
      <c r="FUG11" s="111"/>
      <c r="FUH11" s="111"/>
      <c r="FUI11" s="111"/>
      <c r="FUJ11" s="111"/>
      <c r="FUK11" s="111"/>
      <c r="FUL11" s="111"/>
      <c r="FUM11" s="111"/>
      <c r="FUN11" s="111"/>
      <c r="FUO11" s="111"/>
      <c r="FUP11" s="111"/>
      <c r="FUQ11" s="111"/>
      <c r="FUR11" s="111"/>
      <c r="FUS11" s="111"/>
      <c r="FUT11" s="111"/>
      <c r="FUU11" s="111"/>
      <c r="FUV11" s="111"/>
      <c r="FUW11" s="111"/>
      <c r="FUX11" s="111"/>
      <c r="FUY11" s="111"/>
      <c r="FUZ11" s="111"/>
      <c r="FVA11" s="111"/>
      <c r="FVB11" s="111"/>
      <c r="FVC11" s="111"/>
      <c r="FVD11" s="111"/>
      <c r="FVE11" s="111"/>
      <c r="FVF11" s="111"/>
      <c r="FVG11" s="111"/>
      <c r="FVH11" s="111"/>
      <c r="FVI11" s="111"/>
      <c r="FVJ11" s="111"/>
      <c r="FVK11" s="111"/>
      <c r="FVL11" s="111"/>
      <c r="FVM11" s="111"/>
      <c r="FVN11" s="111"/>
      <c r="FVO11" s="111"/>
      <c r="FVP11" s="111"/>
      <c r="FVQ11" s="111"/>
      <c r="FVR11" s="111"/>
      <c r="FVS11" s="111"/>
      <c r="FVT11" s="111"/>
      <c r="FVU11" s="111"/>
      <c r="FVV11" s="111"/>
      <c r="FVW11" s="111"/>
      <c r="FVX11" s="111"/>
      <c r="FVY11" s="111"/>
      <c r="FVZ11" s="111"/>
      <c r="FWA11" s="111"/>
      <c r="FWB11" s="111"/>
      <c r="FWC11" s="111"/>
      <c r="FWD11" s="111"/>
      <c r="FWE11" s="111"/>
      <c r="FWF11" s="111"/>
      <c r="FWG11" s="111"/>
      <c r="FWH11" s="111"/>
      <c r="FWI11" s="111"/>
      <c r="FWJ11" s="111"/>
      <c r="FWK11" s="111"/>
      <c r="FWL11" s="111"/>
      <c r="FWM11" s="111"/>
      <c r="FWN11" s="111"/>
      <c r="FWO11" s="111"/>
      <c r="FWP11" s="111"/>
      <c r="FWQ11" s="111"/>
      <c r="FWR11" s="111"/>
      <c r="FWS11" s="111"/>
      <c r="FWT11" s="111"/>
      <c r="FWU11" s="111"/>
      <c r="FWV11" s="111"/>
      <c r="FWW11" s="111"/>
      <c r="FWX11" s="111"/>
      <c r="FWY11" s="111"/>
      <c r="FWZ11" s="111"/>
      <c r="FXA11" s="111"/>
      <c r="FXB11" s="111"/>
      <c r="FXC11" s="111"/>
      <c r="FXD11" s="111"/>
      <c r="FXE11" s="111"/>
      <c r="FXF11" s="111"/>
      <c r="FXG11" s="111"/>
      <c r="FXH11" s="111"/>
      <c r="FXI11" s="111"/>
      <c r="FXJ11" s="111"/>
      <c r="FXK11" s="111"/>
      <c r="FXL11" s="111"/>
      <c r="FXM11" s="111"/>
      <c r="FXN11" s="111"/>
      <c r="FXO11" s="111"/>
      <c r="FXP11" s="111"/>
      <c r="FXQ11" s="111"/>
      <c r="FXR11" s="111"/>
      <c r="FXS11" s="111"/>
      <c r="FXT11" s="111"/>
      <c r="FXU11" s="111"/>
      <c r="FXV11" s="111"/>
      <c r="FXW11" s="111"/>
      <c r="FXX11" s="111"/>
      <c r="FXY11" s="111"/>
      <c r="FXZ11" s="111"/>
      <c r="FYA11" s="111"/>
      <c r="FYB11" s="111"/>
      <c r="FYC11" s="111"/>
      <c r="FYD11" s="111"/>
      <c r="FYE11" s="111"/>
      <c r="FYF11" s="111"/>
      <c r="FYG11" s="111"/>
      <c r="FYH11" s="111"/>
      <c r="FYI11" s="111"/>
      <c r="FYJ11" s="111"/>
      <c r="FYK11" s="111"/>
      <c r="FYL11" s="111"/>
      <c r="FYM11" s="111"/>
      <c r="FYN11" s="111"/>
      <c r="FYO11" s="111"/>
      <c r="FYP11" s="111"/>
      <c r="FYQ11" s="111"/>
      <c r="FYR11" s="111"/>
      <c r="FYS11" s="111"/>
      <c r="FYT11" s="111"/>
      <c r="FYU11" s="111"/>
      <c r="FYV11" s="111"/>
      <c r="FYW11" s="111"/>
      <c r="FYX11" s="111"/>
      <c r="FYY11" s="111"/>
      <c r="FYZ11" s="111"/>
      <c r="FZA11" s="111"/>
      <c r="FZB11" s="111"/>
      <c r="FZC11" s="111"/>
      <c r="FZD11" s="111"/>
      <c r="FZE11" s="111"/>
      <c r="FZF11" s="111"/>
      <c r="FZG11" s="111"/>
      <c r="FZH11" s="111"/>
      <c r="FZI11" s="111"/>
      <c r="FZJ11" s="111"/>
      <c r="FZK11" s="111"/>
      <c r="FZL11" s="111"/>
      <c r="FZM11" s="111"/>
      <c r="FZN11" s="111"/>
      <c r="FZO11" s="111"/>
      <c r="FZP11" s="111"/>
      <c r="FZQ11" s="111"/>
      <c r="FZR11" s="111"/>
      <c r="FZS11" s="111"/>
      <c r="FZT11" s="111"/>
      <c r="FZU11" s="111"/>
      <c r="FZV11" s="111"/>
      <c r="FZW11" s="111"/>
      <c r="FZX11" s="111"/>
      <c r="FZY11" s="111"/>
      <c r="FZZ11" s="111"/>
      <c r="GAA11" s="111"/>
      <c r="GAB11" s="111"/>
      <c r="GAC11" s="111"/>
      <c r="GAD11" s="111"/>
      <c r="GAE11" s="111"/>
      <c r="GAF11" s="111"/>
      <c r="GAG11" s="111"/>
      <c r="GAH11" s="111"/>
      <c r="GAI11" s="111"/>
      <c r="GAJ11" s="111"/>
      <c r="GAK11" s="111"/>
      <c r="GAL11" s="111"/>
      <c r="GAM11" s="111"/>
      <c r="GAN11" s="111"/>
      <c r="GAO11" s="111"/>
      <c r="GAP11" s="111"/>
      <c r="GAQ11" s="111"/>
      <c r="GAR11" s="111"/>
      <c r="GAS11" s="111"/>
      <c r="GAT11" s="111"/>
      <c r="GAU11" s="111"/>
      <c r="GAV11" s="111"/>
      <c r="GAW11" s="111"/>
      <c r="GAX11" s="111"/>
      <c r="GAY11" s="111"/>
      <c r="GAZ11" s="111"/>
      <c r="GBA11" s="111"/>
      <c r="GBB11" s="111"/>
      <c r="GBC11" s="111"/>
      <c r="GBD11" s="111"/>
      <c r="GBE11" s="111"/>
      <c r="GBF11" s="111"/>
      <c r="GBG11" s="111"/>
      <c r="GBH11" s="111"/>
      <c r="GBI11" s="111"/>
      <c r="GBJ11" s="111"/>
      <c r="GBK11" s="111"/>
      <c r="GBL11" s="111"/>
      <c r="GBM11" s="111"/>
      <c r="GBN11" s="111"/>
      <c r="GBO11" s="111"/>
      <c r="GBP11" s="111"/>
      <c r="GBQ11" s="111"/>
      <c r="GBR11" s="111"/>
      <c r="GBS11" s="111"/>
      <c r="GBT11" s="111"/>
      <c r="GBU11" s="111"/>
      <c r="GBV11" s="111"/>
      <c r="GBW11" s="111"/>
      <c r="GBX11" s="111"/>
      <c r="GBY11" s="111"/>
      <c r="GBZ11" s="111"/>
      <c r="GCA11" s="111"/>
      <c r="GCB11" s="111"/>
      <c r="GCC11" s="111"/>
      <c r="GCD11" s="111"/>
      <c r="GCE11" s="111"/>
      <c r="GCF11" s="111"/>
      <c r="GCG11" s="111"/>
      <c r="GCH11" s="111"/>
      <c r="GCI11" s="111"/>
      <c r="GCJ11" s="111"/>
      <c r="GCK11" s="111"/>
      <c r="GCL11" s="111"/>
      <c r="GCM11" s="111"/>
      <c r="GCN11" s="111"/>
      <c r="GCO11" s="111"/>
      <c r="GCP11" s="111"/>
      <c r="GCQ11" s="111"/>
      <c r="GCR11" s="111"/>
      <c r="GCS11" s="111"/>
      <c r="GCT11" s="111"/>
      <c r="GCU11" s="111"/>
      <c r="GCV11" s="111"/>
      <c r="GCW11" s="111"/>
      <c r="GCX11" s="111"/>
      <c r="GCY11" s="111"/>
      <c r="GCZ11" s="111"/>
      <c r="GDA11" s="111"/>
      <c r="GDB11" s="111"/>
      <c r="GDC11" s="111"/>
      <c r="GDD11" s="111"/>
      <c r="GDE11" s="111"/>
      <c r="GDF11" s="111"/>
      <c r="GDG11" s="111"/>
      <c r="GDH11" s="111"/>
      <c r="GDI11" s="111"/>
      <c r="GDJ11" s="111"/>
      <c r="GDK11" s="111"/>
      <c r="GDL11" s="111"/>
      <c r="GDM11" s="111"/>
      <c r="GDN11" s="111"/>
      <c r="GDO11" s="111"/>
      <c r="GDP11" s="111"/>
      <c r="GDQ11" s="111"/>
      <c r="GDR11" s="111"/>
      <c r="GDS11" s="111"/>
      <c r="GDT11" s="111"/>
      <c r="GDU11" s="111"/>
      <c r="GDV11" s="111"/>
      <c r="GDW11" s="111"/>
      <c r="GDX11" s="111"/>
      <c r="GDY11" s="111"/>
      <c r="GDZ11" s="111"/>
      <c r="GEA11" s="111"/>
      <c r="GEB11" s="111"/>
      <c r="GEC11" s="111"/>
      <c r="GED11" s="111"/>
      <c r="GEE11" s="111"/>
      <c r="GEF11" s="111"/>
      <c r="GEG11" s="111"/>
      <c r="GEH11" s="111"/>
      <c r="GEI11" s="111"/>
      <c r="GEJ11" s="111"/>
      <c r="GEK11" s="111"/>
      <c r="GEL11" s="111"/>
      <c r="GEM11" s="111"/>
      <c r="GEN11" s="111"/>
      <c r="GEO11" s="111"/>
      <c r="GEP11" s="111"/>
      <c r="GEQ11" s="111"/>
      <c r="GER11" s="111"/>
      <c r="GES11" s="111"/>
      <c r="GET11" s="111"/>
      <c r="GEU11" s="111"/>
      <c r="GEV11" s="111"/>
      <c r="GEW11" s="111"/>
      <c r="GEX11" s="111"/>
      <c r="GEY11" s="111"/>
      <c r="GEZ11" s="111"/>
      <c r="GFA11" s="111"/>
      <c r="GFB11" s="111"/>
      <c r="GFC11" s="111"/>
      <c r="GFD11" s="111"/>
      <c r="GFE11" s="111"/>
      <c r="GFF11" s="111"/>
      <c r="GFG11" s="111"/>
      <c r="GFH11" s="111"/>
      <c r="GFI11" s="111"/>
      <c r="GFJ11" s="111"/>
      <c r="GFK11" s="111"/>
      <c r="GFL11" s="111"/>
      <c r="GFM11" s="111"/>
      <c r="GFN11" s="111"/>
      <c r="GFO11" s="111"/>
      <c r="GFP11" s="111"/>
      <c r="GFQ11" s="111"/>
      <c r="GFR11" s="111"/>
      <c r="GFS11" s="111"/>
      <c r="GFT11" s="111"/>
      <c r="GFU11" s="111"/>
      <c r="GFV11" s="111"/>
      <c r="GFW11" s="111"/>
      <c r="GFX11" s="111"/>
      <c r="GFY11" s="111"/>
      <c r="GFZ11" s="111"/>
      <c r="GGA11" s="111"/>
      <c r="GGB11" s="111"/>
      <c r="GGC11" s="111"/>
      <c r="GGD11" s="111"/>
      <c r="GGE11" s="111"/>
      <c r="GGF11" s="111"/>
      <c r="GGG11" s="111"/>
      <c r="GGH11" s="111"/>
      <c r="GGI11" s="111"/>
      <c r="GGJ11" s="111"/>
      <c r="GGK11" s="111"/>
      <c r="GGL11" s="111"/>
      <c r="GGM11" s="111"/>
      <c r="GGN11" s="111"/>
      <c r="GGO11" s="111"/>
      <c r="GGP11" s="111"/>
      <c r="GGQ11" s="111"/>
      <c r="GGR11" s="111"/>
      <c r="GGS11" s="111"/>
      <c r="GGT11" s="111"/>
      <c r="GGU11" s="111"/>
      <c r="GGV11" s="111"/>
      <c r="GGW11" s="111"/>
      <c r="GGX11" s="111"/>
      <c r="GGY11" s="111"/>
      <c r="GGZ11" s="111"/>
      <c r="GHA11" s="111"/>
      <c r="GHB11" s="111"/>
      <c r="GHC11" s="111"/>
      <c r="GHD11" s="111"/>
      <c r="GHE11" s="111"/>
      <c r="GHF11" s="111"/>
      <c r="GHG11" s="111"/>
      <c r="GHH11" s="111"/>
      <c r="GHI11" s="111"/>
      <c r="GHJ11" s="111"/>
      <c r="GHK11" s="111"/>
      <c r="GHL11" s="111"/>
      <c r="GHM11" s="111"/>
      <c r="GHN11" s="111"/>
      <c r="GHO11" s="111"/>
      <c r="GHP11" s="111"/>
      <c r="GHQ11" s="111"/>
      <c r="GHR11" s="111"/>
      <c r="GHS11" s="111"/>
      <c r="GHT11" s="111"/>
      <c r="GHU11" s="111"/>
      <c r="GHV11" s="111"/>
      <c r="GHW11" s="111"/>
      <c r="GHX11" s="111"/>
      <c r="GHY11" s="111"/>
      <c r="GHZ11" s="111"/>
      <c r="GIA11" s="111"/>
      <c r="GIB11" s="111"/>
      <c r="GIC11" s="111"/>
      <c r="GID11" s="111"/>
      <c r="GIE11" s="111"/>
      <c r="GIF11" s="111"/>
      <c r="GIG11" s="111"/>
      <c r="GIH11" s="111"/>
      <c r="GII11" s="111"/>
      <c r="GIJ11" s="111"/>
      <c r="GIK11" s="111"/>
      <c r="GIL11" s="111"/>
      <c r="GIM11" s="111"/>
      <c r="GIN11" s="111"/>
      <c r="GIO11" s="111"/>
      <c r="GIP11" s="111"/>
      <c r="GIQ11" s="111"/>
      <c r="GIR11" s="111"/>
      <c r="GIS11" s="111"/>
      <c r="GIT11" s="111"/>
      <c r="GIU11" s="111"/>
      <c r="GIV11" s="111"/>
      <c r="GIW11" s="111"/>
      <c r="GIX11" s="111"/>
      <c r="GIY11" s="111"/>
      <c r="GIZ11" s="111"/>
      <c r="GJA11" s="111"/>
      <c r="GJB11" s="111"/>
      <c r="GJC11" s="111"/>
      <c r="GJD11" s="111"/>
      <c r="GJE11" s="111"/>
      <c r="GJF11" s="111"/>
      <c r="GJG11" s="111"/>
      <c r="GJH11" s="111"/>
      <c r="GJI11" s="111"/>
      <c r="GJJ11" s="111"/>
      <c r="GJK11" s="111"/>
      <c r="GJL11" s="111"/>
      <c r="GJM11" s="111"/>
      <c r="GJN11" s="111"/>
      <c r="GJO11" s="111"/>
      <c r="GJP11" s="111"/>
      <c r="GJQ11" s="111"/>
      <c r="GJR11" s="111"/>
      <c r="GJS11" s="111"/>
      <c r="GJT11" s="111"/>
      <c r="GJU11" s="111"/>
      <c r="GJV11" s="111"/>
      <c r="GJW11" s="111"/>
      <c r="GJX11" s="111"/>
      <c r="GJY11" s="111"/>
      <c r="GJZ11" s="111"/>
      <c r="GKA11" s="111"/>
      <c r="GKB11" s="111"/>
      <c r="GKC11" s="111"/>
      <c r="GKD11" s="111"/>
      <c r="GKE11" s="111"/>
      <c r="GKF11" s="111"/>
      <c r="GKG11" s="111"/>
      <c r="GKH11" s="111"/>
      <c r="GKI11" s="111"/>
      <c r="GKJ11" s="111"/>
      <c r="GKK11" s="111"/>
      <c r="GKL11" s="111"/>
      <c r="GKM11" s="111"/>
      <c r="GKN11" s="111"/>
      <c r="GKO11" s="111"/>
      <c r="GKP11" s="111"/>
      <c r="GKQ11" s="111"/>
      <c r="GKR11" s="111"/>
      <c r="GKS11" s="111"/>
      <c r="GKT11" s="111"/>
      <c r="GKU11" s="111"/>
      <c r="GKV11" s="111"/>
      <c r="GKW11" s="111"/>
      <c r="GKX11" s="111"/>
      <c r="GKY11" s="111"/>
      <c r="GKZ11" s="111"/>
      <c r="GLA11" s="111"/>
      <c r="GLB11" s="111"/>
      <c r="GLC11" s="111"/>
      <c r="GLD11" s="111"/>
      <c r="GLE11" s="111"/>
      <c r="GLF11" s="111"/>
      <c r="GLG11" s="111"/>
      <c r="GLH11" s="111"/>
      <c r="GLI11" s="111"/>
      <c r="GLJ11" s="111"/>
      <c r="GLK11" s="111"/>
      <c r="GLL11" s="111"/>
      <c r="GLM11" s="111"/>
      <c r="GLN11" s="111"/>
      <c r="GLO11" s="111"/>
      <c r="GLP11" s="111"/>
      <c r="GLQ11" s="111"/>
      <c r="GLR11" s="111"/>
      <c r="GLS11" s="111"/>
      <c r="GLT11" s="111"/>
      <c r="GLU11" s="111"/>
      <c r="GLV11" s="111"/>
      <c r="GLW11" s="111"/>
      <c r="GLX11" s="111"/>
      <c r="GLY11" s="111"/>
      <c r="GLZ11" s="111"/>
      <c r="GMA11" s="111"/>
      <c r="GMB11" s="111"/>
      <c r="GMC11" s="111"/>
      <c r="GMD11" s="111"/>
      <c r="GME11" s="111"/>
      <c r="GMF11" s="111"/>
      <c r="GMG11" s="111"/>
      <c r="GMH11" s="111"/>
      <c r="GMI11" s="111"/>
      <c r="GMJ11" s="111"/>
      <c r="GMK11" s="111"/>
      <c r="GML11" s="111"/>
      <c r="GMM11" s="111"/>
      <c r="GMN11" s="111"/>
      <c r="GMO11" s="111"/>
      <c r="GMP11" s="111"/>
      <c r="GMQ11" s="111"/>
      <c r="GMR11" s="111"/>
      <c r="GMS11" s="111"/>
      <c r="GMT11" s="111"/>
      <c r="GMU11" s="111"/>
      <c r="GMV11" s="111"/>
      <c r="GMW11" s="111"/>
      <c r="GMX11" s="111"/>
      <c r="GMY11" s="111"/>
      <c r="GMZ11" s="111"/>
      <c r="GNA11" s="111"/>
      <c r="GNB11" s="111"/>
      <c r="GNC11" s="111"/>
      <c r="GND11" s="111"/>
      <c r="GNE11" s="111"/>
      <c r="GNF11" s="111"/>
      <c r="GNG11" s="111"/>
      <c r="GNH11" s="111"/>
      <c r="GNI11" s="111"/>
      <c r="GNJ11" s="111"/>
      <c r="GNK11" s="111"/>
      <c r="GNL11" s="111"/>
      <c r="GNM11" s="111"/>
      <c r="GNN11" s="111"/>
      <c r="GNO11" s="111"/>
      <c r="GNP11" s="111"/>
      <c r="GNQ11" s="111"/>
      <c r="GNR11" s="111"/>
      <c r="GNS11" s="111"/>
      <c r="GNT11" s="111"/>
      <c r="GNU11" s="111"/>
      <c r="GNV11" s="111"/>
      <c r="GNW11" s="111"/>
      <c r="GNX11" s="111"/>
      <c r="GNY11" s="111"/>
      <c r="GNZ11" s="111"/>
      <c r="GOA11" s="111"/>
      <c r="GOB11" s="111"/>
      <c r="GOC11" s="111"/>
      <c r="GOD11" s="111"/>
      <c r="GOE11" s="111"/>
      <c r="GOF11" s="111"/>
      <c r="GOG11" s="111"/>
      <c r="GOH11" s="111"/>
      <c r="GOI11" s="111"/>
      <c r="GOJ11" s="111"/>
      <c r="GOK11" s="111"/>
      <c r="GOL11" s="111"/>
      <c r="GOM11" s="111"/>
      <c r="GON11" s="111"/>
      <c r="GOO11" s="111"/>
      <c r="GOP11" s="111"/>
      <c r="GOQ11" s="111"/>
      <c r="GOR11" s="111"/>
      <c r="GOS11" s="111"/>
      <c r="GOT11" s="111"/>
      <c r="GOU11" s="111"/>
      <c r="GOV11" s="111"/>
      <c r="GOW11" s="111"/>
      <c r="GOX11" s="111"/>
      <c r="GOY11" s="111"/>
      <c r="GOZ11" s="111"/>
      <c r="GPA11" s="111"/>
      <c r="GPB11" s="111"/>
      <c r="GPC11" s="111"/>
      <c r="GPD11" s="111"/>
      <c r="GPE11" s="111"/>
      <c r="GPF11" s="111"/>
      <c r="GPG11" s="111"/>
      <c r="GPH11" s="111"/>
      <c r="GPI11" s="111"/>
      <c r="GPJ11" s="111"/>
      <c r="GPK11" s="111"/>
      <c r="GPL11" s="111"/>
      <c r="GPM11" s="111"/>
      <c r="GPN11" s="111"/>
      <c r="GPO11" s="111"/>
      <c r="GPP11" s="111"/>
      <c r="GPQ11" s="111"/>
      <c r="GPR11" s="111"/>
      <c r="GPS11" s="111"/>
      <c r="GPT11" s="111"/>
      <c r="GPU11" s="111"/>
      <c r="GPV11" s="111"/>
      <c r="GPW11" s="111"/>
      <c r="GPX11" s="111"/>
      <c r="GPY11" s="111"/>
      <c r="GPZ11" s="111"/>
      <c r="GQA11" s="111"/>
      <c r="GQB11" s="111"/>
      <c r="GQC11" s="111"/>
      <c r="GQD11" s="111"/>
      <c r="GQE11" s="111"/>
      <c r="GQF11" s="111"/>
      <c r="GQG11" s="111"/>
      <c r="GQH11" s="111"/>
      <c r="GQI11" s="111"/>
      <c r="GQJ11" s="111"/>
      <c r="GQK11" s="111"/>
      <c r="GQL11" s="111"/>
      <c r="GQM11" s="111"/>
      <c r="GQN11" s="111"/>
      <c r="GQO11" s="111"/>
      <c r="GQP11" s="111"/>
      <c r="GQQ11" s="111"/>
      <c r="GQR11" s="111"/>
      <c r="GQS11" s="111"/>
      <c r="GQT11" s="111"/>
      <c r="GQU11" s="111"/>
      <c r="GQV11" s="111"/>
      <c r="GQW11" s="111"/>
      <c r="GQX11" s="111"/>
      <c r="GQY11" s="111"/>
      <c r="GQZ11" s="111"/>
      <c r="GRA11" s="111"/>
      <c r="GRB11" s="111"/>
      <c r="GRC11" s="111"/>
      <c r="GRD11" s="111"/>
      <c r="GRE11" s="111"/>
      <c r="GRF11" s="111"/>
      <c r="GRG11" s="111"/>
      <c r="GRH11" s="111"/>
      <c r="GRI11" s="111"/>
      <c r="GRJ11" s="111"/>
      <c r="GRK11" s="111"/>
      <c r="GRL11" s="111"/>
      <c r="GRM11" s="111"/>
      <c r="GRN11" s="111"/>
      <c r="GRO11" s="111"/>
      <c r="GRP11" s="111"/>
      <c r="GRQ11" s="111"/>
      <c r="GRR11" s="111"/>
      <c r="GRS11" s="111"/>
      <c r="GRT11" s="111"/>
      <c r="GRU11" s="111"/>
      <c r="GRV11" s="111"/>
      <c r="GRW11" s="111"/>
      <c r="GRX11" s="111"/>
      <c r="GRY11" s="111"/>
      <c r="GRZ11" s="111"/>
      <c r="GSA11" s="111"/>
      <c r="GSB11" s="111"/>
      <c r="GSC11" s="111"/>
      <c r="GSD11" s="111"/>
      <c r="GSE11" s="111"/>
      <c r="GSF11" s="111"/>
      <c r="GSG11" s="111"/>
      <c r="GSH11" s="111"/>
      <c r="GSI11" s="111"/>
      <c r="GSJ11" s="111"/>
      <c r="GSK11" s="111"/>
      <c r="GSL11" s="111"/>
      <c r="GSM11" s="111"/>
      <c r="GSN11" s="111"/>
      <c r="GSO11" s="111"/>
      <c r="GSP11" s="111"/>
      <c r="GSQ11" s="111"/>
      <c r="GSR11" s="111"/>
      <c r="GSS11" s="111"/>
      <c r="GST11" s="111"/>
      <c r="GSU11" s="111"/>
      <c r="GSV11" s="111"/>
      <c r="GSW11" s="111"/>
      <c r="GSX11" s="111"/>
      <c r="GSY11" s="111"/>
      <c r="GSZ11" s="111"/>
      <c r="GTA11" s="111"/>
      <c r="GTB11" s="111"/>
      <c r="GTC11" s="111"/>
      <c r="GTD11" s="111"/>
      <c r="GTE11" s="111"/>
      <c r="GTF11" s="111"/>
      <c r="GTG11" s="111"/>
      <c r="GTH11" s="111"/>
      <c r="GTI11" s="111"/>
      <c r="GTJ11" s="111"/>
      <c r="GTK11" s="111"/>
      <c r="GTL11" s="111"/>
      <c r="GTM11" s="111"/>
      <c r="GTN11" s="111"/>
      <c r="GTO11" s="111"/>
      <c r="GTP11" s="111"/>
      <c r="GTQ11" s="111"/>
      <c r="GTR11" s="111"/>
      <c r="GTS11" s="111"/>
      <c r="GTT11" s="111"/>
      <c r="GTU11" s="111"/>
      <c r="GTV11" s="111"/>
      <c r="GTW11" s="111"/>
      <c r="GTX11" s="111"/>
      <c r="GTY11" s="111"/>
      <c r="GTZ11" s="111"/>
      <c r="GUA11" s="111"/>
      <c r="GUB11" s="111"/>
      <c r="GUC11" s="111"/>
      <c r="GUD11" s="111"/>
      <c r="GUE11" s="111"/>
      <c r="GUF11" s="111"/>
      <c r="GUG11" s="111"/>
      <c r="GUH11" s="111"/>
      <c r="GUI11" s="111"/>
      <c r="GUJ11" s="111"/>
      <c r="GUK11" s="111"/>
      <c r="GUL11" s="111"/>
      <c r="GUM11" s="111"/>
      <c r="GUN11" s="111"/>
      <c r="GUO11" s="111"/>
      <c r="GUP11" s="111"/>
      <c r="GUQ11" s="111"/>
      <c r="GUR11" s="111"/>
      <c r="GUS11" s="111"/>
      <c r="GUT11" s="111"/>
      <c r="GUU11" s="111"/>
      <c r="GUV11" s="111"/>
      <c r="GUW11" s="111"/>
      <c r="GUX11" s="111"/>
      <c r="GUY11" s="111"/>
      <c r="GUZ11" s="111"/>
      <c r="GVA11" s="111"/>
      <c r="GVB11" s="111"/>
      <c r="GVC11" s="111"/>
      <c r="GVD11" s="111"/>
      <c r="GVE11" s="111"/>
      <c r="GVF11" s="111"/>
      <c r="GVG11" s="111"/>
      <c r="GVH11" s="111"/>
      <c r="GVI11" s="111"/>
      <c r="GVJ11" s="111"/>
      <c r="GVK11" s="111"/>
      <c r="GVL11" s="111"/>
      <c r="GVM11" s="111"/>
      <c r="GVN11" s="111"/>
      <c r="GVO11" s="111"/>
      <c r="GVP11" s="111"/>
      <c r="GVQ11" s="111"/>
      <c r="GVR11" s="111"/>
      <c r="GVS11" s="111"/>
      <c r="GVT11" s="111"/>
      <c r="GVU11" s="111"/>
      <c r="GVV11" s="111"/>
      <c r="GVW11" s="111"/>
      <c r="GVX11" s="111"/>
      <c r="GVY11" s="111"/>
      <c r="GVZ11" s="111"/>
      <c r="GWA11" s="111"/>
      <c r="GWB11" s="111"/>
      <c r="GWC11" s="111"/>
      <c r="GWD11" s="111"/>
      <c r="GWE11" s="111"/>
      <c r="GWF11" s="111"/>
      <c r="GWG11" s="111"/>
      <c r="GWH11" s="111"/>
      <c r="GWI11" s="111"/>
      <c r="GWJ11" s="111"/>
      <c r="GWK11" s="111"/>
      <c r="GWL11" s="111"/>
      <c r="GWM11" s="111"/>
      <c r="GWN11" s="111"/>
      <c r="GWO11" s="111"/>
      <c r="GWP11" s="111"/>
      <c r="GWQ11" s="111"/>
      <c r="GWR11" s="111"/>
      <c r="GWS11" s="111"/>
      <c r="GWT11" s="111"/>
      <c r="GWU11" s="111"/>
      <c r="GWV11" s="111"/>
      <c r="GWW11" s="111"/>
      <c r="GWX11" s="111"/>
      <c r="GWY11" s="111"/>
      <c r="GWZ11" s="111"/>
      <c r="GXA11" s="111"/>
      <c r="GXB11" s="111"/>
      <c r="GXC11" s="111"/>
      <c r="GXD11" s="111"/>
      <c r="GXE11" s="111"/>
      <c r="GXF11" s="111"/>
      <c r="GXG11" s="111"/>
      <c r="GXH11" s="111"/>
      <c r="GXI11" s="111"/>
      <c r="GXJ11" s="111"/>
      <c r="GXK11" s="111"/>
      <c r="GXL11" s="111"/>
      <c r="GXM11" s="111"/>
      <c r="GXN11" s="111"/>
      <c r="GXO11" s="111"/>
      <c r="GXP11" s="111"/>
      <c r="GXQ11" s="111"/>
      <c r="GXR11" s="111"/>
      <c r="GXS11" s="111"/>
      <c r="GXT11" s="111"/>
      <c r="GXU11" s="111"/>
      <c r="GXV11" s="111"/>
      <c r="GXW11" s="111"/>
      <c r="GXX11" s="111"/>
      <c r="GXY11" s="111"/>
      <c r="GXZ11" s="111"/>
      <c r="GYA11" s="111"/>
      <c r="GYB11" s="111"/>
      <c r="GYC11" s="111"/>
      <c r="GYD11" s="111"/>
      <c r="GYE11" s="111"/>
      <c r="GYF11" s="111"/>
      <c r="GYG11" s="111"/>
      <c r="GYH11" s="111"/>
      <c r="GYI11" s="111"/>
      <c r="GYJ11" s="111"/>
      <c r="GYK11" s="111"/>
      <c r="GYL11" s="111"/>
      <c r="GYM11" s="111"/>
      <c r="GYN11" s="111"/>
      <c r="GYO11" s="111"/>
      <c r="GYP11" s="111"/>
      <c r="GYQ11" s="111"/>
      <c r="GYR11" s="111"/>
      <c r="GYS11" s="111"/>
      <c r="GYT11" s="111"/>
      <c r="GYU11" s="111"/>
      <c r="GYV11" s="111"/>
      <c r="GYW11" s="111"/>
      <c r="GYX11" s="111"/>
      <c r="GYY11" s="111"/>
      <c r="GYZ11" s="111"/>
      <c r="GZA11" s="111"/>
      <c r="GZB11" s="111"/>
      <c r="GZC11" s="111"/>
      <c r="GZD11" s="111"/>
      <c r="GZE11" s="111"/>
      <c r="GZF11" s="111"/>
      <c r="GZG11" s="111"/>
      <c r="GZH11" s="111"/>
      <c r="GZI11" s="111"/>
      <c r="GZJ11" s="111"/>
      <c r="GZK11" s="111"/>
      <c r="GZL11" s="111"/>
      <c r="GZM11" s="111"/>
      <c r="GZN11" s="111"/>
      <c r="GZO11" s="111"/>
      <c r="GZP11" s="111"/>
      <c r="GZQ11" s="111"/>
      <c r="GZR11" s="111"/>
      <c r="GZS11" s="111"/>
      <c r="GZT11" s="111"/>
      <c r="GZU11" s="111"/>
      <c r="GZV11" s="111"/>
      <c r="GZW11" s="111"/>
      <c r="GZX11" s="111"/>
      <c r="GZY11" s="111"/>
      <c r="GZZ11" s="111"/>
      <c r="HAA11" s="111"/>
      <c r="HAB11" s="111"/>
      <c r="HAC11" s="111"/>
      <c r="HAD11" s="111"/>
      <c r="HAE11" s="111"/>
      <c r="HAF11" s="111"/>
      <c r="HAG11" s="111"/>
      <c r="HAH11" s="111"/>
      <c r="HAI11" s="111"/>
      <c r="HAJ11" s="111"/>
      <c r="HAK11" s="111"/>
      <c r="HAL11" s="111"/>
      <c r="HAM11" s="111"/>
      <c r="HAN11" s="111"/>
      <c r="HAO11" s="111"/>
      <c r="HAP11" s="111"/>
      <c r="HAQ11" s="111"/>
      <c r="HAR11" s="111"/>
      <c r="HAS11" s="111"/>
      <c r="HAT11" s="111"/>
      <c r="HAU11" s="111"/>
      <c r="HAV11" s="111"/>
      <c r="HAW11" s="111"/>
      <c r="HAX11" s="111"/>
      <c r="HAY11" s="111"/>
      <c r="HAZ11" s="111"/>
      <c r="HBA11" s="111"/>
      <c r="HBB11" s="111"/>
      <c r="HBC11" s="111"/>
      <c r="HBD11" s="111"/>
      <c r="HBE11" s="111"/>
      <c r="HBF11" s="111"/>
      <c r="HBG11" s="111"/>
      <c r="HBH11" s="111"/>
      <c r="HBI11" s="111"/>
      <c r="HBJ11" s="111"/>
      <c r="HBK11" s="111"/>
      <c r="HBL11" s="111"/>
      <c r="HBM11" s="111"/>
      <c r="HBN11" s="111"/>
      <c r="HBO11" s="111"/>
      <c r="HBP11" s="111"/>
      <c r="HBQ11" s="111"/>
      <c r="HBR11" s="111"/>
      <c r="HBS11" s="111"/>
      <c r="HBT11" s="111"/>
      <c r="HBU11" s="111"/>
      <c r="HBV11" s="111"/>
      <c r="HBW11" s="111"/>
      <c r="HBX11" s="111"/>
      <c r="HBY11" s="111"/>
      <c r="HBZ11" s="111"/>
      <c r="HCA11" s="111"/>
      <c r="HCB11" s="111"/>
      <c r="HCC11" s="111"/>
      <c r="HCD11" s="111"/>
      <c r="HCE11" s="111"/>
      <c r="HCF11" s="111"/>
      <c r="HCG11" s="111"/>
      <c r="HCH11" s="111"/>
      <c r="HCI11" s="111"/>
      <c r="HCJ11" s="111"/>
      <c r="HCK11" s="111"/>
      <c r="HCL11" s="111"/>
      <c r="HCM11" s="111"/>
      <c r="HCN11" s="111"/>
      <c r="HCO11" s="111"/>
      <c r="HCP11" s="111"/>
      <c r="HCQ11" s="111"/>
      <c r="HCR11" s="111"/>
      <c r="HCS11" s="111"/>
      <c r="HCT11" s="111"/>
      <c r="HCU11" s="111"/>
      <c r="HCV11" s="111"/>
      <c r="HCW11" s="111"/>
      <c r="HCX11" s="111"/>
      <c r="HCY11" s="111"/>
      <c r="HCZ11" s="111"/>
      <c r="HDA11" s="111"/>
      <c r="HDB11" s="111"/>
      <c r="HDC11" s="111"/>
      <c r="HDD11" s="111"/>
      <c r="HDE11" s="111"/>
      <c r="HDF11" s="111"/>
      <c r="HDG11" s="111"/>
      <c r="HDH11" s="111"/>
      <c r="HDI11" s="111"/>
      <c r="HDJ11" s="111"/>
      <c r="HDK11" s="111"/>
      <c r="HDL11" s="111"/>
      <c r="HDM11" s="111"/>
      <c r="HDN11" s="111"/>
      <c r="HDO11" s="111"/>
      <c r="HDP11" s="111"/>
      <c r="HDQ11" s="111"/>
      <c r="HDR11" s="111"/>
      <c r="HDS11" s="111"/>
      <c r="HDT11" s="111"/>
      <c r="HDU11" s="111"/>
      <c r="HDV11" s="111"/>
      <c r="HDW11" s="111"/>
      <c r="HDX11" s="111"/>
      <c r="HDY11" s="111"/>
      <c r="HDZ11" s="111"/>
      <c r="HEA11" s="111"/>
      <c r="HEB11" s="111"/>
      <c r="HEC11" s="111"/>
      <c r="HED11" s="111"/>
      <c r="HEE11" s="111"/>
      <c r="HEF11" s="111"/>
      <c r="HEG11" s="111"/>
      <c r="HEH11" s="111"/>
      <c r="HEI11" s="111"/>
      <c r="HEJ11" s="111"/>
      <c r="HEK11" s="111"/>
      <c r="HEL11" s="111"/>
      <c r="HEM11" s="111"/>
      <c r="HEN11" s="111"/>
      <c r="HEO11" s="111"/>
      <c r="HEP11" s="111"/>
      <c r="HEQ11" s="111"/>
      <c r="HER11" s="111"/>
      <c r="HES11" s="111"/>
      <c r="HET11" s="111"/>
      <c r="HEU11" s="111"/>
      <c r="HEV11" s="111"/>
      <c r="HEW11" s="111"/>
      <c r="HEX11" s="111"/>
      <c r="HEY11" s="111"/>
      <c r="HEZ11" s="111"/>
      <c r="HFA11" s="111"/>
      <c r="HFB11" s="111"/>
      <c r="HFC11" s="111"/>
      <c r="HFD11" s="111"/>
      <c r="HFE11" s="111"/>
      <c r="HFF11" s="111"/>
      <c r="HFG11" s="111"/>
      <c r="HFH11" s="111"/>
      <c r="HFI11" s="111"/>
      <c r="HFJ11" s="111"/>
      <c r="HFK11" s="111"/>
      <c r="HFL11" s="111"/>
      <c r="HFM11" s="111"/>
      <c r="HFN11" s="111"/>
      <c r="HFO11" s="111"/>
      <c r="HFP11" s="111"/>
      <c r="HFQ11" s="111"/>
      <c r="HFR11" s="111"/>
      <c r="HFS11" s="111"/>
      <c r="HFT11" s="111"/>
      <c r="HFU11" s="111"/>
      <c r="HFV11" s="111"/>
      <c r="HFW11" s="111"/>
      <c r="HFX11" s="111"/>
      <c r="HFY11" s="111"/>
      <c r="HFZ11" s="111"/>
      <c r="HGA11" s="111"/>
      <c r="HGB11" s="111"/>
      <c r="HGC11" s="111"/>
      <c r="HGD11" s="111"/>
      <c r="HGE11" s="111"/>
      <c r="HGF11" s="111"/>
      <c r="HGG11" s="111"/>
      <c r="HGH11" s="111"/>
      <c r="HGI11" s="111"/>
      <c r="HGJ11" s="111"/>
      <c r="HGK11" s="111"/>
      <c r="HGL11" s="111"/>
      <c r="HGM11" s="111"/>
      <c r="HGN11" s="111"/>
      <c r="HGO11" s="111"/>
      <c r="HGP11" s="111"/>
      <c r="HGQ11" s="111"/>
      <c r="HGR11" s="111"/>
      <c r="HGS11" s="111"/>
      <c r="HGT11" s="111"/>
      <c r="HGU11" s="111"/>
      <c r="HGV11" s="111"/>
      <c r="HGW11" s="111"/>
      <c r="HGX11" s="111"/>
      <c r="HGY11" s="111"/>
      <c r="HGZ11" s="111"/>
      <c r="HHA11" s="111"/>
      <c r="HHB11" s="111"/>
      <c r="HHC11" s="111"/>
      <c r="HHD11" s="111"/>
      <c r="HHE11" s="111"/>
      <c r="HHF11" s="111"/>
      <c r="HHG11" s="111"/>
      <c r="HHH11" s="111"/>
      <c r="HHI11" s="111"/>
      <c r="HHJ11" s="111"/>
      <c r="HHK11" s="111"/>
      <c r="HHL11" s="111"/>
      <c r="HHM11" s="111"/>
      <c r="HHN11" s="111"/>
      <c r="HHO11" s="111"/>
      <c r="HHP11" s="111"/>
      <c r="HHQ11" s="111"/>
      <c r="HHR11" s="111"/>
      <c r="HHS11" s="111"/>
      <c r="HHT11" s="111"/>
      <c r="HHU11" s="111"/>
      <c r="HHV11" s="111"/>
      <c r="HHW11" s="111"/>
      <c r="HHX11" s="111"/>
      <c r="HHY11" s="111"/>
      <c r="HHZ11" s="111"/>
      <c r="HIA11" s="111"/>
      <c r="HIB11" s="111"/>
      <c r="HIC11" s="111"/>
      <c r="HID11" s="111"/>
      <c r="HIE11" s="111"/>
      <c r="HIF11" s="111"/>
      <c r="HIG11" s="111"/>
      <c r="HIH11" s="111"/>
      <c r="HII11" s="111"/>
      <c r="HIJ11" s="111"/>
      <c r="HIK11" s="111"/>
      <c r="HIL11" s="111"/>
      <c r="HIM11" s="111"/>
      <c r="HIN11" s="111"/>
      <c r="HIO11" s="111"/>
      <c r="HIP11" s="111"/>
      <c r="HIQ11" s="111"/>
      <c r="HIR11" s="111"/>
      <c r="HIS11" s="111"/>
      <c r="HIT11" s="111"/>
      <c r="HIU11" s="111"/>
      <c r="HIV11" s="111"/>
      <c r="HIW11" s="111"/>
      <c r="HIX11" s="111"/>
      <c r="HIY11" s="111"/>
      <c r="HIZ11" s="111"/>
      <c r="HJA11" s="111"/>
      <c r="HJB11" s="111"/>
      <c r="HJC11" s="111"/>
      <c r="HJD11" s="111"/>
      <c r="HJE11" s="111"/>
      <c r="HJF11" s="111"/>
      <c r="HJG11" s="111"/>
      <c r="HJH11" s="111"/>
      <c r="HJI11" s="111"/>
      <c r="HJJ11" s="111"/>
      <c r="HJK11" s="111"/>
      <c r="HJL11" s="111"/>
      <c r="HJM11" s="111"/>
      <c r="HJN11" s="111"/>
      <c r="HJO11" s="111"/>
      <c r="HJP11" s="111"/>
      <c r="HJQ11" s="111"/>
      <c r="HJR11" s="111"/>
      <c r="HJS11" s="111"/>
      <c r="HJT11" s="111"/>
      <c r="HJU11" s="111"/>
      <c r="HJV11" s="111"/>
      <c r="HJW11" s="111"/>
      <c r="HJX11" s="111"/>
      <c r="HJY11" s="111"/>
      <c r="HJZ11" s="111"/>
      <c r="HKA11" s="111"/>
      <c r="HKB11" s="111"/>
      <c r="HKC11" s="111"/>
      <c r="HKD11" s="111"/>
      <c r="HKE11" s="111"/>
      <c r="HKF11" s="111"/>
      <c r="HKG11" s="111"/>
      <c r="HKH11" s="111"/>
      <c r="HKI11" s="111"/>
      <c r="HKJ11" s="111"/>
      <c r="HKK11" s="111"/>
      <c r="HKL11" s="111"/>
      <c r="HKM11" s="111"/>
      <c r="HKN11" s="111"/>
      <c r="HKO11" s="111"/>
      <c r="HKP11" s="111"/>
      <c r="HKQ11" s="111"/>
      <c r="HKR11" s="111"/>
      <c r="HKS11" s="111"/>
      <c r="HKT11" s="111"/>
      <c r="HKU11" s="111"/>
      <c r="HKV11" s="111"/>
      <c r="HKW11" s="111"/>
      <c r="HKX11" s="111"/>
      <c r="HKY11" s="111"/>
      <c r="HKZ11" s="111"/>
      <c r="HLA11" s="111"/>
      <c r="HLB11" s="111"/>
      <c r="HLC11" s="111"/>
      <c r="HLD11" s="111"/>
      <c r="HLE11" s="111"/>
      <c r="HLF11" s="111"/>
      <c r="HLG11" s="111"/>
      <c r="HLH11" s="111"/>
      <c r="HLI11" s="111"/>
      <c r="HLJ11" s="111"/>
      <c r="HLK11" s="111"/>
      <c r="HLL11" s="111"/>
      <c r="HLM11" s="111"/>
      <c r="HLN11" s="111"/>
      <c r="HLO11" s="111"/>
      <c r="HLP11" s="111"/>
      <c r="HLQ11" s="111"/>
      <c r="HLR11" s="111"/>
      <c r="HLS11" s="111"/>
      <c r="HLT11" s="111"/>
      <c r="HLU11" s="111"/>
      <c r="HLV11" s="111"/>
      <c r="HLW11" s="111"/>
      <c r="HLX11" s="111"/>
      <c r="HLY11" s="111"/>
      <c r="HLZ11" s="111"/>
      <c r="HMA11" s="111"/>
      <c r="HMB11" s="111"/>
      <c r="HMC11" s="111"/>
      <c r="HMD11" s="111"/>
      <c r="HME11" s="111"/>
      <c r="HMF11" s="111"/>
      <c r="HMG11" s="111"/>
      <c r="HMH11" s="111"/>
      <c r="HMI11" s="111"/>
      <c r="HMJ11" s="111"/>
      <c r="HMK11" s="111"/>
      <c r="HML11" s="111"/>
      <c r="HMM11" s="111"/>
      <c r="HMN11" s="111"/>
      <c r="HMO11" s="111"/>
      <c r="HMP11" s="111"/>
      <c r="HMQ11" s="111"/>
      <c r="HMR11" s="111"/>
      <c r="HMS11" s="111"/>
      <c r="HMT11" s="111"/>
      <c r="HMU11" s="111"/>
      <c r="HMV11" s="111"/>
      <c r="HMW11" s="111"/>
      <c r="HMX11" s="111"/>
      <c r="HMY11" s="111"/>
      <c r="HMZ11" s="111"/>
      <c r="HNA11" s="111"/>
      <c r="HNB11" s="111"/>
      <c r="HNC11" s="111"/>
      <c r="HND11" s="111"/>
      <c r="HNE11" s="111"/>
      <c r="HNF11" s="111"/>
      <c r="HNG11" s="111"/>
      <c r="HNH11" s="111"/>
      <c r="HNI11" s="111"/>
      <c r="HNJ11" s="111"/>
      <c r="HNK11" s="111"/>
      <c r="HNL11" s="111"/>
      <c r="HNM11" s="111"/>
      <c r="HNN11" s="111"/>
      <c r="HNO11" s="111"/>
      <c r="HNP11" s="111"/>
      <c r="HNQ11" s="111"/>
      <c r="HNR11" s="111"/>
      <c r="HNS11" s="111"/>
      <c r="HNT11" s="111"/>
      <c r="HNU11" s="111"/>
      <c r="HNV11" s="111"/>
      <c r="HNW11" s="111"/>
      <c r="HNX11" s="111"/>
      <c r="HNY11" s="111"/>
      <c r="HNZ11" s="111"/>
      <c r="HOA11" s="111"/>
      <c r="HOB11" s="111"/>
      <c r="HOC11" s="111"/>
      <c r="HOD11" s="111"/>
      <c r="HOE11" s="111"/>
      <c r="HOF11" s="111"/>
      <c r="HOG11" s="111"/>
      <c r="HOH11" s="111"/>
      <c r="HOI11" s="111"/>
      <c r="HOJ11" s="111"/>
      <c r="HOK11" s="111"/>
      <c r="HOL11" s="111"/>
      <c r="HOM11" s="111"/>
      <c r="HON11" s="111"/>
      <c r="HOO11" s="111"/>
      <c r="HOP11" s="111"/>
      <c r="HOQ11" s="111"/>
      <c r="HOR11" s="111"/>
      <c r="HOS11" s="111"/>
      <c r="HOT11" s="111"/>
      <c r="HOU11" s="111"/>
      <c r="HOV11" s="111"/>
      <c r="HOW11" s="111"/>
      <c r="HOX11" s="111"/>
      <c r="HOY11" s="111"/>
      <c r="HOZ11" s="111"/>
      <c r="HPA11" s="111"/>
      <c r="HPB11" s="111"/>
      <c r="HPC11" s="111"/>
      <c r="HPD11" s="111"/>
      <c r="HPE11" s="111"/>
      <c r="HPF11" s="111"/>
      <c r="HPG11" s="111"/>
      <c r="HPH11" s="111"/>
      <c r="HPI11" s="111"/>
      <c r="HPJ11" s="111"/>
      <c r="HPK11" s="111"/>
      <c r="HPL11" s="111"/>
      <c r="HPM11" s="111"/>
      <c r="HPN11" s="111"/>
      <c r="HPO11" s="111"/>
      <c r="HPP11" s="111"/>
      <c r="HPQ11" s="111"/>
      <c r="HPR11" s="111"/>
      <c r="HPS11" s="111"/>
      <c r="HPT11" s="111"/>
      <c r="HPU11" s="111"/>
      <c r="HPV11" s="111"/>
      <c r="HPW11" s="111"/>
      <c r="HPX11" s="111"/>
      <c r="HPY11" s="111"/>
      <c r="HPZ11" s="111"/>
      <c r="HQA11" s="111"/>
      <c r="HQB11" s="111"/>
      <c r="HQC11" s="111"/>
      <c r="HQD11" s="111"/>
      <c r="HQE11" s="111"/>
      <c r="HQF11" s="111"/>
      <c r="HQG11" s="111"/>
      <c r="HQH11" s="111"/>
      <c r="HQI11" s="111"/>
      <c r="HQJ11" s="111"/>
      <c r="HQK11" s="111"/>
      <c r="HQL11" s="111"/>
      <c r="HQM11" s="111"/>
      <c r="HQN11" s="111"/>
      <c r="HQO11" s="111"/>
      <c r="HQP11" s="111"/>
      <c r="HQQ11" s="111"/>
      <c r="HQR11" s="111"/>
      <c r="HQS11" s="111"/>
      <c r="HQT11" s="111"/>
      <c r="HQU11" s="111"/>
      <c r="HQV11" s="111"/>
      <c r="HQW11" s="111"/>
      <c r="HQX11" s="111"/>
      <c r="HQY11" s="111"/>
      <c r="HQZ11" s="111"/>
      <c r="HRA11" s="111"/>
      <c r="HRB11" s="111"/>
      <c r="HRC11" s="111"/>
      <c r="HRD11" s="111"/>
      <c r="HRE11" s="111"/>
      <c r="HRF11" s="111"/>
      <c r="HRG11" s="111"/>
      <c r="HRH11" s="111"/>
      <c r="HRI11" s="111"/>
      <c r="HRJ11" s="111"/>
      <c r="HRK11" s="111"/>
      <c r="HRL11" s="111"/>
      <c r="HRM11" s="111"/>
      <c r="HRN11" s="111"/>
      <c r="HRO11" s="111"/>
      <c r="HRP11" s="111"/>
      <c r="HRQ11" s="111"/>
      <c r="HRR11" s="111"/>
      <c r="HRS11" s="111"/>
      <c r="HRT11" s="111"/>
      <c r="HRU11" s="111"/>
      <c r="HRV11" s="111"/>
      <c r="HRW11" s="111"/>
      <c r="HRX11" s="111"/>
      <c r="HRY11" s="111"/>
      <c r="HRZ11" s="111"/>
      <c r="HSA11" s="111"/>
      <c r="HSB11" s="111"/>
      <c r="HSC11" s="111"/>
      <c r="HSD11" s="111"/>
      <c r="HSE11" s="111"/>
      <c r="HSF11" s="111"/>
      <c r="HSG11" s="111"/>
      <c r="HSH11" s="111"/>
      <c r="HSI11" s="111"/>
      <c r="HSJ11" s="111"/>
      <c r="HSK11" s="111"/>
      <c r="HSL11" s="111"/>
      <c r="HSM11" s="111"/>
      <c r="HSN11" s="111"/>
      <c r="HSO11" s="111"/>
      <c r="HSP11" s="111"/>
      <c r="HSQ11" s="111"/>
      <c r="HSR11" s="111"/>
      <c r="HSS11" s="111"/>
      <c r="HST11" s="111"/>
      <c r="HSU11" s="111"/>
      <c r="HSV11" s="111"/>
      <c r="HSW11" s="111"/>
      <c r="HSX11" s="111"/>
      <c r="HSY11" s="111"/>
      <c r="HSZ11" s="111"/>
      <c r="HTA11" s="111"/>
      <c r="HTB11" s="111"/>
      <c r="HTC11" s="111"/>
      <c r="HTD11" s="111"/>
      <c r="HTE11" s="111"/>
      <c r="HTF11" s="111"/>
      <c r="HTG11" s="111"/>
      <c r="HTH11" s="111"/>
      <c r="HTI11" s="111"/>
      <c r="HTJ11" s="111"/>
      <c r="HTK11" s="111"/>
      <c r="HTL11" s="111"/>
      <c r="HTM11" s="111"/>
      <c r="HTN11" s="111"/>
      <c r="HTO11" s="111"/>
      <c r="HTP11" s="111"/>
      <c r="HTQ11" s="111"/>
      <c r="HTR11" s="111"/>
      <c r="HTS11" s="111"/>
      <c r="HTT11" s="111"/>
      <c r="HTU11" s="111"/>
      <c r="HTV11" s="111"/>
      <c r="HTW11" s="111"/>
      <c r="HTX11" s="111"/>
      <c r="HTY11" s="111"/>
      <c r="HTZ11" s="111"/>
      <c r="HUA11" s="111"/>
      <c r="HUB11" s="111"/>
      <c r="HUC11" s="111"/>
      <c r="HUD11" s="111"/>
      <c r="HUE11" s="111"/>
      <c r="HUF11" s="111"/>
      <c r="HUG11" s="111"/>
      <c r="HUH11" s="111"/>
      <c r="HUI11" s="111"/>
      <c r="HUJ11" s="111"/>
      <c r="HUK11" s="111"/>
      <c r="HUL11" s="111"/>
      <c r="HUM11" s="111"/>
      <c r="HUN11" s="111"/>
      <c r="HUO11" s="111"/>
      <c r="HUP11" s="111"/>
      <c r="HUQ11" s="111"/>
      <c r="HUR11" s="111"/>
      <c r="HUS11" s="111"/>
      <c r="HUT11" s="111"/>
      <c r="HUU11" s="111"/>
      <c r="HUV11" s="111"/>
      <c r="HUW11" s="111"/>
      <c r="HUX11" s="111"/>
      <c r="HUY11" s="111"/>
      <c r="HUZ11" s="111"/>
      <c r="HVA11" s="111"/>
      <c r="HVB11" s="111"/>
      <c r="HVC11" s="111"/>
      <c r="HVD11" s="111"/>
      <c r="HVE11" s="111"/>
      <c r="HVF11" s="111"/>
      <c r="HVG11" s="111"/>
      <c r="HVH11" s="111"/>
      <c r="HVI11" s="111"/>
      <c r="HVJ11" s="111"/>
      <c r="HVK11" s="111"/>
      <c r="HVL11" s="111"/>
      <c r="HVM11" s="111"/>
      <c r="HVN11" s="111"/>
      <c r="HVO11" s="111"/>
      <c r="HVP11" s="111"/>
      <c r="HVQ11" s="111"/>
      <c r="HVR11" s="111"/>
      <c r="HVS11" s="111"/>
      <c r="HVT11" s="111"/>
      <c r="HVU11" s="111"/>
      <c r="HVV11" s="111"/>
      <c r="HVW11" s="111"/>
      <c r="HVX11" s="111"/>
      <c r="HVY11" s="111"/>
      <c r="HVZ11" s="111"/>
      <c r="HWA11" s="111"/>
      <c r="HWB11" s="111"/>
      <c r="HWC11" s="111"/>
      <c r="HWD11" s="111"/>
      <c r="HWE11" s="111"/>
      <c r="HWF11" s="111"/>
      <c r="HWG11" s="111"/>
      <c r="HWH11" s="111"/>
      <c r="HWI11" s="111"/>
      <c r="HWJ11" s="111"/>
      <c r="HWK11" s="111"/>
      <c r="HWL11" s="111"/>
      <c r="HWM11" s="111"/>
      <c r="HWN11" s="111"/>
      <c r="HWO11" s="111"/>
      <c r="HWP11" s="111"/>
      <c r="HWQ11" s="111"/>
      <c r="HWR11" s="111"/>
      <c r="HWS11" s="111"/>
      <c r="HWT11" s="111"/>
      <c r="HWU11" s="111"/>
      <c r="HWV11" s="111"/>
      <c r="HWW11" s="111"/>
      <c r="HWX11" s="111"/>
      <c r="HWY11" s="111"/>
      <c r="HWZ11" s="111"/>
      <c r="HXA11" s="111"/>
      <c r="HXB11" s="111"/>
      <c r="HXC11" s="111"/>
      <c r="HXD11" s="111"/>
      <c r="HXE11" s="111"/>
      <c r="HXF11" s="111"/>
      <c r="HXG11" s="111"/>
      <c r="HXH11" s="111"/>
      <c r="HXI11" s="111"/>
      <c r="HXJ11" s="111"/>
      <c r="HXK11" s="111"/>
      <c r="HXL11" s="111"/>
      <c r="HXM11" s="111"/>
      <c r="HXN11" s="111"/>
      <c r="HXO11" s="111"/>
      <c r="HXP11" s="111"/>
      <c r="HXQ11" s="111"/>
      <c r="HXR11" s="111"/>
      <c r="HXS11" s="111"/>
      <c r="HXT11" s="111"/>
      <c r="HXU11" s="111"/>
      <c r="HXV11" s="111"/>
      <c r="HXW11" s="111"/>
      <c r="HXX11" s="111"/>
      <c r="HXY11" s="111"/>
      <c r="HXZ11" s="111"/>
      <c r="HYA11" s="111"/>
      <c r="HYB11" s="111"/>
      <c r="HYC11" s="111"/>
      <c r="HYD11" s="111"/>
      <c r="HYE11" s="111"/>
      <c r="HYF11" s="111"/>
      <c r="HYG11" s="111"/>
      <c r="HYH11" s="111"/>
      <c r="HYI11" s="111"/>
      <c r="HYJ11" s="111"/>
      <c r="HYK11" s="111"/>
      <c r="HYL11" s="111"/>
      <c r="HYM11" s="111"/>
      <c r="HYN11" s="111"/>
      <c r="HYO11" s="111"/>
      <c r="HYP11" s="111"/>
      <c r="HYQ11" s="111"/>
      <c r="HYR11" s="111"/>
      <c r="HYS11" s="111"/>
      <c r="HYT11" s="111"/>
      <c r="HYU11" s="111"/>
      <c r="HYV11" s="111"/>
      <c r="HYW11" s="111"/>
      <c r="HYX11" s="111"/>
      <c r="HYY11" s="111"/>
      <c r="HYZ11" s="111"/>
      <c r="HZA11" s="111"/>
      <c r="HZB11" s="111"/>
      <c r="HZC11" s="111"/>
      <c r="HZD11" s="111"/>
      <c r="HZE11" s="111"/>
      <c r="HZF11" s="111"/>
      <c r="HZG11" s="111"/>
      <c r="HZH11" s="111"/>
      <c r="HZI11" s="111"/>
      <c r="HZJ11" s="111"/>
      <c r="HZK11" s="111"/>
      <c r="HZL11" s="111"/>
      <c r="HZM11" s="111"/>
      <c r="HZN11" s="111"/>
      <c r="HZO11" s="111"/>
      <c r="HZP11" s="111"/>
      <c r="HZQ11" s="111"/>
      <c r="HZR11" s="111"/>
      <c r="HZS11" s="111"/>
      <c r="HZT11" s="111"/>
      <c r="HZU11" s="111"/>
      <c r="HZV11" s="111"/>
      <c r="HZW11" s="111"/>
      <c r="HZX11" s="111"/>
      <c r="HZY11" s="111"/>
      <c r="HZZ11" s="111"/>
      <c r="IAA11" s="111"/>
      <c r="IAB11" s="111"/>
      <c r="IAC11" s="111"/>
      <c r="IAD11" s="111"/>
      <c r="IAE11" s="111"/>
      <c r="IAF11" s="111"/>
      <c r="IAG11" s="111"/>
      <c r="IAH11" s="111"/>
      <c r="IAI11" s="111"/>
      <c r="IAJ11" s="111"/>
      <c r="IAK11" s="111"/>
      <c r="IAL11" s="111"/>
      <c r="IAM11" s="111"/>
      <c r="IAN11" s="111"/>
      <c r="IAO11" s="111"/>
      <c r="IAP11" s="111"/>
      <c r="IAQ11" s="111"/>
      <c r="IAR11" s="111"/>
      <c r="IAS11" s="111"/>
      <c r="IAT11" s="111"/>
      <c r="IAU11" s="111"/>
      <c r="IAV11" s="111"/>
      <c r="IAW11" s="111"/>
      <c r="IAX11" s="111"/>
      <c r="IAY11" s="111"/>
      <c r="IAZ11" s="111"/>
      <c r="IBA11" s="111"/>
      <c r="IBB11" s="111"/>
      <c r="IBC11" s="111"/>
      <c r="IBD11" s="111"/>
      <c r="IBE11" s="111"/>
      <c r="IBF11" s="111"/>
      <c r="IBG11" s="111"/>
      <c r="IBH11" s="111"/>
      <c r="IBI11" s="111"/>
      <c r="IBJ11" s="111"/>
      <c r="IBK11" s="111"/>
      <c r="IBL11" s="111"/>
      <c r="IBM11" s="111"/>
      <c r="IBN11" s="111"/>
      <c r="IBO11" s="111"/>
      <c r="IBP11" s="111"/>
      <c r="IBQ11" s="111"/>
      <c r="IBR11" s="111"/>
      <c r="IBS11" s="111"/>
      <c r="IBT11" s="111"/>
      <c r="IBU11" s="111"/>
      <c r="IBV11" s="111"/>
      <c r="IBW11" s="111"/>
      <c r="IBX11" s="111"/>
      <c r="IBY11" s="111"/>
      <c r="IBZ11" s="111"/>
      <c r="ICA11" s="111"/>
      <c r="ICB11" s="111"/>
      <c r="ICC11" s="111"/>
      <c r="ICD11" s="111"/>
      <c r="ICE11" s="111"/>
      <c r="ICF11" s="111"/>
      <c r="ICG11" s="111"/>
      <c r="ICH11" s="111"/>
      <c r="ICI11" s="111"/>
      <c r="ICJ11" s="111"/>
      <c r="ICK11" s="111"/>
      <c r="ICL11" s="111"/>
      <c r="ICM11" s="111"/>
      <c r="ICN11" s="111"/>
      <c r="ICO11" s="111"/>
      <c r="ICP11" s="111"/>
      <c r="ICQ11" s="111"/>
      <c r="ICR11" s="111"/>
      <c r="ICS11" s="111"/>
      <c r="ICT11" s="111"/>
      <c r="ICU11" s="111"/>
      <c r="ICV11" s="111"/>
      <c r="ICW11" s="111"/>
      <c r="ICX11" s="111"/>
      <c r="ICY11" s="111"/>
      <c r="ICZ11" s="111"/>
      <c r="IDA11" s="111"/>
      <c r="IDB11" s="111"/>
      <c r="IDC11" s="111"/>
      <c r="IDD11" s="111"/>
      <c r="IDE11" s="111"/>
      <c r="IDF11" s="111"/>
      <c r="IDG11" s="111"/>
      <c r="IDH11" s="111"/>
      <c r="IDI11" s="111"/>
      <c r="IDJ11" s="111"/>
      <c r="IDK11" s="111"/>
      <c r="IDL11" s="111"/>
      <c r="IDM11" s="111"/>
      <c r="IDN11" s="111"/>
      <c r="IDO11" s="111"/>
      <c r="IDP11" s="111"/>
      <c r="IDQ11" s="111"/>
      <c r="IDR11" s="111"/>
      <c r="IDS11" s="111"/>
      <c r="IDT11" s="111"/>
      <c r="IDU11" s="111"/>
      <c r="IDV11" s="111"/>
      <c r="IDW11" s="111"/>
      <c r="IDX11" s="111"/>
      <c r="IDY11" s="111"/>
      <c r="IDZ11" s="111"/>
      <c r="IEA11" s="111"/>
      <c r="IEB11" s="111"/>
      <c r="IEC11" s="111"/>
      <c r="IED11" s="111"/>
      <c r="IEE11" s="111"/>
      <c r="IEF11" s="111"/>
      <c r="IEG11" s="111"/>
      <c r="IEH11" s="111"/>
      <c r="IEI11" s="111"/>
      <c r="IEJ11" s="111"/>
      <c r="IEK11" s="111"/>
      <c r="IEL11" s="111"/>
      <c r="IEM11" s="111"/>
      <c r="IEN11" s="111"/>
      <c r="IEO11" s="111"/>
      <c r="IEP11" s="111"/>
      <c r="IEQ11" s="111"/>
      <c r="IER11" s="111"/>
      <c r="IES11" s="111"/>
      <c r="IET11" s="111"/>
      <c r="IEU11" s="111"/>
      <c r="IEV11" s="111"/>
      <c r="IEW11" s="111"/>
      <c r="IEX11" s="111"/>
      <c r="IEY11" s="111"/>
      <c r="IEZ11" s="111"/>
      <c r="IFA11" s="111"/>
      <c r="IFB11" s="111"/>
      <c r="IFC11" s="111"/>
      <c r="IFD11" s="111"/>
      <c r="IFE11" s="111"/>
      <c r="IFF11" s="111"/>
      <c r="IFG11" s="111"/>
      <c r="IFH11" s="111"/>
      <c r="IFI11" s="111"/>
      <c r="IFJ11" s="111"/>
      <c r="IFK11" s="111"/>
      <c r="IFL11" s="111"/>
      <c r="IFM11" s="111"/>
      <c r="IFN11" s="111"/>
      <c r="IFO11" s="111"/>
      <c r="IFP11" s="111"/>
      <c r="IFQ11" s="111"/>
      <c r="IFR11" s="111"/>
      <c r="IFS11" s="111"/>
      <c r="IFT11" s="111"/>
      <c r="IFU11" s="111"/>
      <c r="IFV11" s="111"/>
      <c r="IFW11" s="111"/>
      <c r="IFX11" s="111"/>
      <c r="IFY11" s="111"/>
      <c r="IFZ11" s="111"/>
      <c r="IGA11" s="111"/>
      <c r="IGB11" s="111"/>
      <c r="IGC11" s="111"/>
      <c r="IGD11" s="111"/>
      <c r="IGE11" s="111"/>
      <c r="IGF11" s="111"/>
      <c r="IGG11" s="111"/>
      <c r="IGH11" s="111"/>
      <c r="IGI11" s="111"/>
      <c r="IGJ11" s="111"/>
      <c r="IGK11" s="111"/>
      <c r="IGL11" s="111"/>
      <c r="IGM11" s="111"/>
      <c r="IGN11" s="111"/>
      <c r="IGO11" s="111"/>
      <c r="IGP11" s="111"/>
      <c r="IGQ11" s="111"/>
      <c r="IGR11" s="111"/>
      <c r="IGS11" s="111"/>
      <c r="IGT11" s="111"/>
      <c r="IGU11" s="111"/>
      <c r="IGV11" s="111"/>
      <c r="IGW11" s="111"/>
      <c r="IGX11" s="111"/>
      <c r="IGY11" s="111"/>
      <c r="IGZ11" s="111"/>
      <c r="IHA11" s="111"/>
      <c r="IHB11" s="111"/>
      <c r="IHC11" s="111"/>
      <c r="IHD11" s="111"/>
      <c r="IHE11" s="111"/>
      <c r="IHF11" s="111"/>
      <c r="IHG11" s="111"/>
      <c r="IHH11" s="111"/>
      <c r="IHI11" s="111"/>
      <c r="IHJ11" s="111"/>
      <c r="IHK11" s="111"/>
      <c r="IHL11" s="111"/>
      <c r="IHM11" s="111"/>
      <c r="IHN11" s="111"/>
      <c r="IHO11" s="111"/>
      <c r="IHP11" s="111"/>
      <c r="IHQ11" s="111"/>
      <c r="IHR11" s="111"/>
      <c r="IHS11" s="111"/>
      <c r="IHT11" s="111"/>
      <c r="IHU11" s="111"/>
      <c r="IHV11" s="111"/>
      <c r="IHW11" s="111"/>
      <c r="IHX11" s="111"/>
      <c r="IHY11" s="111"/>
      <c r="IHZ11" s="111"/>
      <c r="IIA11" s="111"/>
      <c r="IIB11" s="111"/>
      <c r="IIC11" s="111"/>
      <c r="IID11" s="111"/>
      <c r="IIE11" s="111"/>
      <c r="IIF11" s="111"/>
      <c r="IIG11" s="111"/>
      <c r="IIH11" s="111"/>
      <c r="III11" s="111"/>
      <c r="IIJ11" s="111"/>
      <c r="IIK11" s="111"/>
      <c r="IIL11" s="111"/>
      <c r="IIM11" s="111"/>
      <c r="IIN11" s="111"/>
      <c r="IIO11" s="111"/>
      <c r="IIP11" s="111"/>
      <c r="IIQ11" s="111"/>
      <c r="IIR11" s="111"/>
      <c r="IIS11" s="111"/>
      <c r="IIT11" s="111"/>
      <c r="IIU11" s="111"/>
      <c r="IIV11" s="111"/>
      <c r="IIW11" s="111"/>
      <c r="IIX11" s="111"/>
      <c r="IIY11" s="111"/>
      <c r="IIZ11" s="111"/>
      <c r="IJA11" s="111"/>
      <c r="IJB11" s="111"/>
      <c r="IJC11" s="111"/>
      <c r="IJD11" s="111"/>
      <c r="IJE11" s="111"/>
      <c r="IJF11" s="111"/>
      <c r="IJG11" s="111"/>
      <c r="IJH11" s="111"/>
      <c r="IJI11" s="111"/>
      <c r="IJJ11" s="111"/>
      <c r="IJK11" s="111"/>
      <c r="IJL11" s="111"/>
      <c r="IJM11" s="111"/>
      <c r="IJN11" s="111"/>
      <c r="IJO11" s="111"/>
      <c r="IJP11" s="111"/>
      <c r="IJQ11" s="111"/>
      <c r="IJR11" s="111"/>
      <c r="IJS11" s="111"/>
      <c r="IJT11" s="111"/>
      <c r="IJU11" s="111"/>
      <c r="IJV11" s="111"/>
      <c r="IJW11" s="111"/>
      <c r="IJX11" s="111"/>
      <c r="IJY11" s="111"/>
      <c r="IJZ11" s="111"/>
      <c r="IKA11" s="111"/>
      <c r="IKB11" s="111"/>
      <c r="IKC11" s="111"/>
      <c r="IKD11" s="111"/>
      <c r="IKE11" s="111"/>
      <c r="IKF11" s="111"/>
      <c r="IKG11" s="111"/>
      <c r="IKH11" s="111"/>
      <c r="IKI11" s="111"/>
      <c r="IKJ11" s="111"/>
      <c r="IKK11" s="111"/>
      <c r="IKL11" s="111"/>
      <c r="IKM11" s="111"/>
      <c r="IKN11" s="111"/>
      <c r="IKO11" s="111"/>
      <c r="IKP11" s="111"/>
      <c r="IKQ11" s="111"/>
      <c r="IKR11" s="111"/>
      <c r="IKS11" s="111"/>
      <c r="IKT11" s="111"/>
      <c r="IKU11" s="111"/>
      <c r="IKV11" s="111"/>
      <c r="IKW11" s="111"/>
      <c r="IKX11" s="111"/>
      <c r="IKY11" s="111"/>
      <c r="IKZ11" s="111"/>
      <c r="ILA11" s="111"/>
      <c r="ILB11" s="111"/>
      <c r="ILC11" s="111"/>
      <c r="ILD11" s="111"/>
      <c r="ILE11" s="111"/>
      <c r="ILF11" s="111"/>
      <c r="ILG11" s="111"/>
      <c r="ILH11" s="111"/>
      <c r="ILI11" s="111"/>
      <c r="ILJ11" s="111"/>
      <c r="ILK11" s="111"/>
      <c r="ILL11" s="111"/>
      <c r="ILM11" s="111"/>
      <c r="ILN11" s="111"/>
      <c r="ILO11" s="111"/>
      <c r="ILP11" s="111"/>
      <c r="ILQ11" s="111"/>
      <c r="ILR11" s="111"/>
      <c r="ILS11" s="111"/>
      <c r="ILT11" s="111"/>
      <c r="ILU11" s="111"/>
      <c r="ILV11" s="111"/>
      <c r="ILW11" s="111"/>
      <c r="ILX11" s="111"/>
      <c r="ILY11" s="111"/>
      <c r="ILZ11" s="111"/>
      <c r="IMA11" s="111"/>
      <c r="IMB11" s="111"/>
      <c r="IMC11" s="111"/>
      <c r="IMD11" s="111"/>
      <c r="IME11" s="111"/>
      <c r="IMF11" s="111"/>
      <c r="IMG11" s="111"/>
      <c r="IMH11" s="111"/>
      <c r="IMI11" s="111"/>
      <c r="IMJ11" s="111"/>
      <c r="IMK11" s="111"/>
      <c r="IML11" s="111"/>
      <c r="IMM11" s="111"/>
      <c r="IMN11" s="111"/>
      <c r="IMO11" s="111"/>
      <c r="IMP11" s="111"/>
      <c r="IMQ11" s="111"/>
      <c r="IMR11" s="111"/>
      <c r="IMS11" s="111"/>
      <c r="IMT11" s="111"/>
      <c r="IMU11" s="111"/>
      <c r="IMV11" s="111"/>
      <c r="IMW11" s="111"/>
      <c r="IMX11" s="111"/>
      <c r="IMY11" s="111"/>
      <c r="IMZ11" s="111"/>
      <c r="INA11" s="111"/>
      <c r="INB11" s="111"/>
      <c r="INC11" s="111"/>
      <c r="IND11" s="111"/>
      <c r="INE11" s="111"/>
      <c r="INF11" s="111"/>
      <c r="ING11" s="111"/>
      <c r="INH11" s="111"/>
      <c r="INI11" s="111"/>
      <c r="INJ11" s="111"/>
      <c r="INK11" s="111"/>
      <c r="INL11" s="111"/>
      <c r="INM11" s="111"/>
      <c r="INN11" s="111"/>
      <c r="INO11" s="111"/>
      <c r="INP11" s="111"/>
      <c r="INQ11" s="111"/>
      <c r="INR11" s="111"/>
      <c r="INS11" s="111"/>
      <c r="INT11" s="111"/>
      <c r="INU11" s="111"/>
      <c r="INV11" s="111"/>
      <c r="INW11" s="111"/>
      <c r="INX11" s="111"/>
      <c r="INY11" s="111"/>
      <c r="INZ11" s="111"/>
      <c r="IOA11" s="111"/>
      <c r="IOB11" s="111"/>
      <c r="IOC11" s="111"/>
      <c r="IOD11" s="111"/>
      <c r="IOE11" s="111"/>
      <c r="IOF11" s="111"/>
      <c r="IOG11" s="111"/>
      <c r="IOH11" s="111"/>
      <c r="IOI11" s="111"/>
      <c r="IOJ11" s="111"/>
      <c r="IOK11" s="111"/>
      <c r="IOL11" s="111"/>
      <c r="IOM11" s="111"/>
      <c r="ION11" s="111"/>
      <c r="IOO11" s="111"/>
      <c r="IOP11" s="111"/>
      <c r="IOQ11" s="111"/>
      <c r="IOR11" s="111"/>
      <c r="IOS11" s="111"/>
      <c r="IOT11" s="111"/>
      <c r="IOU11" s="111"/>
      <c r="IOV11" s="111"/>
      <c r="IOW11" s="111"/>
      <c r="IOX11" s="111"/>
      <c r="IOY11" s="111"/>
      <c r="IOZ11" s="111"/>
      <c r="IPA11" s="111"/>
      <c r="IPB11" s="111"/>
      <c r="IPC11" s="111"/>
      <c r="IPD11" s="111"/>
      <c r="IPE11" s="111"/>
      <c r="IPF11" s="111"/>
      <c r="IPG11" s="111"/>
      <c r="IPH11" s="111"/>
      <c r="IPI11" s="111"/>
      <c r="IPJ11" s="111"/>
      <c r="IPK11" s="111"/>
      <c r="IPL11" s="111"/>
      <c r="IPM11" s="111"/>
      <c r="IPN11" s="111"/>
      <c r="IPO11" s="111"/>
      <c r="IPP11" s="111"/>
      <c r="IPQ11" s="111"/>
      <c r="IPR11" s="111"/>
      <c r="IPS11" s="111"/>
      <c r="IPT11" s="111"/>
      <c r="IPU11" s="111"/>
      <c r="IPV11" s="111"/>
      <c r="IPW11" s="111"/>
      <c r="IPX11" s="111"/>
      <c r="IPY11" s="111"/>
      <c r="IPZ11" s="111"/>
      <c r="IQA11" s="111"/>
      <c r="IQB11" s="111"/>
      <c r="IQC11" s="111"/>
      <c r="IQD11" s="111"/>
      <c r="IQE11" s="111"/>
      <c r="IQF11" s="111"/>
      <c r="IQG11" s="111"/>
      <c r="IQH11" s="111"/>
      <c r="IQI11" s="111"/>
      <c r="IQJ11" s="111"/>
      <c r="IQK11" s="111"/>
      <c r="IQL11" s="111"/>
      <c r="IQM11" s="111"/>
      <c r="IQN11" s="111"/>
      <c r="IQO11" s="111"/>
      <c r="IQP11" s="111"/>
      <c r="IQQ11" s="111"/>
      <c r="IQR11" s="111"/>
      <c r="IQS11" s="111"/>
      <c r="IQT11" s="111"/>
      <c r="IQU11" s="111"/>
      <c r="IQV11" s="111"/>
      <c r="IQW11" s="111"/>
      <c r="IQX11" s="111"/>
      <c r="IQY11" s="111"/>
      <c r="IQZ11" s="111"/>
      <c r="IRA11" s="111"/>
      <c r="IRB11" s="111"/>
      <c r="IRC11" s="111"/>
      <c r="IRD11" s="111"/>
      <c r="IRE11" s="111"/>
      <c r="IRF11" s="111"/>
      <c r="IRG11" s="111"/>
      <c r="IRH11" s="111"/>
      <c r="IRI11" s="111"/>
      <c r="IRJ11" s="111"/>
      <c r="IRK11" s="111"/>
      <c r="IRL11" s="111"/>
      <c r="IRM11" s="111"/>
      <c r="IRN11" s="111"/>
      <c r="IRO11" s="111"/>
      <c r="IRP11" s="111"/>
      <c r="IRQ11" s="111"/>
      <c r="IRR11" s="111"/>
      <c r="IRS11" s="111"/>
      <c r="IRT11" s="111"/>
      <c r="IRU11" s="111"/>
      <c r="IRV11" s="111"/>
      <c r="IRW11" s="111"/>
      <c r="IRX11" s="111"/>
      <c r="IRY11" s="111"/>
      <c r="IRZ11" s="111"/>
      <c r="ISA11" s="111"/>
      <c r="ISB11" s="111"/>
      <c r="ISC11" s="111"/>
      <c r="ISD11" s="111"/>
      <c r="ISE11" s="111"/>
      <c r="ISF11" s="111"/>
      <c r="ISG11" s="111"/>
      <c r="ISH11" s="111"/>
      <c r="ISI11" s="111"/>
      <c r="ISJ11" s="111"/>
      <c r="ISK11" s="111"/>
      <c r="ISL11" s="111"/>
      <c r="ISM11" s="111"/>
      <c r="ISN11" s="111"/>
      <c r="ISO11" s="111"/>
      <c r="ISP11" s="111"/>
      <c r="ISQ11" s="111"/>
      <c r="ISR11" s="111"/>
      <c r="ISS11" s="111"/>
      <c r="IST11" s="111"/>
      <c r="ISU11" s="111"/>
      <c r="ISV11" s="111"/>
      <c r="ISW11" s="111"/>
      <c r="ISX11" s="111"/>
      <c r="ISY11" s="111"/>
      <c r="ISZ11" s="111"/>
      <c r="ITA11" s="111"/>
      <c r="ITB11" s="111"/>
      <c r="ITC11" s="111"/>
      <c r="ITD11" s="111"/>
      <c r="ITE11" s="111"/>
      <c r="ITF11" s="111"/>
      <c r="ITG11" s="111"/>
      <c r="ITH11" s="111"/>
      <c r="ITI11" s="111"/>
      <c r="ITJ11" s="111"/>
      <c r="ITK11" s="111"/>
      <c r="ITL11" s="111"/>
      <c r="ITM11" s="111"/>
      <c r="ITN11" s="111"/>
      <c r="ITO11" s="111"/>
      <c r="ITP11" s="111"/>
      <c r="ITQ11" s="111"/>
      <c r="ITR11" s="111"/>
      <c r="ITS11" s="111"/>
      <c r="ITT11" s="111"/>
      <c r="ITU11" s="111"/>
      <c r="ITV11" s="111"/>
      <c r="ITW11" s="111"/>
      <c r="ITX11" s="111"/>
      <c r="ITY11" s="111"/>
      <c r="ITZ11" s="111"/>
      <c r="IUA11" s="111"/>
      <c r="IUB11" s="111"/>
      <c r="IUC11" s="111"/>
      <c r="IUD11" s="111"/>
      <c r="IUE11" s="111"/>
      <c r="IUF11" s="111"/>
      <c r="IUG11" s="111"/>
      <c r="IUH11" s="111"/>
      <c r="IUI11" s="111"/>
      <c r="IUJ11" s="111"/>
      <c r="IUK11" s="111"/>
      <c r="IUL11" s="111"/>
      <c r="IUM11" s="111"/>
      <c r="IUN11" s="111"/>
      <c r="IUO11" s="111"/>
      <c r="IUP11" s="111"/>
      <c r="IUQ11" s="111"/>
      <c r="IUR11" s="111"/>
      <c r="IUS11" s="111"/>
      <c r="IUT11" s="111"/>
      <c r="IUU11" s="111"/>
      <c r="IUV11" s="111"/>
      <c r="IUW11" s="111"/>
      <c r="IUX11" s="111"/>
      <c r="IUY11" s="111"/>
      <c r="IUZ11" s="111"/>
      <c r="IVA11" s="111"/>
      <c r="IVB11" s="111"/>
      <c r="IVC11" s="111"/>
      <c r="IVD11" s="111"/>
      <c r="IVE11" s="111"/>
      <c r="IVF11" s="111"/>
      <c r="IVG11" s="111"/>
      <c r="IVH11" s="111"/>
      <c r="IVI11" s="111"/>
      <c r="IVJ11" s="111"/>
      <c r="IVK11" s="111"/>
      <c r="IVL11" s="111"/>
      <c r="IVM11" s="111"/>
      <c r="IVN11" s="111"/>
      <c r="IVO11" s="111"/>
      <c r="IVP11" s="111"/>
      <c r="IVQ11" s="111"/>
      <c r="IVR11" s="111"/>
      <c r="IVS11" s="111"/>
      <c r="IVT11" s="111"/>
      <c r="IVU11" s="111"/>
      <c r="IVV11" s="111"/>
      <c r="IVW11" s="111"/>
      <c r="IVX11" s="111"/>
      <c r="IVY11" s="111"/>
      <c r="IVZ11" s="111"/>
      <c r="IWA11" s="111"/>
      <c r="IWB11" s="111"/>
      <c r="IWC11" s="111"/>
      <c r="IWD11" s="111"/>
      <c r="IWE11" s="111"/>
      <c r="IWF11" s="111"/>
      <c r="IWG11" s="111"/>
      <c r="IWH11" s="111"/>
      <c r="IWI11" s="111"/>
      <c r="IWJ11" s="111"/>
      <c r="IWK11" s="111"/>
      <c r="IWL11" s="111"/>
      <c r="IWM11" s="111"/>
      <c r="IWN11" s="111"/>
      <c r="IWO11" s="111"/>
      <c r="IWP11" s="111"/>
      <c r="IWQ11" s="111"/>
      <c r="IWR11" s="111"/>
      <c r="IWS11" s="111"/>
      <c r="IWT11" s="111"/>
      <c r="IWU11" s="111"/>
      <c r="IWV11" s="111"/>
      <c r="IWW11" s="111"/>
      <c r="IWX11" s="111"/>
      <c r="IWY11" s="111"/>
      <c r="IWZ11" s="111"/>
      <c r="IXA11" s="111"/>
      <c r="IXB11" s="111"/>
      <c r="IXC11" s="111"/>
      <c r="IXD11" s="111"/>
      <c r="IXE11" s="111"/>
      <c r="IXF11" s="111"/>
      <c r="IXG11" s="111"/>
      <c r="IXH11" s="111"/>
      <c r="IXI11" s="111"/>
      <c r="IXJ11" s="111"/>
      <c r="IXK11" s="111"/>
      <c r="IXL11" s="111"/>
      <c r="IXM11" s="111"/>
      <c r="IXN11" s="111"/>
      <c r="IXO11" s="111"/>
      <c r="IXP11" s="111"/>
      <c r="IXQ11" s="111"/>
      <c r="IXR11" s="111"/>
      <c r="IXS11" s="111"/>
      <c r="IXT11" s="111"/>
      <c r="IXU11" s="111"/>
      <c r="IXV11" s="111"/>
      <c r="IXW11" s="111"/>
      <c r="IXX11" s="111"/>
      <c r="IXY11" s="111"/>
      <c r="IXZ11" s="111"/>
      <c r="IYA11" s="111"/>
      <c r="IYB11" s="111"/>
      <c r="IYC11" s="111"/>
      <c r="IYD11" s="111"/>
      <c r="IYE11" s="111"/>
      <c r="IYF11" s="111"/>
      <c r="IYG11" s="111"/>
      <c r="IYH11" s="111"/>
      <c r="IYI11" s="111"/>
      <c r="IYJ11" s="111"/>
      <c r="IYK11" s="111"/>
      <c r="IYL11" s="111"/>
      <c r="IYM11" s="111"/>
      <c r="IYN11" s="111"/>
      <c r="IYO11" s="111"/>
      <c r="IYP11" s="111"/>
      <c r="IYQ11" s="111"/>
      <c r="IYR11" s="111"/>
      <c r="IYS11" s="111"/>
      <c r="IYT11" s="111"/>
      <c r="IYU11" s="111"/>
      <c r="IYV11" s="111"/>
      <c r="IYW11" s="111"/>
      <c r="IYX11" s="111"/>
      <c r="IYY11" s="111"/>
      <c r="IYZ11" s="111"/>
      <c r="IZA11" s="111"/>
      <c r="IZB11" s="111"/>
      <c r="IZC11" s="111"/>
      <c r="IZD11" s="111"/>
      <c r="IZE11" s="111"/>
      <c r="IZF11" s="111"/>
      <c r="IZG11" s="111"/>
      <c r="IZH11" s="111"/>
      <c r="IZI11" s="111"/>
      <c r="IZJ11" s="111"/>
      <c r="IZK11" s="111"/>
      <c r="IZL11" s="111"/>
      <c r="IZM11" s="111"/>
      <c r="IZN11" s="111"/>
      <c r="IZO11" s="111"/>
      <c r="IZP11" s="111"/>
      <c r="IZQ11" s="111"/>
      <c r="IZR11" s="111"/>
      <c r="IZS11" s="111"/>
      <c r="IZT11" s="111"/>
      <c r="IZU11" s="111"/>
      <c r="IZV11" s="111"/>
      <c r="IZW11" s="111"/>
      <c r="IZX11" s="111"/>
      <c r="IZY11" s="111"/>
      <c r="IZZ11" s="111"/>
      <c r="JAA11" s="111"/>
      <c r="JAB11" s="111"/>
      <c r="JAC11" s="111"/>
      <c r="JAD11" s="111"/>
      <c r="JAE11" s="111"/>
      <c r="JAF11" s="111"/>
      <c r="JAG11" s="111"/>
      <c r="JAH11" s="111"/>
      <c r="JAI11" s="111"/>
      <c r="JAJ11" s="111"/>
      <c r="JAK11" s="111"/>
      <c r="JAL11" s="111"/>
      <c r="JAM11" s="111"/>
      <c r="JAN11" s="111"/>
      <c r="JAO11" s="111"/>
      <c r="JAP11" s="111"/>
      <c r="JAQ11" s="111"/>
      <c r="JAR11" s="111"/>
      <c r="JAS11" s="111"/>
      <c r="JAT11" s="111"/>
      <c r="JAU11" s="111"/>
      <c r="JAV11" s="111"/>
      <c r="JAW11" s="111"/>
      <c r="JAX11" s="111"/>
      <c r="JAY11" s="111"/>
      <c r="JAZ11" s="111"/>
      <c r="JBA11" s="111"/>
      <c r="JBB11" s="111"/>
      <c r="JBC11" s="111"/>
      <c r="JBD11" s="111"/>
      <c r="JBE11" s="111"/>
      <c r="JBF11" s="111"/>
      <c r="JBG11" s="111"/>
      <c r="JBH11" s="111"/>
      <c r="JBI11" s="111"/>
      <c r="JBJ11" s="111"/>
      <c r="JBK11" s="111"/>
      <c r="JBL11" s="111"/>
      <c r="JBM11" s="111"/>
      <c r="JBN11" s="111"/>
      <c r="JBO11" s="111"/>
      <c r="JBP11" s="111"/>
      <c r="JBQ11" s="111"/>
      <c r="JBR11" s="111"/>
      <c r="JBS11" s="111"/>
      <c r="JBT11" s="111"/>
      <c r="JBU11" s="111"/>
      <c r="JBV11" s="111"/>
      <c r="JBW11" s="111"/>
      <c r="JBX11" s="111"/>
      <c r="JBY11" s="111"/>
      <c r="JBZ11" s="111"/>
      <c r="JCA11" s="111"/>
      <c r="JCB11" s="111"/>
      <c r="JCC11" s="111"/>
      <c r="JCD11" s="111"/>
      <c r="JCE11" s="111"/>
      <c r="JCF11" s="111"/>
      <c r="JCG11" s="111"/>
      <c r="JCH11" s="111"/>
      <c r="JCI11" s="111"/>
      <c r="JCJ11" s="111"/>
      <c r="JCK11" s="111"/>
      <c r="JCL11" s="111"/>
      <c r="JCM11" s="111"/>
      <c r="JCN11" s="111"/>
      <c r="JCO11" s="111"/>
      <c r="JCP11" s="111"/>
      <c r="JCQ11" s="111"/>
      <c r="JCR11" s="111"/>
      <c r="JCS11" s="111"/>
      <c r="JCT11" s="111"/>
      <c r="JCU11" s="111"/>
      <c r="JCV11" s="111"/>
      <c r="JCW11" s="111"/>
      <c r="JCX11" s="111"/>
      <c r="JCY11" s="111"/>
      <c r="JCZ11" s="111"/>
      <c r="JDA11" s="111"/>
      <c r="JDB11" s="111"/>
      <c r="JDC11" s="111"/>
      <c r="JDD11" s="111"/>
      <c r="JDE11" s="111"/>
      <c r="JDF11" s="111"/>
      <c r="JDG11" s="111"/>
      <c r="JDH11" s="111"/>
      <c r="JDI11" s="111"/>
      <c r="JDJ11" s="111"/>
      <c r="JDK11" s="111"/>
      <c r="JDL11" s="111"/>
      <c r="JDM11" s="111"/>
      <c r="JDN11" s="111"/>
      <c r="JDO11" s="111"/>
      <c r="JDP11" s="111"/>
      <c r="JDQ11" s="111"/>
      <c r="JDR11" s="111"/>
      <c r="JDS11" s="111"/>
      <c r="JDT11" s="111"/>
      <c r="JDU11" s="111"/>
      <c r="JDV11" s="111"/>
      <c r="JDW11" s="111"/>
      <c r="JDX11" s="111"/>
      <c r="JDY11" s="111"/>
      <c r="JDZ11" s="111"/>
      <c r="JEA11" s="111"/>
      <c r="JEB11" s="111"/>
      <c r="JEC11" s="111"/>
      <c r="JED11" s="111"/>
      <c r="JEE11" s="111"/>
      <c r="JEF11" s="111"/>
      <c r="JEG11" s="111"/>
      <c r="JEH11" s="111"/>
      <c r="JEI11" s="111"/>
      <c r="JEJ11" s="111"/>
      <c r="JEK11" s="111"/>
      <c r="JEL11" s="111"/>
      <c r="JEM11" s="111"/>
      <c r="JEN11" s="111"/>
      <c r="JEO11" s="111"/>
      <c r="JEP11" s="111"/>
      <c r="JEQ11" s="111"/>
      <c r="JER11" s="111"/>
      <c r="JES11" s="111"/>
      <c r="JET11" s="111"/>
      <c r="JEU11" s="111"/>
      <c r="JEV11" s="111"/>
      <c r="JEW11" s="111"/>
      <c r="JEX11" s="111"/>
      <c r="JEY11" s="111"/>
      <c r="JEZ11" s="111"/>
      <c r="JFA11" s="111"/>
      <c r="JFB11" s="111"/>
      <c r="JFC11" s="111"/>
      <c r="JFD11" s="111"/>
      <c r="JFE11" s="111"/>
      <c r="JFF11" s="111"/>
      <c r="JFG11" s="111"/>
      <c r="JFH11" s="111"/>
      <c r="JFI11" s="111"/>
      <c r="JFJ11" s="111"/>
      <c r="JFK11" s="111"/>
      <c r="JFL11" s="111"/>
      <c r="JFM11" s="111"/>
      <c r="JFN11" s="111"/>
      <c r="JFO11" s="111"/>
      <c r="JFP11" s="111"/>
      <c r="JFQ11" s="111"/>
      <c r="JFR11" s="111"/>
      <c r="JFS11" s="111"/>
      <c r="JFT11" s="111"/>
      <c r="JFU11" s="111"/>
      <c r="JFV11" s="111"/>
      <c r="JFW11" s="111"/>
      <c r="JFX11" s="111"/>
      <c r="JFY11" s="111"/>
      <c r="JFZ11" s="111"/>
      <c r="JGA11" s="111"/>
      <c r="JGB11" s="111"/>
      <c r="JGC11" s="111"/>
      <c r="JGD11" s="111"/>
      <c r="JGE11" s="111"/>
      <c r="JGF11" s="111"/>
      <c r="JGG11" s="111"/>
      <c r="JGH11" s="111"/>
      <c r="JGI11" s="111"/>
      <c r="JGJ11" s="111"/>
      <c r="JGK11" s="111"/>
      <c r="JGL11" s="111"/>
      <c r="JGM11" s="111"/>
      <c r="JGN11" s="111"/>
      <c r="JGO11" s="111"/>
      <c r="JGP11" s="111"/>
      <c r="JGQ11" s="111"/>
      <c r="JGR11" s="111"/>
      <c r="JGS11" s="111"/>
      <c r="JGT11" s="111"/>
      <c r="JGU11" s="111"/>
      <c r="JGV11" s="111"/>
      <c r="JGW11" s="111"/>
      <c r="JGX11" s="111"/>
      <c r="JGY11" s="111"/>
      <c r="JGZ11" s="111"/>
      <c r="JHA11" s="111"/>
      <c r="JHB11" s="111"/>
      <c r="JHC11" s="111"/>
      <c r="JHD11" s="111"/>
      <c r="JHE11" s="111"/>
      <c r="JHF11" s="111"/>
      <c r="JHG11" s="111"/>
      <c r="JHH11" s="111"/>
      <c r="JHI11" s="111"/>
      <c r="JHJ11" s="111"/>
      <c r="JHK11" s="111"/>
      <c r="JHL11" s="111"/>
      <c r="JHM11" s="111"/>
      <c r="JHN11" s="111"/>
      <c r="JHO11" s="111"/>
      <c r="JHP11" s="111"/>
      <c r="JHQ11" s="111"/>
      <c r="JHR11" s="111"/>
      <c r="JHS11" s="111"/>
      <c r="JHT11" s="111"/>
      <c r="JHU11" s="111"/>
      <c r="JHV11" s="111"/>
      <c r="JHW11" s="111"/>
      <c r="JHX11" s="111"/>
      <c r="JHY11" s="111"/>
      <c r="JHZ11" s="111"/>
      <c r="JIA11" s="111"/>
      <c r="JIB11" s="111"/>
      <c r="JIC11" s="111"/>
      <c r="JID11" s="111"/>
      <c r="JIE11" s="111"/>
      <c r="JIF11" s="111"/>
      <c r="JIG11" s="111"/>
      <c r="JIH11" s="111"/>
      <c r="JII11" s="111"/>
      <c r="JIJ11" s="111"/>
      <c r="JIK11" s="111"/>
      <c r="JIL11" s="111"/>
      <c r="JIM11" s="111"/>
      <c r="JIN11" s="111"/>
      <c r="JIO11" s="111"/>
      <c r="JIP11" s="111"/>
      <c r="JIQ11" s="111"/>
      <c r="JIR11" s="111"/>
      <c r="JIS11" s="111"/>
      <c r="JIT11" s="111"/>
      <c r="JIU11" s="111"/>
      <c r="JIV11" s="111"/>
      <c r="JIW11" s="111"/>
      <c r="JIX11" s="111"/>
      <c r="JIY11" s="111"/>
      <c r="JIZ11" s="111"/>
      <c r="JJA11" s="111"/>
      <c r="JJB11" s="111"/>
      <c r="JJC11" s="111"/>
      <c r="JJD11" s="111"/>
      <c r="JJE11" s="111"/>
      <c r="JJF11" s="111"/>
      <c r="JJG11" s="111"/>
      <c r="JJH11" s="111"/>
      <c r="JJI11" s="111"/>
      <c r="JJJ11" s="111"/>
      <c r="JJK11" s="111"/>
      <c r="JJL11" s="111"/>
      <c r="JJM11" s="111"/>
      <c r="JJN11" s="111"/>
      <c r="JJO11" s="111"/>
      <c r="JJP11" s="111"/>
      <c r="JJQ11" s="111"/>
      <c r="JJR11" s="111"/>
      <c r="JJS11" s="111"/>
      <c r="JJT11" s="111"/>
      <c r="JJU11" s="111"/>
      <c r="JJV11" s="111"/>
      <c r="JJW11" s="111"/>
      <c r="JJX11" s="111"/>
      <c r="JJY11" s="111"/>
      <c r="JJZ11" s="111"/>
      <c r="JKA11" s="111"/>
      <c r="JKB11" s="111"/>
      <c r="JKC11" s="111"/>
      <c r="JKD11" s="111"/>
      <c r="JKE11" s="111"/>
      <c r="JKF11" s="111"/>
      <c r="JKG11" s="111"/>
      <c r="JKH11" s="111"/>
      <c r="JKI11" s="111"/>
      <c r="JKJ11" s="111"/>
      <c r="JKK11" s="111"/>
      <c r="JKL11" s="111"/>
      <c r="JKM11" s="111"/>
      <c r="JKN11" s="111"/>
      <c r="JKO11" s="111"/>
      <c r="JKP11" s="111"/>
      <c r="JKQ11" s="111"/>
      <c r="JKR11" s="111"/>
      <c r="JKS11" s="111"/>
      <c r="JKT11" s="111"/>
      <c r="JKU11" s="111"/>
      <c r="JKV11" s="111"/>
      <c r="JKW11" s="111"/>
      <c r="JKX11" s="111"/>
      <c r="JKY11" s="111"/>
      <c r="JKZ11" s="111"/>
      <c r="JLA11" s="111"/>
      <c r="JLB11" s="111"/>
      <c r="JLC11" s="111"/>
      <c r="JLD11" s="111"/>
      <c r="JLE11" s="111"/>
      <c r="JLF11" s="111"/>
      <c r="JLG11" s="111"/>
      <c r="JLH11" s="111"/>
      <c r="JLI11" s="111"/>
      <c r="JLJ11" s="111"/>
      <c r="JLK11" s="111"/>
      <c r="JLL11" s="111"/>
      <c r="JLM11" s="111"/>
      <c r="JLN11" s="111"/>
      <c r="JLO11" s="111"/>
      <c r="JLP11" s="111"/>
      <c r="JLQ11" s="111"/>
      <c r="JLR11" s="111"/>
      <c r="JLS11" s="111"/>
      <c r="JLT11" s="111"/>
      <c r="JLU11" s="111"/>
      <c r="JLV11" s="111"/>
      <c r="JLW11" s="111"/>
      <c r="JLX11" s="111"/>
      <c r="JLY11" s="111"/>
      <c r="JLZ11" s="111"/>
      <c r="JMA11" s="111"/>
      <c r="JMB11" s="111"/>
      <c r="JMC11" s="111"/>
      <c r="JMD11" s="111"/>
      <c r="JME11" s="111"/>
      <c r="JMF11" s="111"/>
      <c r="JMG11" s="111"/>
      <c r="JMH11" s="111"/>
      <c r="JMI11" s="111"/>
      <c r="JMJ11" s="111"/>
      <c r="JMK11" s="111"/>
      <c r="JML11" s="111"/>
      <c r="JMM11" s="111"/>
      <c r="JMN11" s="111"/>
      <c r="JMO11" s="111"/>
      <c r="JMP11" s="111"/>
      <c r="JMQ11" s="111"/>
      <c r="JMR11" s="111"/>
      <c r="JMS11" s="111"/>
      <c r="JMT11" s="111"/>
      <c r="JMU11" s="111"/>
      <c r="JMV11" s="111"/>
      <c r="JMW11" s="111"/>
      <c r="JMX11" s="111"/>
      <c r="JMY11" s="111"/>
      <c r="JMZ11" s="111"/>
      <c r="JNA11" s="111"/>
      <c r="JNB11" s="111"/>
      <c r="JNC11" s="111"/>
      <c r="JND11" s="111"/>
      <c r="JNE11" s="111"/>
      <c r="JNF11" s="111"/>
      <c r="JNG11" s="111"/>
      <c r="JNH11" s="111"/>
      <c r="JNI11" s="111"/>
      <c r="JNJ11" s="111"/>
      <c r="JNK11" s="111"/>
      <c r="JNL11" s="111"/>
      <c r="JNM11" s="111"/>
      <c r="JNN11" s="111"/>
      <c r="JNO11" s="111"/>
      <c r="JNP11" s="111"/>
      <c r="JNQ11" s="111"/>
      <c r="JNR11" s="111"/>
      <c r="JNS11" s="111"/>
      <c r="JNT11" s="111"/>
      <c r="JNU11" s="111"/>
      <c r="JNV11" s="111"/>
      <c r="JNW11" s="111"/>
      <c r="JNX11" s="111"/>
      <c r="JNY11" s="111"/>
      <c r="JNZ11" s="111"/>
      <c r="JOA11" s="111"/>
      <c r="JOB11" s="111"/>
      <c r="JOC11" s="111"/>
      <c r="JOD11" s="111"/>
      <c r="JOE11" s="111"/>
      <c r="JOF11" s="111"/>
      <c r="JOG11" s="111"/>
      <c r="JOH11" s="111"/>
      <c r="JOI11" s="111"/>
      <c r="JOJ11" s="111"/>
      <c r="JOK11" s="111"/>
      <c r="JOL11" s="111"/>
      <c r="JOM11" s="111"/>
      <c r="JON11" s="111"/>
      <c r="JOO11" s="111"/>
      <c r="JOP11" s="111"/>
      <c r="JOQ11" s="111"/>
      <c r="JOR11" s="111"/>
      <c r="JOS11" s="111"/>
      <c r="JOT11" s="111"/>
      <c r="JOU11" s="111"/>
      <c r="JOV11" s="111"/>
      <c r="JOW11" s="111"/>
      <c r="JOX11" s="111"/>
      <c r="JOY11" s="111"/>
      <c r="JOZ11" s="111"/>
      <c r="JPA11" s="111"/>
      <c r="JPB11" s="111"/>
      <c r="JPC11" s="111"/>
      <c r="JPD11" s="111"/>
      <c r="JPE11" s="111"/>
      <c r="JPF11" s="111"/>
      <c r="JPG11" s="111"/>
      <c r="JPH11" s="111"/>
      <c r="JPI11" s="111"/>
      <c r="JPJ11" s="111"/>
      <c r="JPK11" s="111"/>
      <c r="JPL11" s="111"/>
      <c r="JPM11" s="111"/>
      <c r="JPN11" s="111"/>
      <c r="JPO11" s="111"/>
      <c r="JPP11" s="111"/>
      <c r="JPQ11" s="111"/>
      <c r="JPR11" s="111"/>
      <c r="JPS11" s="111"/>
      <c r="JPT11" s="111"/>
      <c r="JPU11" s="111"/>
      <c r="JPV11" s="111"/>
      <c r="JPW11" s="111"/>
      <c r="JPX11" s="111"/>
      <c r="JPY11" s="111"/>
      <c r="JPZ11" s="111"/>
      <c r="JQA11" s="111"/>
      <c r="JQB11" s="111"/>
      <c r="JQC11" s="111"/>
      <c r="JQD11" s="111"/>
      <c r="JQE11" s="111"/>
      <c r="JQF11" s="111"/>
      <c r="JQG11" s="111"/>
      <c r="JQH11" s="111"/>
      <c r="JQI11" s="111"/>
      <c r="JQJ11" s="111"/>
      <c r="JQK11" s="111"/>
      <c r="JQL11" s="111"/>
      <c r="JQM11" s="111"/>
      <c r="JQN11" s="111"/>
      <c r="JQO11" s="111"/>
      <c r="JQP11" s="111"/>
      <c r="JQQ11" s="111"/>
      <c r="JQR11" s="111"/>
      <c r="JQS11" s="111"/>
      <c r="JQT11" s="111"/>
      <c r="JQU11" s="111"/>
      <c r="JQV11" s="111"/>
      <c r="JQW11" s="111"/>
      <c r="JQX11" s="111"/>
      <c r="JQY11" s="111"/>
      <c r="JQZ11" s="111"/>
      <c r="JRA11" s="111"/>
      <c r="JRB11" s="111"/>
      <c r="JRC11" s="111"/>
      <c r="JRD11" s="111"/>
      <c r="JRE11" s="111"/>
      <c r="JRF11" s="111"/>
      <c r="JRG11" s="111"/>
      <c r="JRH11" s="111"/>
      <c r="JRI11" s="111"/>
      <c r="JRJ11" s="111"/>
      <c r="JRK11" s="111"/>
      <c r="JRL11" s="111"/>
      <c r="JRM11" s="111"/>
      <c r="JRN11" s="111"/>
      <c r="JRO11" s="111"/>
      <c r="JRP11" s="111"/>
      <c r="JRQ11" s="111"/>
      <c r="JRR11" s="111"/>
      <c r="JRS11" s="111"/>
      <c r="JRT11" s="111"/>
      <c r="JRU11" s="111"/>
      <c r="JRV11" s="111"/>
      <c r="JRW11" s="111"/>
      <c r="JRX11" s="111"/>
      <c r="JRY11" s="111"/>
      <c r="JRZ11" s="111"/>
      <c r="JSA11" s="111"/>
      <c r="JSB11" s="111"/>
      <c r="JSC11" s="111"/>
      <c r="JSD11" s="111"/>
      <c r="JSE11" s="111"/>
      <c r="JSF11" s="111"/>
      <c r="JSG11" s="111"/>
      <c r="JSH11" s="111"/>
      <c r="JSI11" s="111"/>
      <c r="JSJ11" s="111"/>
      <c r="JSK11" s="111"/>
      <c r="JSL11" s="111"/>
      <c r="JSM11" s="111"/>
      <c r="JSN11" s="111"/>
      <c r="JSO11" s="111"/>
      <c r="JSP11" s="111"/>
      <c r="JSQ11" s="111"/>
      <c r="JSR11" s="111"/>
      <c r="JSS11" s="111"/>
      <c r="JST11" s="111"/>
      <c r="JSU11" s="111"/>
      <c r="JSV11" s="111"/>
      <c r="JSW11" s="111"/>
      <c r="JSX11" s="111"/>
      <c r="JSY11" s="111"/>
      <c r="JSZ11" s="111"/>
      <c r="JTA11" s="111"/>
      <c r="JTB11" s="111"/>
      <c r="JTC11" s="111"/>
      <c r="JTD11" s="111"/>
      <c r="JTE11" s="111"/>
      <c r="JTF11" s="111"/>
      <c r="JTG11" s="111"/>
      <c r="JTH11" s="111"/>
      <c r="JTI11" s="111"/>
      <c r="JTJ11" s="111"/>
      <c r="JTK11" s="111"/>
      <c r="JTL11" s="111"/>
      <c r="JTM11" s="111"/>
      <c r="JTN11" s="111"/>
      <c r="JTO11" s="111"/>
      <c r="JTP11" s="111"/>
      <c r="JTQ11" s="111"/>
      <c r="JTR11" s="111"/>
      <c r="JTS11" s="111"/>
      <c r="JTT11" s="111"/>
      <c r="JTU11" s="111"/>
      <c r="JTV11" s="111"/>
      <c r="JTW11" s="111"/>
      <c r="JTX11" s="111"/>
      <c r="JTY11" s="111"/>
      <c r="JTZ11" s="111"/>
      <c r="JUA11" s="111"/>
      <c r="JUB11" s="111"/>
      <c r="JUC11" s="111"/>
      <c r="JUD11" s="111"/>
      <c r="JUE11" s="111"/>
      <c r="JUF11" s="111"/>
      <c r="JUG11" s="111"/>
      <c r="JUH11" s="111"/>
      <c r="JUI11" s="111"/>
      <c r="JUJ11" s="111"/>
      <c r="JUK11" s="111"/>
      <c r="JUL11" s="111"/>
      <c r="JUM11" s="111"/>
      <c r="JUN11" s="111"/>
      <c r="JUO11" s="111"/>
      <c r="JUP11" s="111"/>
      <c r="JUQ11" s="111"/>
      <c r="JUR11" s="111"/>
      <c r="JUS11" s="111"/>
      <c r="JUT11" s="111"/>
      <c r="JUU11" s="111"/>
      <c r="JUV11" s="111"/>
      <c r="JUW11" s="111"/>
      <c r="JUX11" s="111"/>
      <c r="JUY11" s="111"/>
      <c r="JUZ11" s="111"/>
      <c r="JVA11" s="111"/>
      <c r="JVB11" s="111"/>
      <c r="JVC11" s="111"/>
      <c r="JVD11" s="111"/>
      <c r="JVE11" s="111"/>
      <c r="JVF11" s="111"/>
      <c r="JVG11" s="111"/>
      <c r="JVH11" s="111"/>
      <c r="JVI11" s="111"/>
      <c r="JVJ11" s="111"/>
      <c r="JVK11" s="111"/>
      <c r="JVL11" s="111"/>
      <c r="JVM11" s="111"/>
      <c r="JVN11" s="111"/>
      <c r="JVO11" s="111"/>
      <c r="JVP11" s="111"/>
      <c r="JVQ11" s="111"/>
      <c r="JVR11" s="111"/>
      <c r="JVS11" s="111"/>
      <c r="JVT11" s="111"/>
      <c r="JVU11" s="111"/>
      <c r="JVV11" s="111"/>
      <c r="JVW11" s="111"/>
      <c r="JVX11" s="111"/>
      <c r="JVY11" s="111"/>
      <c r="JVZ11" s="111"/>
      <c r="JWA11" s="111"/>
      <c r="JWB11" s="111"/>
      <c r="JWC11" s="111"/>
      <c r="JWD11" s="111"/>
      <c r="JWE11" s="111"/>
      <c r="JWF11" s="111"/>
      <c r="JWG11" s="111"/>
      <c r="JWH11" s="111"/>
      <c r="JWI11" s="111"/>
      <c r="JWJ11" s="111"/>
      <c r="JWK11" s="111"/>
      <c r="JWL11" s="111"/>
      <c r="JWM11" s="111"/>
      <c r="JWN11" s="111"/>
      <c r="JWO11" s="111"/>
      <c r="JWP11" s="111"/>
      <c r="JWQ11" s="111"/>
      <c r="JWR11" s="111"/>
      <c r="JWS11" s="111"/>
      <c r="JWT11" s="111"/>
      <c r="JWU11" s="111"/>
      <c r="JWV11" s="111"/>
      <c r="JWW11" s="111"/>
      <c r="JWX11" s="111"/>
      <c r="JWY11" s="111"/>
      <c r="JWZ11" s="111"/>
      <c r="JXA11" s="111"/>
      <c r="JXB11" s="111"/>
      <c r="JXC11" s="111"/>
      <c r="JXD11" s="111"/>
      <c r="JXE11" s="111"/>
      <c r="JXF11" s="111"/>
      <c r="JXG11" s="111"/>
      <c r="JXH11" s="111"/>
      <c r="JXI11" s="111"/>
      <c r="JXJ11" s="111"/>
      <c r="JXK11" s="111"/>
      <c r="JXL11" s="111"/>
      <c r="JXM11" s="111"/>
      <c r="JXN11" s="111"/>
      <c r="JXO11" s="111"/>
      <c r="JXP11" s="111"/>
      <c r="JXQ11" s="111"/>
      <c r="JXR11" s="111"/>
      <c r="JXS11" s="111"/>
      <c r="JXT11" s="111"/>
      <c r="JXU11" s="111"/>
      <c r="JXV11" s="111"/>
      <c r="JXW11" s="111"/>
      <c r="JXX11" s="111"/>
      <c r="JXY11" s="111"/>
      <c r="JXZ11" s="111"/>
      <c r="JYA11" s="111"/>
      <c r="JYB11" s="111"/>
      <c r="JYC11" s="111"/>
      <c r="JYD11" s="111"/>
      <c r="JYE11" s="111"/>
      <c r="JYF11" s="111"/>
      <c r="JYG11" s="111"/>
      <c r="JYH11" s="111"/>
      <c r="JYI11" s="111"/>
      <c r="JYJ11" s="111"/>
      <c r="JYK11" s="111"/>
      <c r="JYL11" s="111"/>
      <c r="JYM11" s="111"/>
      <c r="JYN11" s="111"/>
      <c r="JYO11" s="111"/>
      <c r="JYP11" s="111"/>
      <c r="JYQ11" s="111"/>
      <c r="JYR11" s="111"/>
      <c r="JYS11" s="111"/>
      <c r="JYT11" s="111"/>
      <c r="JYU11" s="111"/>
      <c r="JYV11" s="111"/>
      <c r="JYW11" s="111"/>
      <c r="JYX11" s="111"/>
      <c r="JYY11" s="111"/>
      <c r="JYZ11" s="111"/>
      <c r="JZA11" s="111"/>
      <c r="JZB11" s="111"/>
      <c r="JZC11" s="111"/>
      <c r="JZD11" s="111"/>
      <c r="JZE11" s="111"/>
      <c r="JZF11" s="111"/>
      <c r="JZG11" s="111"/>
      <c r="JZH11" s="111"/>
      <c r="JZI11" s="111"/>
      <c r="JZJ11" s="111"/>
      <c r="JZK11" s="111"/>
      <c r="JZL11" s="111"/>
      <c r="JZM11" s="111"/>
      <c r="JZN11" s="111"/>
      <c r="JZO11" s="111"/>
      <c r="JZP11" s="111"/>
      <c r="JZQ11" s="111"/>
      <c r="JZR11" s="111"/>
      <c r="JZS11" s="111"/>
      <c r="JZT11" s="111"/>
      <c r="JZU11" s="111"/>
      <c r="JZV11" s="111"/>
      <c r="JZW11" s="111"/>
      <c r="JZX11" s="111"/>
      <c r="JZY11" s="111"/>
      <c r="JZZ11" s="111"/>
      <c r="KAA11" s="111"/>
      <c r="KAB11" s="111"/>
      <c r="KAC11" s="111"/>
      <c r="KAD11" s="111"/>
      <c r="KAE11" s="111"/>
      <c r="KAF11" s="111"/>
      <c r="KAG11" s="111"/>
      <c r="KAH11" s="111"/>
      <c r="KAI11" s="111"/>
      <c r="KAJ11" s="111"/>
      <c r="KAK11" s="111"/>
      <c r="KAL11" s="111"/>
      <c r="KAM11" s="111"/>
      <c r="KAN11" s="111"/>
      <c r="KAO11" s="111"/>
      <c r="KAP11" s="111"/>
      <c r="KAQ11" s="111"/>
      <c r="KAR11" s="111"/>
      <c r="KAS11" s="111"/>
      <c r="KAT11" s="111"/>
      <c r="KAU11" s="111"/>
      <c r="KAV11" s="111"/>
      <c r="KAW11" s="111"/>
      <c r="KAX11" s="111"/>
      <c r="KAY11" s="111"/>
      <c r="KAZ11" s="111"/>
      <c r="KBA11" s="111"/>
      <c r="KBB11" s="111"/>
      <c r="KBC11" s="111"/>
      <c r="KBD11" s="111"/>
      <c r="KBE11" s="111"/>
      <c r="KBF11" s="111"/>
      <c r="KBG11" s="111"/>
      <c r="KBH11" s="111"/>
      <c r="KBI11" s="111"/>
      <c r="KBJ11" s="111"/>
      <c r="KBK11" s="111"/>
      <c r="KBL11" s="111"/>
      <c r="KBM11" s="111"/>
      <c r="KBN11" s="111"/>
      <c r="KBO11" s="111"/>
      <c r="KBP11" s="111"/>
      <c r="KBQ11" s="111"/>
      <c r="KBR11" s="111"/>
      <c r="KBS11" s="111"/>
      <c r="KBT11" s="111"/>
      <c r="KBU11" s="111"/>
      <c r="KBV11" s="111"/>
      <c r="KBW11" s="111"/>
      <c r="KBX11" s="111"/>
      <c r="KBY11" s="111"/>
      <c r="KBZ11" s="111"/>
      <c r="KCA11" s="111"/>
      <c r="KCB11" s="111"/>
      <c r="KCC11" s="111"/>
      <c r="KCD11" s="111"/>
      <c r="KCE11" s="111"/>
      <c r="KCF11" s="111"/>
      <c r="KCG11" s="111"/>
      <c r="KCH11" s="111"/>
      <c r="KCI11" s="111"/>
      <c r="KCJ11" s="111"/>
      <c r="KCK11" s="111"/>
      <c r="KCL11" s="111"/>
      <c r="KCM11" s="111"/>
      <c r="KCN11" s="111"/>
      <c r="KCO11" s="111"/>
      <c r="KCP11" s="111"/>
      <c r="KCQ11" s="111"/>
      <c r="KCR11" s="111"/>
      <c r="KCS11" s="111"/>
      <c r="KCT11" s="111"/>
      <c r="KCU11" s="111"/>
      <c r="KCV11" s="111"/>
      <c r="KCW11" s="111"/>
      <c r="KCX11" s="111"/>
      <c r="KCY11" s="111"/>
      <c r="KCZ11" s="111"/>
      <c r="KDA11" s="111"/>
      <c r="KDB11" s="111"/>
      <c r="KDC11" s="111"/>
      <c r="KDD11" s="111"/>
      <c r="KDE11" s="111"/>
      <c r="KDF11" s="111"/>
      <c r="KDG11" s="111"/>
      <c r="KDH11" s="111"/>
      <c r="KDI11" s="111"/>
      <c r="KDJ11" s="111"/>
      <c r="KDK11" s="111"/>
      <c r="KDL11" s="111"/>
      <c r="KDM11" s="111"/>
      <c r="KDN11" s="111"/>
      <c r="KDO11" s="111"/>
      <c r="KDP11" s="111"/>
      <c r="KDQ11" s="111"/>
      <c r="KDR11" s="111"/>
      <c r="KDS11" s="111"/>
      <c r="KDT11" s="111"/>
      <c r="KDU11" s="111"/>
      <c r="KDV11" s="111"/>
      <c r="KDW11" s="111"/>
      <c r="KDX11" s="111"/>
      <c r="KDY11" s="111"/>
      <c r="KDZ11" s="111"/>
      <c r="KEA11" s="111"/>
      <c r="KEB11" s="111"/>
      <c r="KEC11" s="111"/>
      <c r="KED11" s="111"/>
      <c r="KEE11" s="111"/>
      <c r="KEF11" s="111"/>
      <c r="KEG11" s="111"/>
      <c r="KEH11" s="111"/>
      <c r="KEI11" s="111"/>
      <c r="KEJ11" s="111"/>
      <c r="KEK11" s="111"/>
      <c r="KEL11" s="111"/>
      <c r="KEM11" s="111"/>
      <c r="KEN11" s="111"/>
      <c r="KEO11" s="111"/>
      <c r="KEP11" s="111"/>
      <c r="KEQ11" s="111"/>
      <c r="KER11" s="111"/>
      <c r="KES11" s="111"/>
      <c r="KET11" s="111"/>
      <c r="KEU11" s="111"/>
      <c r="KEV11" s="111"/>
      <c r="KEW11" s="111"/>
      <c r="KEX11" s="111"/>
      <c r="KEY11" s="111"/>
      <c r="KEZ11" s="111"/>
      <c r="KFA11" s="111"/>
      <c r="KFB11" s="111"/>
      <c r="KFC11" s="111"/>
      <c r="KFD11" s="111"/>
      <c r="KFE11" s="111"/>
      <c r="KFF11" s="111"/>
      <c r="KFG11" s="111"/>
      <c r="KFH11" s="111"/>
      <c r="KFI11" s="111"/>
      <c r="KFJ11" s="111"/>
      <c r="KFK11" s="111"/>
      <c r="KFL11" s="111"/>
      <c r="KFM11" s="111"/>
      <c r="KFN11" s="111"/>
      <c r="KFO11" s="111"/>
      <c r="KFP11" s="111"/>
      <c r="KFQ11" s="111"/>
      <c r="KFR11" s="111"/>
      <c r="KFS11" s="111"/>
      <c r="KFT11" s="111"/>
      <c r="KFU11" s="111"/>
      <c r="KFV11" s="111"/>
      <c r="KFW11" s="111"/>
      <c r="KFX11" s="111"/>
      <c r="KFY11" s="111"/>
      <c r="KFZ11" s="111"/>
      <c r="KGA11" s="111"/>
      <c r="KGB11" s="111"/>
      <c r="KGC11" s="111"/>
      <c r="KGD11" s="111"/>
      <c r="KGE11" s="111"/>
      <c r="KGF11" s="111"/>
      <c r="KGG11" s="111"/>
      <c r="KGH11" s="111"/>
      <c r="KGI11" s="111"/>
      <c r="KGJ11" s="111"/>
      <c r="KGK11" s="111"/>
      <c r="KGL11" s="111"/>
      <c r="KGM11" s="111"/>
      <c r="KGN11" s="111"/>
      <c r="KGO11" s="111"/>
      <c r="KGP11" s="111"/>
      <c r="KGQ11" s="111"/>
      <c r="KGR11" s="111"/>
      <c r="KGS11" s="111"/>
      <c r="KGT11" s="111"/>
      <c r="KGU11" s="111"/>
      <c r="KGV11" s="111"/>
      <c r="KGW11" s="111"/>
      <c r="KGX11" s="111"/>
      <c r="KGY11" s="111"/>
      <c r="KGZ11" s="111"/>
      <c r="KHA11" s="111"/>
      <c r="KHB11" s="111"/>
      <c r="KHC11" s="111"/>
      <c r="KHD11" s="111"/>
      <c r="KHE11" s="111"/>
      <c r="KHF11" s="111"/>
      <c r="KHG11" s="111"/>
      <c r="KHH11" s="111"/>
      <c r="KHI11" s="111"/>
      <c r="KHJ11" s="111"/>
      <c r="KHK11" s="111"/>
      <c r="KHL11" s="111"/>
      <c r="KHM11" s="111"/>
      <c r="KHN11" s="111"/>
      <c r="KHO11" s="111"/>
      <c r="KHP11" s="111"/>
      <c r="KHQ11" s="111"/>
      <c r="KHR11" s="111"/>
      <c r="KHS11" s="111"/>
      <c r="KHT11" s="111"/>
      <c r="KHU11" s="111"/>
      <c r="KHV11" s="111"/>
      <c r="KHW11" s="111"/>
      <c r="KHX11" s="111"/>
      <c r="KHY11" s="111"/>
      <c r="KHZ11" s="111"/>
      <c r="KIA11" s="111"/>
      <c r="KIB11" s="111"/>
      <c r="KIC11" s="111"/>
      <c r="KID11" s="111"/>
      <c r="KIE11" s="111"/>
      <c r="KIF11" s="111"/>
      <c r="KIG11" s="111"/>
      <c r="KIH11" s="111"/>
      <c r="KII11" s="111"/>
      <c r="KIJ11" s="111"/>
      <c r="KIK11" s="111"/>
      <c r="KIL11" s="111"/>
      <c r="KIM11" s="111"/>
      <c r="KIN11" s="111"/>
      <c r="KIO11" s="111"/>
      <c r="KIP11" s="111"/>
      <c r="KIQ11" s="111"/>
      <c r="KIR11" s="111"/>
      <c r="KIS11" s="111"/>
      <c r="KIT11" s="111"/>
      <c r="KIU11" s="111"/>
      <c r="KIV11" s="111"/>
      <c r="KIW11" s="111"/>
      <c r="KIX11" s="111"/>
      <c r="KIY11" s="111"/>
      <c r="KIZ11" s="111"/>
      <c r="KJA11" s="111"/>
      <c r="KJB11" s="111"/>
      <c r="KJC11" s="111"/>
      <c r="KJD11" s="111"/>
      <c r="KJE11" s="111"/>
      <c r="KJF11" s="111"/>
      <c r="KJG11" s="111"/>
      <c r="KJH11" s="111"/>
      <c r="KJI11" s="111"/>
      <c r="KJJ11" s="111"/>
      <c r="KJK11" s="111"/>
      <c r="KJL11" s="111"/>
      <c r="KJM11" s="111"/>
      <c r="KJN11" s="111"/>
      <c r="KJO11" s="111"/>
      <c r="KJP11" s="111"/>
      <c r="KJQ11" s="111"/>
      <c r="KJR11" s="111"/>
      <c r="KJS11" s="111"/>
      <c r="KJT11" s="111"/>
      <c r="KJU11" s="111"/>
      <c r="KJV11" s="111"/>
      <c r="KJW11" s="111"/>
      <c r="KJX11" s="111"/>
      <c r="KJY11" s="111"/>
      <c r="KJZ11" s="111"/>
      <c r="KKA11" s="111"/>
      <c r="KKB11" s="111"/>
      <c r="KKC11" s="111"/>
      <c r="KKD11" s="111"/>
      <c r="KKE11" s="111"/>
      <c r="KKF11" s="111"/>
      <c r="KKG11" s="111"/>
      <c r="KKH11" s="111"/>
      <c r="KKI11" s="111"/>
      <c r="KKJ11" s="111"/>
      <c r="KKK11" s="111"/>
      <c r="KKL11" s="111"/>
      <c r="KKM11" s="111"/>
      <c r="KKN11" s="111"/>
      <c r="KKO11" s="111"/>
      <c r="KKP11" s="111"/>
      <c r="KKQ11" s="111"/>
      <c r="KKR11" s="111"/>
      <c r="KKS11" s="111"/>
      <c r="KKT11" s="111"/>
      <c r="KKU11" s="111"/>
      <c r="KKV11" s="111"/>
      <c r="KKW11" s="111"/>
      <c r="KKX11" s="111"/>
      <c r="KKY11" s="111"/>
      <c r="KKZ11" s="111"/>
      <c r="KLA11" s="111"/>
      <c r="KLB11" s="111"/>
      <c r="KLC11" s="111"/>
      <c r="KLD11" s="111"/>
      <c r="KLE11" s="111"/>
      <c r="KLF11" s="111"/>
      <c r="KLG11" s="111"/>
      <c r="KLH11" s="111"/>
      <c r="KLI11" s="111"/>
      <c r="KLJ11" s="111"/>
      <c r="KLK11" s="111"/>
      <c r="KLL11" s="111"/>
      <c r="KLM11" s="111"/>
      <c r="KLN11" s="111"/>
      <c r="KLO11" s="111"/>
      <c r="KLP11" s="111"/>
      <c r="KLQ11" s="111"/>
      <c r="KLR11" s="111"/>
      <c r="KLS11" s="111"/>
      <c r="KLT11" s="111"/>
      <c r="KLU11" s="111"/>
      <c r="KLV11" s="111"/>
      <c r="KLW11" s="111"/>
      <c r="KLX11" s="111"/>
      <c r="KLY11" s="111"/>
      <c r="KLZ11" s="111"/>
      <c r="KMA11" s="111"/>
      <c r="KMB11" s="111"/>
      <c r="KMC11" s="111"/>
      <c r="KMD11" s="111"/>
      <c r="KME11" s="111"/>
      <c r="KMF11" s="111"/>
      <c r="KMG11" s="111"/>
      <c r="KMH11" s="111"/>
      <c r="KMI11" s="111"/>
      <c r="KMJ11" s="111"/>
      <c r="KMK11" s="111"/>
      <c r="KML11" s="111"/>
      <c r="KMM11" s="111"/>
      <c r="KMN11" s="111"/>
      <c r="KMO11" s="111"/>
      <c r="KMP11" s="111"/>
      <c r="KMQ11" s="111"/>
      <c r="KMR11" s="111"/>
      <c r="KMS11" s="111"/>
      <c r="KMT11" s="111"/>
      <c r="KMU11" s="111"/>
      <c r="KMV11" s="111"/>
      <c r="KMW11" s="111"/>
      <c r="KMX11" s="111"/>
      <c r="KMY11" s="111"/>
      <c r="KMZ11" s="111"/>
      <c r="KNA11" s="111"/>
      <c r="KNB11" s="111"/>
      <c r="KNC11" s="111"/>
      <c r="KND11" s="111"/>
      <c r="KNE11" s="111"/>
      <c r="KNF11" s="111"/>
      <c r="KNG11" s="111"/>
      <c r="KNH11" s="111"/>
      <c r="KNI11" s="111"/>
      <c r="KNJ11" s="111"/>
      <c r="KNK11" s="111"/>
      <c r="KNL11" s="111"/>
      <c r="KNM11" s="111"/>
      <c r="KNN11" s="111"/>
      <c r="KNO11" s="111"/>
      <c r="KNP11" s="111"/>
      <c r="KNQ11" s="111"/>
      <c r="KNR11" s="111"/>
      <c r="KNS11" s="111"/>
      <c r="KNT11" s="111"/>
      <c r="KNU11" s="111"/>
      <c r="KNV11" s="111"/>
      <c r="KNW11" s="111"/>
      <c r="KNX11" s="111"/>
      <c r="KNY11" s="111"/>
      <c r="KNZ11" s="111"/>
      <c r="KOA11" s="111"/>
      <c r="KOB11" s="111"/>
      <c r="KOC11" s="111"/>
      <c r="KOD11" s="111"/>
      <c r="KOE11" s="111"/>
      <c r="KOF11" s="111"/>
      <c r="KOG11" s="111"/>
      <c r="KOH11" s="111"/>
      <c r="KOI11" s="111"/>
      <c r="KOJ11" s="111"/>
      <c r="KOK11" s="111"/>
      <c r="KOL11" s="111"/>
      <c r="KOM11" s="111"/>
      <c r="KON11" s="111"/>
      <c r="KOO11" s="111"/>
      <c r="KOP11" s="111"/>
      <c r="KOQ11" s="111"/>
      <c r="KOR11" s="111"/>
      <c r="KOS11" s="111"/>
      <c r="KOT11" s="111"/>
      <c r="KOU11" s="111"/>
      <c r="KOV11" s="111"/>
      <c r="KOW11" s="111"/>
      <c r="KOX11" s="111"/>
      <c r="KOY11" s="111"/>
      <c r="KOZ11" s="111"/>
      <c r="KPA11" s="111"/>
      <c r="KPB11" s="111"/>
      <c r="KPC11" s="111"/>
      <c r="KPD11" s="111"/>
      <c r="KPE11" s="111"/>
      <c r="KPF11" s="111"/>
      <c r="KPG11" s="111"/>
      <c r="KPH11" s="111"/>
      <c r="KPI11" s="111"/>
      <c r="KPJ11" s="111"/>
      <c r="KPK11" s="111"/>
      <c r="KPL11" s="111"/>
      <c r="KPM11" s="111"/>
      <c r="KPN11" s="111"/>
      <c r="KPO11" s="111"/>
      <c r="KPP11" s="111"/>
      <c r="KPQ11" s="111"/>
      <c r="KPR11" s="111"/>
      <c r="KPS11" s="111"/>
      <c r="KPT11" s="111"/>
      <c r="KPU11" s="111"/>
      <c r="KPV11" s="111"/>
      <c r="KPW11" s="111"/>
      <c r="KPX11" s="111"/>
      <c r="KPY11" s="111"/>
      <c r="KPZ11" s="111"/>
      <c r="KQA11" s="111"/>
      <c r="KQB11" s="111"/>
      <c r="KQC11" s="111"/>
      <c r="KQD11" s="111"/>
      <c r="KQE11" s="111"/>
      <c r="KQF11" s="111"/>
      <c r="KQG11" s="111"/>
      <c r="KQH11" s="111"/>
      <c r="KQI11" s="111"/>
      <c r="KQJ11" s="111"/>
      <c r="KQK11" s="111"/>
      <c r="KQL11" s="111"/>
      <c r="KQM11" s="111"/>
      <c r="KQN11" s="111"/>
      <c r="KQO11" s="111"/>
      <c r="KQP11" s="111"/>
      <c r="KQQ11" s="111"/>
      <c r="KQR11" s="111"/>
      <c r="KQS11" s="111"/>
      <c r="KQT11" s="111"/>
      <c r="KQU11" s="111"/>
      <c r="KQV11" s="111"/>
      <c r="KQW11" s="111"/>
      <c r="KQX11" s="111"/>
      <c r="KQY11" s="111"/>
      <c r="KQZ11" s="111"/>
      <c r="KRA11" s="111"/>
      <c r="KRB11" s="111"/>
      <c r="KRC11" s="111"/>
      <c r="KRD11" s="111"/>
      <c r="KRE11" s="111"/>
      <c r="KRF11" s="111"/>
      <c r="KRG11" s="111"/>
      <c r="KRH11" s="111"/>
      <c r="KRI11" s="111"/>
      <c r="KRJ11" s="111"/>
      <c r="KRK11" s="111"/>
      <c r="KRL11" s="111"/>
      <c r="KRM11" s="111"/>
      <c r="KRN11" s="111"/>
      <c r="KRO11" s="111"/>
      <c r="KRP11" s="111"/>
      <c r="KRQ11" s="111"/>
      <c r="KRR11" s="111"/>
      <c r="KRS11" s="111"/>
      <c r="KRT11" s="111"/>
      <c r="KRU11" s="111"/>
      <c r="KRV11" s="111"/>
      <c r="KRW11" s="111"/>
      <c r="KRX11" s="111"/>
      <c r="KRY11" s="111"/>
      <c r="KRZ11" s="111"/>
      <c r="KSA11" s="111"/>
      <c r="KSB11" s="111"/>
      <c r="KSC11" s="111"/>
      <c r="KSD11" s="111"/>
      <c r="KSE11" s="111"/>
      <c r="KSF11" s="111"/>
      <c r="KSG11" s="111"/>
      <c r="KSH11" s="111"/>
      <c r="KSI11" s="111"/>
      <c r="KSJ11" s="111"/>
      <c r="KSK11" s="111"/>
      <c r="KSL11" s="111"/>
      <c r="KSM11" s="111"/>
      <c r="KSN11" s="111"/>
      <c r="KSO11" s="111"/>
      <c r="KSP11" s="111"/>
      <c r="KSQ11" s="111"/>
      <c r="KSR11" s="111"/>
      <c r="KSS11" s="111"/>
      <c r="KST11" s="111"/>
      <c r="KSU11" s="111"/>
      <c r="KSV11" s="111"/>
      <c r="KSW11" s="111"/>
      <c r="KSX11" s="111"/>
      <c r="KSY11" s="111"/>
      <c r="KSZ11" s="111"/>
      <c r="KTA11" s="111"/>
      <c r="KTB11" s="111"/>
      <c r="KTC11" s="111"/>
      <c r="KTD11" s="111"/>
      <c r="KTE11" s="111"/>
      <c r="KTF11" s="111"/>
      <c r="KTG11" s="111"/>
      <c r="KTH11" s="111"/>
      <c r="KTI11" s="111"/>
      <c r="KTJ11" s="111"/>
      <c r="KTK11" s="111"/>
      <c r="KTL11" s="111"/>
      <c r="KTM11" s="111"/>
      <c r="KTN11" s="111"/>
      <c r="KTO11" s="111"/>
      <c r="KTP11" s="111"/>
      <c r="KTQ11" s="111"/>
      <c r="KTR11" s="111"/>
      <c r="KTS11" s="111"/>
      <c r="KTT11" s="111"/>
      <c r="KTU11" s="111"/>
      <c r="KTV11" s="111"/>
      <c r="KTW11" s="111"/>
      <c r="KTX11" s="111"/>
      <c r="KTY11" s="111"/>
      <c r="KTZ11" s="111"/>
      <c r="KUA11" s="111"/>
      <c r="KUB11" s="111"/>
      <c r="KUC11" s="111"/>
      <c r="KUD11" s="111"/>
      <c r="KUE11" s="111"/>
      <c r="KUF11" s="111"/>
      <c r="KUG11" s="111"/>
      <c r="KUH11" s="111"/>
      <c r="KUI11" s="111"/>
      <c r="KUJ11" s="111"/>
      <c r="KUK11" s="111"/>
      <c r="KUL11" s="111"/>
      <c r="KUM11" s="111"/>
      <c r="KUN11" s="111"/>
      <c r="KUO11" s="111"/>
      <c r="KUP11" s="111"/>
      <c r="KUQ11" s="111"/>
      <c r="KUR11" s="111"/>
      <c r="KUS11" s="111"/>
      <c r="KUT11" s="111"/>
      <c r="KUU11" s="111"/>
      <c r="KUV11" s="111"/>
      <c r="KUW11" s="111"/>
      <c r="KUX11" s="111"/>
      <c r="KUY11" s="111"/>
      <c r="KUZ11" s="111"/>
      <c r="KVA11" s="111"/>
      <c r="KVB11" s="111"/>
      <c r="KVC11" s="111"/>
      <c r="KVD11" s="111"/>
      <c r="KVE11" s="111"/>
      <c r="KVF11" s="111"/>
      <c r="KVG11" s="111"/>
      <c r="KVH11" s="111"/>
      <c r="KVI11" s="111"/>
      <c r="KVJ11" s="111"/>
      <c r="KVK11" s="111"/>
      <c r="KVL11" s="111"/>
      <c r="KVM11" s="111"/>
      <c r="KVN11" s="111"/>
      <c r="KVO11" s="111"/>
      <c r="KVP11" s="111"/>
      <c r="KVQ11" s="111"/>
      <c r="KVR11" s="111"/>
      <c r="KVS11" s="111"/>
      <c r="KVT11" s="111"/>
      <c r="KVU11" s="111"/>
      <c r="KVV11" s="111"/>
      <c r="KVW11" s="111"/>
      <c r="KVX11" s="111"/>
      <c r="KVY11" s="111"/>
      <c r="KVZ11" s="111"/>
      <c r="KWA11" s="111"/>
      <c r="KWB11" s="111"/>
      <c r="KWC11" s="111"/>
      <c r="KWD11" s="111"/>
      <c r="KWE11" s="111"/>
      <c r="KWF11" s="111"/>
      <c r="KWG11" s="111"/>
      <c r="KWH11" s="111"/>
      <c r="KWI11" s="111"/>
      <c r="KWJ11" s="111"/>
      <c r="KWK11" s="111"/>
      <c r="KWL11" s="111"/>
      <c r="KWM11" s="111"/>
      <c r="KWN11" s="111"/>
      <c r="KWO11" s="111"/>
      <c r="KWP11" s="111"/>
      <c r="KWQ11" s="111"/>
      <c r="KWR11" s="111"/>
      <c r="KWS11" s="111"/>
      <c r="KWT11" s="111"/>
      <c r="KWU11" s="111"/>
      <c r="KWV11" s="111"/>
      <c r="KWW11" s="111"/>
      <c r="KWX11" s="111"/>
      <c r="KWY11" s="111"/>
      <c r="KWZ11" s="111"/>
      <c r="KXA11" s="111"/>
      <c r="KXB11" s="111"/>
      <c r="KXC11" s="111"/>
      <c r="KXD11" s="111"/>
      <c r="KXE11" s="111"/>
      <c r="KXF11" s="111"/>
      <c r="KXG11" s="111"/>
      <c r="KXH11" s="111"/>
      <c r="KXI11" s="111"/>
      <c r="KXJ11" s="111"/>
      <c r="KXK11" s="111"/>
      <c r="KXL11" s="111"/>
      <c r="KXM11" s="111"/>
      <c r="KXN11" s="111"/>
      <c r="KXO11" s="111"/>
      <c r="KXP11" s="111"/>
      <c r="KXQ11" s="111"/>
      <c r="KXR11" s="111"/>
      <c r="KXS11" s="111"/>
      <c r="KXT11" s="111"/>
      <c r="KXU11" s="111"/>
      <c r="KXV11" s="111"/>
      <c r="KXW11" s="111"/>
      <c r="KXX11" s="111"/>
      <c r="KXY11" s="111"/>
      <c r="KXZ11" s="111"/>
      <c r="KYA11" s="111"/>
      <c r="KYB11" s="111"/>
      <c r="KYC11" s="111"/>
      <c r="KYD11" s="111"/>
      <c r="KYE11" s="111"/>
      <c r="KYF11" s="111"/>
      <c r="KYG11" s="111"/>
      <c r="KYH11" s="111"/>
      <c r="KYI11" s="111"/>
      <c r="KYJ11" s="111"/>
      <c r="KYK11" s="111"/>
      <c r="KYL11" s="111"/>
      <c r="KYM11" s="111"/>
      <c r="KYN11" s="111"/>
      <c r="KYO11" s="111"/>
      <c r="KYP11" s="111"/>
      <c r="KYQ11" s="111"/>
      <c r="KYR11" s="111"/>
      <c r="KYS11" s="111"/>
      <c r="KYT11" s="111"/>
      <c r="KYU11" s="111"/>
      <c r="KYV11" s="111"/>
      <c r="KYW11" s="111"/>
      <c r="KYX11" s="111"/>
      <c r="KYY11" s="111"/>
      <c r="KYZ11" s="111"/>
      <c r="KZA11" s="111"/>
      <c r="KZB11" s="111"/>
      <c r="KZC11" s="111"/>
      <c r="KZD11" s="111"/>
      <c r="KZE11" s="111"/>
      <c r="KZF11" s="111"/>
      <c r="KZG11" s="111"/>
      <c r="KZH11" s="111"/>
      <c r="KZI11" s="111"/>
      <c r="KZJ11" s="111"/>
      <c r="KZK11" s="111"/>
      <c r="KZL11" s="111"/>
      <c r="KZM11" s="111"/>
      <c r="KZN11" s="111"/>
      <c r="KZO11" s="111"/>
      <c r="KZP11" s="111"/>
      <c r="KZQ11" s="111"/>
      <c r="KZR11" s="111"/>
      <c r="KZS11" s="111"/>
      <c r="KZT11" s="111"/>
      <c r="KZU11" s="111"/>
      <c r="KZV11" s="111"/>
      <c r="KZW11" s="111"/>
      <c r="KZX11" s="111"/>
      <c r="KZY11" s="111"/>
      <c r="KZZ11" s="111"/>
      <c r="LAA11" s="111"/>
      <c r="LAB11" s="111"/>
      <c r="LAC11" s="111"/>
      <c r="LAD11" s="111"/>
      <c r="LAE11" s="111"/>
      <c r="LAF11" s="111"/>
      <c r="LAG11" s="111"/>
      <c r="LAH11" s="111"/>
      <c r="LAI11" s="111"/>
      <c r="LAJ11" s="111"/>
      <c r="LAK11" s="111"/>
      <c r="LAL11" s="111"/>
      <c r="LAM11" s="111"/>
      <c r="LAN11" s="111"/>
      <c r="LAO11" s="111"/>
      <c r="LAP11" s="111"/>
      <c r="LAQ11" s="111"/>
      <c r="LAR11" s="111"/>
      <c r="LAS11" s="111"/>
      <c r="LAT11" s="111"/>
      <c r="LAU11" s="111"/>
      <c r="LAV11" s="111"/>
      <c r="LAW11" s="111"/>
      <c r="LAX11" s="111"/>
      <c r="LAY11" s="111"/>
      <c r="LAZ11" s="111"/>
      <c r="LBA11" s="111"/>
      <c r="LBB11" s="111"/>
      <c r="LBC11" s="111"/>
      <c r="LBD11" s="111"/>
      <c r="LBE11" s="111"/>
      <c r="LBF11" s="111"/>
      <c r="LBG11" s="111"/>
      <c r="LBH11" s="111"/>
      <c r="LBI11" s="111"/>
      <c r="LBJ11" s="111"/>
      <c r="LBK11" s="111"/>
      <c r="LBL11" s="111"/>
      <c r="LBM11" s="111"/>
      <c r="LBN11" s="111"/>
      <c r="LBO11" s="111"/>
      <c r="LBP11" s="111"/>
      <c r="LBQ11" s="111"/>
      <c r="LBR11" s="111"/>
      <c r="LBS11" s="111"/>
      <c r="LBT11" s="111"/>
      <c r="LBU11" s="111"/>
      <c r="LBV11" s="111"/>
      <c r="LBW11" s="111"/>
      <c r="LBX11" s="111"/>
      <c r="LBY11" s="111"/>
      <c r="LBZ11" s="111"/>
      <c r="LCA11" s="111"/>
      <c r="LCB11" s="111"/>
      <c r="LCC11" s="111"/>
      <c r="LCD11" s="111"/>
      <c r="LCE11" s="111"/>
      <c r="LCF11" s="111"/>
      <c r="LCG11" s="111"/>
      <c r="LCH11" s="111"/>
      <c r="LCI11" s="111"/>
      <c r="LCJ11" s="111"/>
      <c r="LCK11" s="111"/>
      <c r="LCL11" s="111"/>
      <c r="LCM11" s="111"/>
      <c r="LCN11" s="111"/>
      <c r="LCO11" s="111"/>
      <c r="LCP11" s="111"/>
      <c r="LCQ11" s="111"/>
      <c r="LCR11" s="111"/>
      <c r="LCS11" s="111"/>
      <c r="LCT11" s="111"/>
      <c r="LCU11" s="111"/>
      <c r="LCV11" s="111"/>
      <c r="LCW11" s="111"/>
      <c r="LCX11" s="111"/>
      <c r="LCY11" s="111"/>
      <c r="LCZ11" s="111"/>
      <c r="LDA11" s="111"/>
      <c r="LDB11" s="111"/>
      <c r="LDC11" s="111"/>
      <c r="LDD11" s="111"/>
      <c r="LDE11" s="111"/>
      <c r="LDF11" s="111"/>
      <c r="LDG11" s="111"/>
      <c r="LDH11" s="111"/>
      <c r="LDI11" s="111"/>
      <c r="LDJ11" s="111"/>
      <c r="LDK11" s="111"/>
      <c r="LDL11" s="111"/>
      <c r="LDM11" s="111"/>
      <c r="LDN11" s="111"/>
      <c r="LDO11" s="111"/>
      <c r="LDP11" s="111"/>
      <c r="LDQ11" s="111"/>
      <c r="LDR11" s="111"/>
      <c r="LDS11" s="111"/>
      <c r="LDT11" s="111"/>
      <c r="LDU11" s="111"/>
      <c r="LDV11" s="111"/>
      <c r="LDW11" s="111"/>
      <c r="LDX11" s="111"/>
      <c r="LDY11" s="111"/>
      <c r="LDZ11" s="111"/>
      <c r="LEA11" s="111"/>
      <c r="LEB11" s="111"/>
      <c r="LEC11" s="111"/>
      <c r="LED11" s="111"/>
      <c r="LEE11" s="111"/>
      <c r="LEF11" s="111"/>
      <c r="LEG11" s="111"/>
      <c r="LEH11" s="111"/>
      <c r="LEI11" s="111"/>
      <c r="LEJ11" s="111"/>
      <c r="LEK11" s="111"/>
      <c r="LEL11" s="111"/>
      <c r="LEM11" s="111"/>
      <c r="LEN11" s="111"/>
      <c r="LEO11" s="111"/>
      <c r="LEP11" s="111"/>
      <c r="LEQ11" s="111"/>
      <c r="LER11" s="111"/>
      <c r="LES11" s="111"/>
      <c r="LET11" s="111"/>
      <c r="LEU11" s="111"/>
      <c r="LEV11" s="111"/>
      <c r="LEW11" s="111"/>
      <c r="LEX11" s="111"/>
      <c r="LEY11" s="111"/>
      <c r="LEZ11" s="111"/>
      <c r="LFA11" s="111"/>
      <c r="LFB11" s="111"/>
      <c r="LFC11" s="111"/>
      <c r="LFD11" s="111"/>
      <c r="LFE11" s="111"/>
      <c r="LFF11" s="111"/>
      <c r="LFG11" s="111"/>
      <c r="LFH11" s="111"/>
      <c r="LFI11" s="111"/>
      <c r="LFJ11" s="111"/>
      <c r="LFK11" s="111"/>
      <c r="LFL11" s="111"/>
      <c r="LFM11" s="111"/>
      <c r="LFN11" s="111"/>
      <c r="LFO11" s="111"/>
      <c r="LFP11" s="111"/>
      <c r="LFQ11" s="111"/>
      <c r="LFR11" s="111"/>
      <c r="LFS11" s="111"/>
      <c r="LFT11" s="111"/>
      <c r="LFU11" s="111"/>
      <c r="LFV11" s="111"/>
      <c r="LFW11" s="111"/>
      <c r="LFX11" s="111"/>
      <c r="LFY11" s="111"/>
      <c r="LFZ11" s="111"/>
      <c r="LGA11" s="111"/>
      <c r="LGB11" s="111"/>
      <c r="LGC11" s="111"/>
      <c r="LGD11" s="111"/>
      <c r="LGE11" s="111"/>
      <c r="LGF11" s="111"/>
      <c r="LGG11" s="111"/>
      <c r="LGH11" s="111"/>
      <c r="LGI11" s="111"/>
      <c r="LGJ11" s="111"/>
      <c r="LGK11" s="111"/>
      <c r="LGL11" s="111"/>
      <c r="LGM11" s="111"/>
      <c r="LGN11" s="111"/>
      <c r="LGO11" s="111"/>
      <c r="LGP11" s="111"/>
      <c r="LGQ11" s="111"/>
      <c r="LGR11" s="111"/>
      <c r="LGS11" s="111"/>
      <c r="LGT11" s="111"/>
      <c r="LGU11" s="111"/>
      <c r="LGV11" s="111"/>
      <c r="LGW11" s="111"/>
      <c r="LGX11" s="111"/>
      <c r="LGY11" s="111"/>
      <c r="LGZ11" s="111"/>
      <c r="LHA11" s="111"/>
      <c r="LHB11" s="111"/>
      <c r="LHC11" s="111"/>
      <c r="LHD11" s="111"/>
      <c r="LHE11" s="111"/>
      <c r="LHF11" s="111"/>
      <c r="LHG11" s="111"/>
      <c r="LHH11" s="111"/>
      <c r="LHI11" s="111"/>
      <c r="LHJ11" s="111"/>
      <c r="LHK11" s="111"/>
      <c r="LHL11" s="111"/>
      <c r="LHM11" s="111"/>
      <c r="LHN11" s="111"/>
      <c r="LHO11" s="111"/>
      <c r="LHP11" s="111"/>
      <c r="LHQ11" s="111"/>
      <c r="LHR11" s="111"/>
      <c r="LHS11" s="111"/>
      <c r="LHT11" s="111"/>
      <c r="LHU11" s="111"/>
      <c r="LHV11" s="111"/>
      <c r="LHW11" s="111"/>
      <c r="LHX11" s="111"/>
      <c r="LHY11" s="111"/>
      <c r="LHZ11" s="111"/>
      <c r="LIA11" s="111"/>
      <c r="LIB11" s="111"/>
      <c r="LIC11" s="111"/>
      <c r="LID11" s="111"/>
      <c r="LIE11" s="111"/>
      <c r="LIF11" s="111"/>
      <c r="LIG11" s="111"/>
      <c r="LIH11" s="111"/>
      <c r="LII11" s="111"/>
      <c r="LIJ11" s="111"/>
      <c r="LIK11" s="111"/>
      <c r="LIL11" s="111"/>
      <c r="LIM11" s="111"/>
      <c r="LIN11" s="111"/>
      <c r="LIO11" s="111"/>
      <c r="LIP11" s="111"/>
      <c r="LIQ11" s="111"/>
      <c r="LIR11" s="111"/>
      <c r="LIS11" s="111"/>
      <c r="LIT11" s="111"/>
      <c r="LIU11" s="111"/>
      <c r="LIV11" s="111"/>
      <c r="LIW11" s="111"/>
      <c r="LIX11" s="111"/>
      <c r="LIY11" s="111"/>
      <c r="LIZ11" s="111"/>
      <c r="LJA11" s="111"/>
      <c r="LJB11" s="111"/>
      <c r="LJC11" s="111"/>
      <c r="LJD11" s="111"/>
      <c r="LJE11" s="111"/>
      <c r="LJF11" s="111"/>
      <c r="LJG11" s="111"/>
      <c r="LJH11" s="111"/>
      <c r="LJI11" s="111"/>
      <c r="LJJ11" s="111"/>
      <c r="LJK11" s="111"/>
      <c r="LJL11" s="111"/>
      <c r="LJM11" s="111"/>
      <c r="LJN11" s="111"/>
      <c r="LJO11" s="111"/>
      <c r="LJP11" s="111"/>
      <c r="LJQ11" s="111"/>
      <c r="LJR11" s="111"/>
      <c r="LJS11" s="111"/>
      <c r="LJT11" s="111"/>
      <c r="LJU11" s="111"/>
      <c r="LJV11" s="111"/>
      <c r="LJW11" s="111"/>
      <c r="LJX11" s="111"/>
      <c r="LJY11" s="111"/>
      <c r="LJZ11" s="111"/>
      <c r="LKA11" s="111"/>
      <c r="LKB11" s="111"/>
      <c r="LKC11" s="111"/>
      <c r="LKD11" s="111"/>
      <c r="LKE11" s="111"/>
      <c r="LKF11" s="111"/>
      <c r="LKG11" s="111"/>
      <c r="LKH11" s="111"/>
      <c r="LKI11" s="111"/>
      <c r="LKJ11" s="111"/>
      <c r="LKK11" s="111"/>
      <c r="LKL11" s="111"/>
      <c r="LKM11" s="111"/>
      <c r="LKN11" s="111"/>
      <c r="LKO11" s="111"/>
      <c r="LKP11" s="111"/>
      <c r="LKQ11" s="111"/>
      <c r="LKR11" s="111"/>
      <c r="LKS11" s="111"/>
      <c r="LKT11" s="111"/>
      <c r="LKU11" s="111"/>
      <c r="LKV11" s="111"/>
      <c r="LKW11" s="111"/>
      <c r="LKX11" s="111"/>
      <c r="LKY11" s="111"/>
      <c r="LKZ11" s="111"/>
      <c r="LLA11" s="111"/>
      <c r="LLB11" s="111"/>
      <c r="LLC11" s="111"/>
      <c r="LLD11" s="111"/>
      <c r="LLE11" s="111"/>
      <c r="LLF11" s="111"/>
      <c r="LLG11" s="111"/>
      <c r="LLH11" s="111"/>
      <c r="LLI11" s="111"/>
      <c r="LLJ11" s="111"/>
      <c r="LLK11" s="111"/>
      <c r="LLL11" s="111"/>
      <c r="LLM11" s="111"/>
      <c r="LLN11" s="111"/>
      <c r="LLO11" s="111"/>
      <c r="LLP11" s="111"/>
      <c r="LLQ11" s="111"/>
      <c r="LLR11" s="111"/>
      <c r="LLS11" s="111"/>
      <c r="LLT11" s="111"/>
      <c r="LLU11" s="111"/>
      <c r="LLV11" s="111"/>
      <c r="LLW11" s="111"/>
      <c r="LLX11" s="111"/>
      <c r="LLY11" s="111"/>
      <c r="LLZ11" s="111"/>
      <c r="LMA11" s="111"/>
      <c r="LMB11" s="111"/>
      <c r="LMC11" s="111"/>
      <c r="LMD11" s="111"/>
      <c r="LME11" s="111"/>
      <c r="LMF11" s="111"/>
      <c r="LMG11" s="111"/>
      <c r="LMH11" s="111"/>
      <c r="LMI11" s="111"/>
      <c r="LMJ11" s="111"/>
      <c r="LMK11" s="111"/>
      <c r="LML11" s="111"/>
      <c r="LMM11" s="111"/>
      <c r="LMN11" s="111"/>
      <c r="LMO11" s="111"/>
      <c r="LMP11" s="111"/>
      <c r="LMQ11" s="111"/>
      <c r="LMR11" s="111"/>
      <c r="LMS11" s="111"/>
      <c r="LMT11" s="111"/>
      <c r="LMU11" s="111"/>
      <c r="LMV11" s="111"/>
      <c r="LMW11" s="111"/>
      <c r="LMX11" s="111"/>
      <c r="LMY11" s="111"/>
      <c r="LMZ11" s="111"/>
      <c r="LNA11" s="111"/>
      <c r="LNB11" s="111"/>
      <c r="LNC11" s="111"/>
      <c r="LND11" s="111"/>
      <c r="LNE11" s="111"/>
      <c r="LNF11" s="111"/>
      <c r="LNG11" s="111"/>
      <c r="LNH11" s="111"/>
      <c r="LNI11" s="111"/>
      <c r="LNJ11" s="111"/>
      <c r="LNK11" s="111"/>
      <c r="LNL11" s="111"/>
      <c r="LNM11" s="111"/>
      <c r="LNN11" s="111"/>
      <c r="LNO11" s="111"/>
      <c r="LNP11" s="111"/>
      <c r="LNQ11" s="111"/>
      <c r="LNR11" s="111"/>
      <c r="LNS11" s="111"/>
      <c r="LNT11" s="111"/>
      <c r="LNU11" s="111"/>
      <c r="LNV11" s="111"/>
      <c r="LNW11" s="111"/>
      <c r="LNX11" s="111"/>
      <c r="LNY11" s="111"/>
      <c r="LNZ11" s="111"/>
      <c r="LOA11" s="111"/>
      <c r="LOB11" s="111"/>
      <c r="LOC11" s="111"/>
      <c r="LOD11" s="111"/>
      <c r="LOE11" s="111"/>
      <c r="LOF11" s="111"/>
      <c r="LOG11" s="111"/>
      <c r="LOH11" s="111"/>
      <c r="LOI11" s="111"/>
      <c r="LOJ11" s="111"/>
      <c r="LOK11" s="111"/>
      <c r="LOL11" s="111"/>
      <c r="LOM11" s="111"/>
      <c r="LON11" s="111"/>
      <c r="LOO11" s="111"/>
      <c r="LOP11" s="111"/>
      <c r="LOQ11" s="111"/>
      <c r="LOR11" s="111"/>
      <c r="LOS11" s="111"/>
      <c r="LOT11" s="111"/>
      <c r="LOU11" s="111"/>
      <c r="LOV11" s="111"/>
      <c r="LOW11" s="111"/>
      <c r="LOX11" s="111"/>
      <c r="LOY11" s="111"/>
      <c r="LOZ11" s="111"/>
      <c r="LPA11" s="111"/>
      <c r="LPB11" s="111"/>
      <c r="LPC11" s="111"/>
      <c r="LPD11" s="111"/>
      <c r="LPE11" s="111"/>
      <c r="LPF11" s="111"/>
      <c r="LPG11" s="111"/>
      <c r="LPH11" s="111"/>
      <c r="LPI11" s="111"/>
      <c r="LPJ11" s="111"/>
      <c r="LPK11" s="111"/>
      <c r="LPL11" s="111"/>
      <c r="LPM11" s="111"/>
      <c r="LPN11" s="111"/>
      <c r="LPO11" s="111"/>
      <c r="LPP11" s="111"/>
      <c r="LPQ11" s="111"/>
      <c r="LPR11" s="111"/>
      <c r="LPS11" s="111"/>
      <c r="LPT11" s="111"/>
      <c r="LPU11" s="111"/>
      <c r="LPV11" s="111"/>
      <c r="LPW11" s="111"/>
      <c r="LPX11" s="111"/>
      <c r="LPY11" s="111"/>
      <c r="LPZ11" s="111"/>
      <c r="LQA11" s="111"/>
      <c r="LQB11" s="111"/>
      <c r="LQC11" s="111"/>
      <c r="LQD11" s="111"/>
      <c r="LQE11" s="111"/>
      <c r="LQF11" s="111"/>
      <c r="LQG11" s="111"/>
      <c r="LQH11" s="111"/>
      <c r="LQI11" s="111"/>
      <c r="LQJ11" s="111"/>
      <c r="LQK11" s="111"/>
      <c r="LQL11" s="111"/>
      <c r="LQM11" s="111"/>
      <c r="LQN11" s="111"/>
      <c r="LQO11" s="111"/>
      <c r="LQP11" s="111"/>
      <c r="LQQ11" s="111"/>
      <c r="LQR11" s="111"/>
      <c r="LQS11" s="111"/>
      <c r="LQT11" s="111"/>
      <c r="LQU11" s="111"/>
      <c r="LQV11" s="111"/>
      <c r="LQW11" s="111"/>
      <c r="LQX11" s="111"/>
      <c r="LQY11" s="111"/>
      <c r="LQZ11" s="111"/>
      <c r="LRA11" s="111"/>
      <c r="LRB11" s="111"/>
      <c r="LRC11" s="111"/>
      <c r="LRD11" s="111"/>
      <c r="LRE11" s="111"/>
      <c r="LRF11" s="111"/>
      <c r="LRG11" s="111"/>
      <c r="LRH11" s="111"/>
      <c r="LRI11" s="111"/>
      <c r="LRJ11" s="111"/>
      <c r="LRK11" s="111"/>
      <c r="LRL11" s="111"/>
      <c r="LRM11" s="111"/>
      <c r="LRN11" s="111"/>
      <c r="LRO11" s="111"/>
      <c r="LRP11" s="111"/>
      <c r="LRQ11" s="111"/>
      <c r="LRR11" s="111"/>
      <c r="LRS11" s="111"/>
      <c r="LRT11" s="111"/>
      <c r="LRU11" s="111"/>
      <c r="LRV11" s="111"/>
      <c r="LRW11" s="111"/>
      <c r="LRX11" s="111"/>
      <c r="LRY11" s="111"/>
      <c r="LRZ11" s="111"/>
      <c r="LSA11" s="111"/>
      <c r="LSB11" s="111"/>
      <c r="LSC11" s="111"/>
      <c r="LSD11" s="111"/>
      <c r="LSE11" s="111"/>
      <c r="LSF11" s="111"/>
      <c r="LSG11" s="111"/>
      <c r="LSH11" s="111"/>
      <c r="LSI11" s="111"/>
      <c r="LSJ11" s="111"/>
      <c r="LSK11" s="111"/>
      <c r="LSL11" s="111"/>
      <c r="LSM11" s="111"/>
      <c r="LSN11" s="111"/>
      <c r="LSO11" s="111"/>
      <c r="LSP11" s="111"/>
      <c r="LSQ11" s="111"/>
      <c r="LSR11" s="111"/>
      <c r="LSS11" s="111"/>
      <c r="LST11" s="111"/>
      <c r="LSU11" s="111"/>
      <c r="LSV11" s="111"/>
      <c r="LSW11" s="111"/>
      <c r="LSX11" s="111"/>
      <c r="LSY11" s="111"/>
      <c r="LSZ11" s="111"/>
      <c r="LTA11" s="111"/>
      <c r="LTB11" s="111"/>
      <c r="LTC11" s="111"/>
      <c r="LTD11" s="111"/>
      <c r="LTE11" s="111"/>
      <c r="LTF11" s="111"/>
      <c r="LTG11" s="111"/>
      <c r="LTH11" s="111"/>
      <c r="LTI11" s="111"/>
      <c r="LTJ11" s="111"/>
      <c r="LTK11" s="111"/>
      <c r="LTL11" s="111"/>
      <c r="LTM11" s="111"/>
      <c r="LTN11" s="111"/>
      <c r="LTO11" s="111"/>
      <c r="LTP11" s="111"/>
      <c r="LTQ11" s="111"/>
      <c r="LTR11" s="111"/>
      <c r="LTS11" s="111"/>
      <c r="LTT11" s="111"/>
      <c r="LTU11" s="111"/>
      <c r="LTV11" s="111"/>
      <c r="LTW11" s="111"/>
      <c r="LTX11" s="111"/>
      <c r="LTY11" s="111"/>
      <c r="LTZ11" s="111"/>
      <c r="LUA11" s="111"/>
      <c r="LUB11" s="111"/>
      <c r="LUC11" s="111"/>
      <c r="LUD11" s="111"/>
      <c r="LUE11" s="111"/>
      <c r="LUF11" s="111"/>
      <c r="LUG11" s="111"/>
      <c r="LUH11" s="111"/>
      <c r="LUI11" s="111"/>
      <c r="LUJ11" s="111"/>
      <c r="LUK11" s="111"/>
      <c r="LUL11" s="111"/>
      <c r="LUM11" s="111"/>
      <c r="LUN11" s="111"/>
      <c r="LUO11" s="111"/>
      <c r="LUP11" s="111"/>
      <c r="LUQ11" s="111"/>
      <c r="LUR11" s="111"/>
      <c r="LUS11" s="111"/>
      <c r="LUT11" s="111"/>
      <c r="LUU11" s="111"/>
      <c r="LUV11" s="111"/>
      <c r="LUW11" s="111"/>
      <c r="LUX11" s="111"/>
      <c r="LUY11" s="111"/>
      <c r="LUZ11" s="111"/>
      <c r="LVA11" s="111"/>
      <c r="LVB11" s="111"/>
      <c r="LVC11" s="111"/>
      <c r="LVD11" s="111"/>
      <c r="LVE11" s="111"/>
      <c r="LVF11" s="111"/>
      <c r="LVG11" s="111"/>
      <c r="LVH11" s="111"/>
      <c r="LVI11" s="111"/>
      <c r="LVJ11" s="111"/>
      <c r="LVK11" s="111"/>
      <c r="LVL11" s="111"/>
      <c r="LVM11" s="111"/>
      <c r="LVN11" s="111"/>
      <c r="LVO11" s="111"/>
      <c r="LVP11" s="111"/>
      <c r="LVQ11" s="111"/>
      <c r="LVR11" s="111"/>
      <c r="LVS11" s="111"/>
      <c r="LVT11" s="111"/>
      <c r="LVU11" s="111"/>
      <c r="LVV11" s="111"/>
      <c r="LVW11" s="111"/>
      <c r="LVX11" s="111"/>
      <c r="LVY11" s="111"/>
      <c r="LVZ11" s="111"/>
      <c r="LWA11" s="111"/>
      <c r="LWB11" s="111"/>
      <c r="LWC11" s="111"/>
      <c r="LWD11" s="111"/>
      <c r="LWE11" s="111"/>
      <c r="LWF11" s="111"/>
      <c r="LWG11" s="111"/>
      <c r="LWH11" s="111"/>
      <c r="LWI11" s="111"/>
      <c r="LWJ11" s="111"/>
      <c r="LWK11" s="111"/>
      <c r="LWL11" s="111"/>
      <c r="LWM11" s="111"/>
      <c r="LWN11" s="111"/>
      <c r="LWO11" s="111"/>
      <c r="LWP11" s="111"/>
      <c r="LWQ11" s="111"/>
      <c r="LWR11" s="111"/>
      <c r="LWS11" s="111"/>
      <c r="LWT11" s="111"/>
      <c r="LWU11" s="111"/>
      <c r="LWV11" s="111"/>
      <c r="LWW11" s="111"/>
      <c r="LWX11" s="111"/>
      <c r="LWY11" s="111"/>
      <c r="LWZ11" s="111"/>
      <c r="LXA11" s="111"/>
      <c r="LXB11" s="111"/>
      <c r="LXC11" s="111"/>
      <c r="LXD11" s="111"/>
      <c r="LXE11" s="111"/>
      <c r="LXF11" s="111"/>
      <c r="LXG11" s="111"/>
      <c r="LXH11" s="111"/>
      <c r="LXI11" s="111"/>
      <c r="LXJ11" s="111"/>
      <c r="LXK11" s="111"/>
      <c r="LXL11" s="111"/>
      <c r="LXM11" s="111"/>
      <c r="LXN11" s="111"/>
      <c r="LXO11" s="111"/>
      <c r="LXP11" s="111"/>
      <c r="LXQ11" s="111"/>
      <c r="LXR11" s="111"/>
      <c r="LXS11" s="111"/>
      <c r="LXT11" s="111"/>
      <c r="LXU11" s="111"/>
      <c r="LXV11" s="111"/>
      <c r="LXW11" s="111"/>
      <c r="LXX11" s="111"/>
      <c r="LXY11" s="111"/>
      <c r="LXZ11" s="111"/>
      <c r="LYA11" s="111"/>
      <c r="LYB11" s="111"/>
      <c r="LYC11" s="111"/>
      <c r="LYD11" s="111"/>
      <c r="LYE11" s="111"/>
      <c r="LYF11" s="111"/>
      <c r="LYG11" s="111"/>
      <c r="LYH11" s="111"/>
      <c r="LYI11" s="111"/>
      <c r="LYJ11" s="111"/>
      <c r="LYK11" s="111"/>
      <c r="LYL11" s="111"/>
      <c r="LYM11" s="111"/>
      <c r="LYN11" s="111"/>
      <c r="LYO11" s="111"/>
      <c r="LYP11" s="111"/>
      <c r="LYQ11" s="111"/>
      <c r="LYR11" s="111"/>
      <c r="LYS11" s="111"/>
      <c r="LYT11" s="111"/>
      <c r="LYU11" s="111"/>
      <c r="LYV11" s="111"/>
      <c r="LYW11" s="111"/>
      <c r="LYX11" s="111"/>
      <c r="LYY11" s="111"/>
      <c r="LYZ11" s="111"/>
      <c r="LZA11" s="111"/>
      <c r="LZB11" s="111"/>
      <c r="LZC11" s="111"/>
      <c r="LZD11" s="111"/>
      <c r="LZE11" s="111"/>
      <c r="LZF11" s="111"/>
      <c r="LZG11" s="111"/>
      <c r="LZH11" s="111"/>
      <c r="LZI11" s="111"/>
      <c r="LZJ11" s="111"/>
      <c r="LZK11" s="111"/>
      <c r="LZL11" s="111"/>
      <c r="LZM11" s="111"/>
      <c r="LZN11" s="111"/>
      <c r="LZO11" s="111"/>
      <c r="LZP11" s="111"/>
      <c r="LZQ11" s="111"/>
      <c r="LZR11" s="111"/>
      <c r="LZS11" s="111"/>
      <c r="LZT11" s="111"/>
      <c r="LZU11" s="111"/>
      <c r="LZV11" s="111"/>
      <c r="LZW11" s="111"/>
      <c r="LZX11" s="111"/>
      <c r="LZY11" s="111"/>
      <c r="LZZ11" s="111"/>
      <c r="MAA11" s="111"/>
      <c r="MAB11" s="111"/>
      <c r="MAC11" s="111"/>
      <c r="MAD11" s="111"/>
      <c r="MAE11" s="111"/>
      <c r="MAF11" s="111"/>
      <c r="MAG11" s="111"/>
      <c r="MAH11" s="111"/>
      <c r="MAI11" s="111"/>
      <c r="MAJ11" s="111"/>
      <c r="MAK11" s="111"/>
      <c r="MAL11" s="111"/>
      <c r="MAM11" s="111"/>
      <c r="MAN11" s="111"/>
      <c r="MAO11" s="111"/>
      <c r="MAP11" s="111"/>
      <c r="MAQ11" s="111"/>
      <c r="MAR11" s="111"/>
      <c r="MAS11" s="111"/>
      <c r="MAT11" s="111"/>
      <c r="MAU11" s="111"/>
      <c r="MAV11" s="111"/>
      <c r="MAW11" s="111"/>
      <c r="MAX11" s="111"/>
      <c r="MAY11" s="111"/>
      <c r="MAZ11" s="111"/>
      <c r="MBA11" s="111"/>
      <c r="MBB11" s="111"/>
      <c r="MBC11" s="111"/>
      <c r="MBD11" s="111"/>
      <c r="MBE11" s="111"/>
      <c r="MBF11" s="111"/>
      <c r="MBG11" s="111"/>
      <c r="MBH11" s="111"/>
      <c r="MBI11" s="111"/>
      <c r="MBJ11" s="111"/>
      <c r="MBK11" s="111"/>
      <c r="MBL11" s="111"/>
      <c r="MBM11" s="111"/>
      <c r="MBN11" s="111"/>
      <c r="MBO11" s="111"/>
      <c r="MBP11" s="111"/>
      <c r="MBQ11" s="111"/>
      <c r="MBR11" s="111"/>
      <c r="MBS11" s="111"/>
      <c r="MBT11" s="111"/>
      <c r="MBU11" s="111"/>
      <c r="MBV11" s="111"/>
      <c r="MBW11" s="111"/>
      <c r="MBX11" s="111"/>
      <c r="MBY11" s="111"/>
      <c r="MBZ11" s="111"/>
      <c r="MCA11" s="111"/>
      <c r="MCB11" s="111"/>
      <c r="MCC11" s="111"/>
      <c r="MCD11" s="111"/>
      <c r="MCE11" s="111"/>
      <c r="MCF11" s="111"/>
      <c r="MCG11" s="111"/>
      <c r="MCH11" s="111"/>
      <c r="MCI11" s="111"/>
      <c r="MCJ11" s="111"/>
      <c r="MCK11" s="111"/>
      <c r="MCL11" s="111"/>
      <c r="MCM11" s="111"/>
      <c r="MCN11" s="111"/>
      <c r="MCO11" s="111"/>
      <c r="MCP11" s="111"/>
      <c r="MCQ11" s="111"/>
      <c r="MCR11" s="111"/>
      <c r="MCS11" s="111"/>
      <c r="MCT11" s="111"/>
      <c r="MCU11" s="111"/>
      <c r="MCV11" s="111"/>
      <c r="MCW11" s="111"/>
      <c r="MCX11" s="111"/>
      <c r="MCY11" s="111"/>
      <c r="MCZ11" s="111"/>
      <c r="MDA11" s="111"/>
      <c r="MDB11" s="111"/>
      <c r="MDC11" s="111"/>
      <c r="MDD11" s="111"/>
      <c r="MDE11" s="111"/>
      <c r="MDF11" s="111"/>
      <c r="MDG11" s="111"/>
      <c r="MDH11" s="111"/>
      <c r="MDI11" s="111"/>
      <c r="MDJ11" s="111"/>
      <c r="MDK11" s="111"/>
      <c r="MDL11" s="111"/>
      <c r="MDM11" s="111"/>
      <c r="MDN11" s="111"/>
      <c r="MDO11" s="111"/>
      <c r="MDP11" s="111"/>
      <c r="MDQ11" s="111"/>
      <c r="MDR11" s="111"/>
      <c r="MDS11" s="111"/>
      <c r="MDT11" s="111"/>
      <c r="MDU11" s="111"/>
      <c r="MDV11" s="111"/>
      <c r="MDW11" s="111"/>
      <c r="MDX11" s="111"/>
      <c r="MDY11" s="111"/>
      <c r="MDZ11" s="111"/>
      <c r="MEA11" s="111"/>
      <c r="MEB11" s="111"/>
      <c r="MEC11" s="111"/>
      <c r="MED11" s="111"/>
      <c r="MEE11" s="111"/>
      <c r="MEF11" s="111"/>
      <c r="MEG11" s="111"/>
      <c r="MEH11" s="111"/>
      <c r="MEI11" s="111"/>
      <c r="MEJ11" s="111"/>
      <c r="MEK11" s="111"/>
      <c r="MEL11" s="111"/>
      <c r="MEM11" s="111"/>
      <c r="MEN11" s="111"/>
      <c r="MEO11" s="111"/>
      <c r="MEP11" s="111"/>
      <c r="MEQ11" s="111"/>
      <c r="MER11" s="111"/>
      <c r="MES11" s="111"/>
      <c r="MET11" s="111"/>
      <c r="MEU11" s="111"/>
      <c r="MEV11" s="111"/>
      <c r="MEW11" s="111"/>
      <c r="MEX11" s="111"/>
      <c r="MEY11" s="111"/>
      <c r="MEZ11" s="111"/>
      <c r="MFA11" s="111"/>
      <c r="MFB11" s="111"/>
      <c r="MFC11" s="111"/>
      <c r="MFD11" s="111"/>
      <c r="MFE11" s="111"/>
      <c r="MFF11" s="111"/>
      <c r="MFG11" s="111"/>
      <c r="MFH11" s="111"/>
      <c r="MFI11" s="111"/>
      <c r="MFJ11" s="111"/>
      <c r="MFK11" s="111"/>
      <c r="MFL11" s="111"/>
      <c r="MFM11" s="111"/>
      <c r="MFN11" s="111"/>
      <c r="MFO11" s="111"/>
      <c r="MFP11" s="111"/>
      <c r="MFQ11" s="111"/>
      <c r="MFR11" s="111"/>
      <c r="MFS11" s="111"/>
      <c r="MFT11" s="111"/>
      <c r="MFU11" s="111"/>
      <c r="MFV11" s="111"/>
      <c r="MFW11" s="111"/>
      <c r="MFX11" s="111"/>
      <c r="MFY11" s="111"/>
      <c r="MFZ11" s="111"/>
      <c r="MGA11" s="111"/>
      <c r="MGB11" s="111"/>
      <c r="MGC11" s="111"/>
      <c r="MGD11" s="111"/>
      <c r="MGE11" s="111"/>
      <c r="MGF11" s="111"/>
      <c r="MGG11" s="111"/>
      <c r="MGH11" s="111"/>
      <c r="MGI11" s="111"/>
      <c r="MGJ11" s="111"/>
      <c r="MGK11" s="111"/>
      <c r="MGL11" s="111"/>
      <c r="MGM11" s="111"/>
      <c r="MGN11" s="111"/>
      <c r="MGO11" s="111"/>
      <c r="MGP11" s="111"/>
      <c r="MGQ11" s="111"/>
      <c r="MGR11" s="111"/>
      <c r="MGS11" s="111"/>
      <c r="MGT11" s="111"/>
      <c r="MGU11" s="111"/>
      <c r="MGV11" s="111"/>
      <c r="MGW11" s="111"/>
      <c r="MGX11" s="111"/>
      <c r="MGY11" s="111"/>
      <c r="MGZ11" s="111"/>
      <c r="MHA11" s="111"/>
      <c r="MHB11" s="111"/>
      <c r="MHC11" s="111"/>
      <c r="MHD11" s="111"/>
      <c r="MHE11" s="111"/>
      <c r="MHF11" s="111"/>
      <c r="MHG11" s="111"/>
      <c r="MHH11" s="111"/>
      <c r="MHI11" s="111"/>
      <c r="MHJ11" s="111"/>
      <c r="MHK11" s="111"/>
      <c r="MHL11" s="111"/>
      <c r="MHM11" s="111"/>
      <c r="MHN11" s="111"/>
      <c r="MHO11" s="111"/>
      <c r="MHP11" s="111"/>
      <c r="MHQ11" s="111"/>
      <c r="MHR11" s="111"/>
      <c r="MHS11" s="111"/>
      <c r="MHT11" s="111"/>
      <c r="MHU11" s="111"/>
      <c r="MHV11" s="111"/>
      <c r="MHW11" s="111"/>
      <c r="MHX11" s="111"/>
      <c r="MHY11" s="111"/>
      <c r="MHZ11" s="111"/>
      <c r="MIA11" s="111"/>
      <c r="MIB11" s="111"/>
      <c r="MIC11" s="111"/>
      <c r="MID11" s="111"/>
      <c r="MIE11" s="111"/>
      <c r="MIF11" s="111"/>
      <c r="MIG11" s="111"/>
      <c r="MIH11" s="111"/>
      <c r="MII11" s="111"/>
      <c r="MIJ11" s="111"/>
      <c r="MIK11" s="111"/>
      <c r="MIL11" s="111"/>
      <c r="MIM11" s="111"/>
      <c r="MIN11" s="111"/>
      <c r="MIO11" s="111"/>
      <c r="MIP11" s="111"/>
      <c r="MIQ11" s="111"/>
      <c r="MIR11" s="111"/>
      <c r="MIS11" s="111"/>
      <c r="MIT11" s="111"/>
      <c r="MIU11" s="111"/>
      <c r="MIV11" s="111"/>
      <c r="MIW11" s="111"/>
      <c r="MIX11" s="111"/>
      <c r="MIY11" s="111"/>
      <c r="MIZ11" s="111"/>
      <c r="MJA11" s="111"/>
      <c r="MJB11" s="111"/>
      <c r="MJC11" s="111"/>
      <c r="MJD11" s="111"/>
      <c r="MJE11" s="111"/>
      <c r="MJF11" s="111"/>
      <c r="MJG11" s="111"/>
      <c r="MJH11" s="111"/>
      <c r="MJI11" s="111"/>
      <c r="MJJ11" s="111"/>
      <c r="MJK11" s="111"/>
      <c r="MJL11" s="111"/>
      <c r="MJM11" s="111"/>
      <c r="MJN11" s="111"/>
      <c r="MJO11" s="111"/>
      <c r="MJP11" s="111"/>
      <c r="MJQ11" s="111"/>
      <c r="MJR11" s="111"/>
      <c r="MJS11" s="111"/>
      <c r="MJT11" s="111"/>
      <c r="MJU11" s="111"/>
      <c r="MJV11" s="111"/>
      <c r="MJW11" s="111"/>
      <c r="MJX11" s="111"/>
      <c r="MJY11" s="111"/>
      <c r="MJZ11" s="111"/>
      <c r="MKA11" s="111"/>
      <c r="MKB11" s="111"/>
      <c r="MKC11" s="111"/>
      <c r="MKD11" s="111"/>
      <c r="MKE11" s="111"/>
      <c r="MKF11" s="111"/>
      <c r="MKG11" s="111"/>
      <c r="MKH11" s="111"/>
      <c r="MKI11" s="111"/>
      <c r="MKJ11" s="111"/>
      <c r="MKK11" s="111"/>
      <c r="MKL11" s="111"/>
      <c r="MKM11" s="111"/>
      <c r="MKN11" s="111"/>
      <c r="MKO11" s="111"/>
      <c r="MKP11" s="111"/>
      <c r="MKQ11" s="111"/>
      <c r="MKR11" s="111"/>
      <c r="MKS11" s="111"/>
      <c r="MKT11" s="111"/>
      <c r="MKU11" s="111"/>
      <c r="MKV11" s="111"/>
      <c r="MKW11" s="111"/>
      <c r="MKX11" s="111"/>
      <c r="MKY11" s="111"/>
      <c r="MKZ11" s="111"/>
      <c r="MLA11" s="111"/>
      <c r="MLB11" s="111"/>
      <c r="MLC11" s="111"/>
      <c r="MLD11" s="111"/>
      <c r="MLE11" s="111"/>
      <c r="MLF11" s="111"/>
      <c r="MLG11" s="111"/>
      <c r="MLH11" s="111"/>
      <c r="MLI11" s="111"/>
      <c r="MLJ11" s="111"/>
      <c r="MLK11" s="111"/>
      <c r="MLL11" s="111"/>
      <c r="MLM11" s="111"/>
      <c r="MLN11" s="111"/>
      <c r="MLO11" s="111"/>
      <c r="MLP11" s="111"/>
      <c r="MLQ11" s="111"/>
      <c r="MLR11" s="111"/>
      <c r="MLS11" s="111"/>
      <c r="MLT11" s="111"/>
      <c r="MLU11" s="111"/>
      <c r="MLV11" s="111"/>
      <c r="MLW11" s="111"/>
      <c r="MLX11" s="111"/>
      <c r="MLY11" s="111"/>
      <c r="MLZ11" s="111"/>
      <c r="MMA11" s="111"/>
      <c r="MMB11" s="111"/>
      <c r="MMC11" s="111"/>
      <c r="MMD11" s="111"/>
      <c r="MME11" s="111"/>
      <c r="MMF11" s="111"/>
      <c r="MMG11" s="111"/>
      <c r="MMH11" s="111"/>
      <c r="MMI11" s="111"/>
      <c r="MMJ11" s="111"/>
      <c r="MMK11" s="111"/>
      <c r="MML11" s="111"/>
      <c r="MMM11" s="111"/>
      <c r="MMN11" s="111"/>
      <c r="MMO11" s="111"/>
      <c r="MMP11" s="111"/>
      <c r="MMQ11" s="111"/>
      <c r="MMR11" s="111"/>
      <c r="MMS11" s="111"/>
      <c r="MMT11" s="111"/>
      <c r="MMU11" s="111"/>
      <c r="MMV11" s="111"/>
      <c r="MMW11" s="111"/>
      <c r="MMX11" s="111"/>
      <c r="MMY11" s="111"/>
      <c r="MMZ11" s="111"/>
      <c r="MNA11" s="111"/>
      <c r="MNB11" s="111"/>
      <c r="MNC11" s="111"/>
      <c r="MND11" s="111"/>
      <c r="MNE11" s="111"/>
      <c r="MNF11" s="111"/>
      <c r="MNG11" s="111"/>
      <c r="MNH11" s="111"/>
      <c r="MNI11" s="111"/>
      <c r="MNJ11" s="111"/>
      <c r="MNK11" s="111"/>
      <c r="MNL11" s="111"/>
      <c r="MNM11" s="111"/>
      <c r="MNN11" s="111"/>
      <c r="MNO11" s="111"/>
      <c r="MNP11" s="111"/>
      <c r="MNQ11" s="111"/>
      <c r="MNR11" s="111"/>
      <c r="MNS11" s="111"/>
      <c r="MNT11" s="111"/>
      <c r="MNU11" s="111"/>
      <c r="MNV11" s="111"/>
      <c r="MNW11" s="111"/>
      <c r="MNX11" s="111"/>
      <c r="MNY11" s="111"/>
      <c r="MNZ11" s="111"/>
      <c r="MOA11" s="111"/>
      <c r="MOB11" s="111"/>
      <c r="MOC11" s="111"/>
      <c r="MOD11" s="111"/>
      <c r="MOE11" s="111"/>
      <c r="MOF11" s="111"/>
      <c r="MOG11" s="111"/>
      <c r="MOH11" s="111"/>
      <c r="MOI11" s="111"/>
      <c r="MOJ11" s="111"/>
      <c r="MOK11" s="111"/>
      <c r="MOL11" s="111"/>
      <c r="MOM11" s="111"/>
      <c r="MON11" s="111"/>
      <c r="MOO11" s="111"/>
      <c r="MOP11" s="111"/>
      <c r="MOQ11" s="111"/>
      <c r="MOR11" s="111"/>
      <c r="MOS11" s="111"/>
      <c r="MOT11" s="111"/>
      <c r="MOU11" s="111"/>
      <c r="MOV11" s="111"/>
      <c r="MOW11" s="111"/>
      <c r="MOX11" s="111"/>
      <c r="MOY11" s="111"/>
      <c r="MOZ11" s="111"/>
      <c r="MPA11" s="111"/>
      <c r="MPB11" s="111"/>
      <c r="MPC11" s="111"/>
      <c r="MPD11" s="111"/>
      <c r="MPE11" s="111"/>
      <c r="MPF11" s="111"/>
      <c r="MPG11" s="111"/>
      <c r="MPH11" s="111"/>
      <c r="MPI11" s="111"/>
      <c r="MPJ11" s="111"/>
      <c r="MPK11" s="111"/>
      <c r="MPL11" s="111"/>
      <c r="MPM11" s="111"/>
      <c r="MPN11" s="111"/>
      <c r="MPO11" s="111"/>
      <c r="MPP11" s="111"/>
      <c r="MPQ11" s="111"/>
      <c r="MPR11" s="111"/>
      <c r="MPS11" s="111"/>
      <c r="MPT11" s="111"/>
      <c r="MPU11" s="111"/>
      <c r="MPV11" s="111"/>
      <c r="MPW11" s="111"/>
      <c r="MPX11" s="111"/>
      <c r="MPY11" s="111"/>
      <c r="MPZ11" s="111"/>
      <c r="MQA11" s="111"/>
      <c r="MQB11" s="111"/>
      <c r="MQC11" s="111"/>
      <c r="MQD11" s="111"/>
      <c r="MQE11" s="111"/>
      <c r="MQF11" s="111"/>
      <c r="MQG11" s="111"/>
      <c r="MQH11" s="111"/>
      <c r="MQI11" s="111"/>
      <c r="MQJ11" s="111"/>
      <c r="MQK11" s="111"/>
      <c r="MQL11" s="111"/>
      <c r="MQM11" s="111"/>
      <c r="MQN11" s="111"/>
      <c r="MQO11" s="111"/>
      <c r="MQP11" s="111"/>
      <c r="MQQ11" s="111"/>
      <c r="MQR11" s="111"/>
      <c r="MQS11" s="111"/>
      <c r="MQT11" s="111"/>
      <c r="MQU11" s="111"/>
      <c r="MQV11" s="111"/>
      <c r="MQW11" s="111"/>
      <c r="MQX11" s="111"/>
      <c r="MQY11" s="111"/>
      <c r="MQZ11" s="111"/>
      <c r="MRA11" s="111"/>
      <c r="MRB11" s="111"/>
      <c r="MRC11" s="111"/>
      <c r="MRD11" s="111"/>
      <c r="MRE11" s="111"/>
      <c r="MRF11" s="111"/>
      <c r="MRG11" s="111"/>
      <c r="MRH11" s="111"/>
      <c r="MRI11" s="111"/>
      <c r="MRJ11" s="111"/>
      <c r="MRK11" s="111"/>
      <c r="MRL11" s="111"/>
      <c r="MRM11" s="111"/>
      <c r="MRN11" s="111"/>
      <c r="MRO11" s="111"/>
      <c r="MRP11" s="111"/>
      <c r="MRQ11" s="111"/>
      <c r="MRR11" s="111"/>
      <c r="MRS11" s="111"/>
      <c r="MRT11" s="111"/>
      <c r="MRU11" s="111"/>
      <c r="MRV11" s="111"/>
      <c r="MRW11" s="111"/>
      <c r="MRX11" s="111"/>
      <c r="MRY11" s="111"/>
      <c r="MRZ11" s="111"/>
      <c r="MSA11" s="111"/>
      <c r="MSB11" s="111"/>
      <c r="MSC11" s="111"/>
      <c r="MSD11" s="111"/>
      <c r="MSE11" s="111"/>
      <c r="MSF11" s="111"/>
      <c r="MSG11" s="111"/>
      <c r="MSH11" s="111"/>
      <c r="MSI11" s="111"/>
      <c r="MSJ11" s="111"/>
      <c r="MSK11" s="111"/>
      <c r="MSL11" s="111"/>
      <c r="MSM11" s="111"/>
      <c r="MSN11" s="111"/>
      <c r="MSO11" s="111"/>
      <c r="MSP11" s="111"/>
      <c r="MSQ11" s="111"/>
      <c r="MSR11" s="111"/>
      <c r="MSS11" s="111"/>
      <c r="MST11" s="111"/>
      <c r="MSU11" s="111"/>
      <c r="MSV11" s="111"/>
      <c r="MSW11" s="111"/>
      <c r="MSX11" s="111"/>
      <c r="MSY11" s="111"/>
      <c r="MSZ11" s="111"/>
      <c r="MTA11" s="111"/>
      <c r="MTB11" s="111"/>
      <c r="MTC11" s="111"/>
      <c r="MTD11" s="111"/>
      <c r="MTE11" s="111"/>
      <c r="MTF11" s="111"/>
      <c r="MTG11" s="111"/>
      <c r="MTH11" s="111"/>
      <c r="MTI11" s="111"/>
      <c r="MTJ11" s="111"/>
      <c r="MTK11" s="111"/>
      <c r="MTL11" s="111"/>
      <c r="MTM11" s="111"/>
      <c r="MTN11" s="111"/>
      <c r="MTO11" s="111"/>
      <c r="MTP11" s="111"/>
      <c r="MTQ11" s="111"/>
      <c r="MTR11" s="111"/>
      <c r="MTS11" s="111"/>
      <c r="MTT11" s="111"/>
      <c r="MTU11" s="111"/>
      <c r="MTV11" s="111"/>
      <c r="MTW11" s="111"/>
      <c r="MTX11" s="111"/>
      <c r="MTY11" s="111"/>
      <c r="MTZ11" s="111"/>
      <c r="MUA11" s="111"/>
      <c r="MUB11" s="111"/>
      <c r="MUC11" s="111"/>
      <c r="MUD11" s="111"/>
      <c r="MUE11" s="111"/>
      <c r="MUF11" s="111"/>
      <c r="MUG11" s="111"/>
      <c r="MUH11" s="111"/>
      <c r="MUI11" s="111"/>
      <c r="MUJ11" s="111"/>
      <c r="MUK11" s="111"/>
      <c r="MUL11" s="111"/>
      <c r="MUM11" s="111"/>
      <c r="MUN11" s="111"/>
      <c r="MUO11" s="111"/>
      <c r="MUP11" s="111"/>
      <c r="MUQ11" s="111"/>
      <c r="MUR11" s="111"/>
      <c r="MUS11" s="111"/>
      <c r="MUT11" s="111"/>
      <c r="MUU11" s="111"/>
      <c r="MUV11" s="111"/>
      <c r="MUW11" s="111"/>
      <c r="MUX11" s="111"/>
      <c r="MUY11" s="111"/>
      <c r="MUZ11" s="111"/>
      <c r="MVA11" s="111"/>
      <c r="MVB11" s="111"/>
      <c r="MVC11" s="111"/>
      <c r="MVD11" s="111"/>
      <c r="MVE11" s="111"/>
      <c r="MVF11" s="111"/>
      <c r="MVG11" s="111"/>
      <c r="MVH11" s="111"/>
      <c r="MVI11" s="111"/>
      <c r="MVJ11" s="111"/>
      <c r="MVK11" s="111"/>
      <c r="MVL11" s="111"/>
      <c r="MVM11" s="111"/>
      <c r="MVN11" s="111"/>
      <c r="MVO11" s="111"/>
      <c r="MVP11" s="111"/>
      <c r="MVQ11" s="111"/>
      <c r="MVR11" s="111"/>
      <c r="MVS11" s="111"/>
      <c r="MVT11" s="111"/>
      <c r="MVU11" s="111"/>
      <c r="MVV11" s="111"/>
      <c r="MVW11" s="111"/>
      <c r="MVX11" s="111"/>
      <c r="MVY11" s="111"/>
      <c r="MVZ11" s="111"/>
      <c r="MWA11" s="111"/>
      <c r="MWB11" s="111"/>
      <c r="MWC11" s="111"/>
      <c r="MWD11" s="111"/>
      <c r="MWE11" s="111"/>
      <c r="MWF11" s="111"/>
      <c r="MWG11" s="111"/>
      <c r="MWH11" s="111"/>
      <c r="MWI11" s="111"/>
      <c r="MWJ11" s="111"/>
      <c r="MWK11" s="111"/>
      <c r="MWL11" s="111"/>
      <c r="MWM11" s="111"/>
      <c r="MWN11" s="111"/>
      <c r="MWO11" s="111"/>
      <c r="MWP11" s="111"/>
      <c r="MWQ11" s="111"/>
      <c r="MWR11" s="111"/>
      <c r="MWS11" s="111"/>
      <c r="MWT11" s="111"/>
      <c r="MWU11" s="111"/>
      <c r="MWV11" s="111"/>
      <c r="MWW11" s="111"/>
      <c r="MWX11" s="111"/>
      <c r="MWY11" s="111"/>
      <c r="MWZ11" s="111"/>
      <c r="MXA11" s="111"/>
      <c r="MXB11" s="111"/>
      <c r="MXC11" s="111"/>
      <c r="MXD11" s="111"/>
      <c r="MXE11" s="111"/>
      <c r="MXF11" s="111"/>
      <c r="MXG11" s="111"/>
      <c r="MXH11" s="111"/>
      <c r="MXI11" s="111"/>
      <c r="MXJ11" s="111"/>
      <c r="MXK11" s="111"/>
      <c r="MXL11" s="111"/>
      <c r="MXM11" s="111"/>
      <c r="MXN11" s="111"/>
      <c r="MXO11" s="111"/>
      <c r="MXP11" s="111"/>
      <c r="MXQ11" s="111"/>
      <c r="MXR11" s="111"/>
      <c r="MXS11" s="111"/>
      <c r="MXT11" s="111"/>
      <c r="MXU11" s="111"/>
      <c r="MXV11" s="111"/>
      <c r="MXW11" s="111"/>
      <c r="MXX11" s="111"/>
      <c r="MXY11" s="111"/>
      <c r="MXZ11" s="111"/>
      <c r="MYA11" s="111"/>
      <c r="MYB11" s="111"/>
      <c r="MYC11" s="111"/>
      <c r="MYD11" s="111"/>
      <c r="MYE11" s="111"/>
      <c r="MYF11" s="111"/>
      <c r="MYG11" s="111"/>
      <c r="MYH11" s="111"/>
      <c r="MYI11" s="111"/>
      <c r="MYJ11" s="111"/>
      <c r="MYK11" s="111"/>
      <c r="MYL11" s="111"/>
      <c r="MYM11" s="111"/>
      <c r="MYN11" s="111"/>
      <c r="MYO11" s="111"/>
      <c r="MYP11" s="111"/>
      <c r="MYQ11" s="111"/>
      <c r="MYR11" s="111"/>
      <c r="MYS11" s="111"/>
      <c r="MYT11" s="111"/>
      <c r="MYU11" s="111"/>
      <c r="MYV11" s="111"/>
      <c r="MYW11" s="111"/>
      <c r="MYX11" s="111"/>
      <c r="MYY11" s="111"/>
      <c r="MYZ11" s="111"/>
      <c r="MZA11" s="111"/>
      <c r="MZB11" s="111"/>
      <c r="MZC11" s="111"/>
      <c r="MZD11" s="111"/>
      <c r="MZE11" s="111"/>
      <c r="MZF11" s="111"/>
      <c r="MZG11" s="111"/>
      <c r="MZH11" s="111"/>
      <c r="MZI11" s="111"/>
      <c r="MZJ11" s="111"/>
      <c r="MZK11" s="111"/>
      <c r="MZL11" s="111"/>
      <c r="MZM11" s="111"/>
      <c r="MZN11" s="111"/>
      <c r="MZO11" s="111"/>
      <c r="MZP11" s="111"/>
      <c r="MZQ11" s="111"/>
      <c r="MZR11" s="111"/>
      <c r="MZS11" s="111"/>
      <c r="MZT11" s="111"/>
      <c r="MZU11" s="111"/>
      <c r="MZV11" s="111"/>
      <c r="MZW11" s="111"/>
      <c r="MZX11" s="111"/>
      <c r="MZY11" s="111"/>
      <c r="MZZ11" s="111"/>
      <c r="NAA11" s="111"/>
      <c r="NAB11" s="111"/>
      <c r="NAC11" s="111"/>
      <c r="NAD11" s="111"/>
      <c r="NAE11" s="111"/>
      <c r="NAF11" s="111"/>
      <c r="NAG11" s="111"/>
      <c r="NAH11" s="111"/>
      <c r="NAI11" s="111"/>
      <c r="NAJ11" s="111"/>
      <c r="NAK11" s="111"/>
      <c r="NAL11" s="111"/>
      <c r="NAM11" s="111"/>
      <c r="NAN11" s="111"/>
      <c r="NAO11" s="111"/>
      <c r="NAP11" s="111"/>
      <c r="NAQ11" s="111"/>
      <c r="NAR11" s="111"/>
      <c r="NAS11" s="111"/>
      <c r="NAT11" s="111"/>
      <c r="NAU11" s="111"/>
      <c r="NAV11" s="111"/>
      <c r="NAW11" s="111"/>
      <c r="NAX11" s="111"/>
      <c r="NAY11" s="111"/>
      <c r="NAZ11" s="111"/>
      <c r="NBA11" s="111"/>
      <c r="NBB11" s="111"/>
      <c r="NBC11" s="111"/>
      <c r="NBD11" s="111"/>
      <c r="NBE11" s="111"/>
      <c r="NBF11" s="111"/>
      <c r="NBG11" s="111"/>
      <c r="NBH11" s="111"/>
      <c r="NBI11" s="111"/>
      <c r="NBJ11" s="111"/>
      <c r="NBK11" s="111"/>
      <c r="NBL11" s="111"/>
      <c r="NBM11" s="111"/>
      <c r="NBN11" s="111"/>
      <c r="NBO11" s="111"/>
      <c r="NBP11" s="111"/>
      <c r="NBQ11" s="111"/>
      <c r="NBR11" s="111"/>
      <c r="NBS11" s="111"/>
      <c r="NBT11" s="111"/>
      <c r="NBU11" s="111"/>
      <c r="NBV11" s="111"/>
      <c r="NBW11" s="111"/>
      <c r="NBX11" s="111"/>
      <c r="NBY11" s="111"/>
      <c r="NBZ11" s="111"/>
      <c r="NCA11" s="111"/>
      <c r="NCB11" s="111"/>
      <c r="NCC11" s="111"/>
      <c r="NCD11" s="111"/>
      <c r="NCE11" s="111"/>
      <c r="NCF11" s="111"/>
      <c r="NCG11" s="111"/>
      <c r="NCH11" s="111"/>
      <c r="NCI11" s="111"/>
      <c r="NCJ11" s="111"/>
      <c r="NCK11" s="111"/>
      <c r="NCL11" s="111"/>
      <c r="NCM11" s="111"/>
      <c r="NCN11" s="111"/>
      <c r="NCO11" s="111"/>
      <c r="NCP11" s="111"/>
      <c r="NCQ11" s="111"/>
      <c r="NCR11" s="111"/>
      <c r="NCS11" s="111"/>
      <c r="NCT11" s="111"/>
      <c r="NCU11" s="111"/>
      <c r="NCV11" s="111"/>
      <c r="NCW11" s="111"/>
      <c r="NCX11" s="111"/>
      <c r="NCY11" s="111"/>
      <c r="NCZ11" s="111"/>
      <c r="NDA11" s="111"/>
      <c r="NDB11" s="111"/>
      <c r="NDC11" s="111"/>
      <c r="NDD11" s="111"/>
      <c r="NDE11" s="111"/>
      <c r="NDF11" s="111"/>
      <c r="NDG11" s="111"/>
      <c r="NDH11" s="111"/>
      <c r="NDI11" s="111"/>
      <c r="NDJ11" s="111"/>
      <c r="NDK11" s="111"/>
      <c r="NDL11" s="111"/>
      <c r="NDM11" s="111"/>
      <c r="NDN11" s="111"/>
      <c r="NDO11" s="111"/>
      <c r="NDP11" s="111"/>
      <c r="NDQ11" s="111"/>
      <c r="NDR11" s="111"/>
      <c r="NDS11" s="111"/>
      <c r="NDT11" s="111"/>
      <c r="NDU11" s="111"/>
      <c r="NDV11" s="111"/>
      <c r="NDW11" s="111"/>
      <c r="NDX11" s="111"/>
      <c r="NDY11" s="111"/>
      <c r="NDZ11" s="111"/>
      <c r="NEA11" s="111"/>
      <c r="NEB11" s="111"/>
      <c r="NEC11" s="111"/>
      <c r="NED11" s="111"/>
      <c r="NEE11" s="111"/>
      <c r="NEF11" s="111"/>
      <c r="NEG11" s="111"/>
      <c r="NEH11" s="111"/>
      <c r="NEI11" s="111"/>
      <c r="NEJ11" s="111"/>
      <c r="NEK11" s="111"/>
      <c r="NEL11" s="111"/>
      <c r="NEM11" s="111"/>
      <c r="NEN11" s="111"/>
      <c r="NEO11" s="111"/>
      <c r="NEP11" s="111"/>
      <c r="NEQ11" s="111"/>
      <c r="NER11" s="111"/>
      <c r="NES11" s="111"/>
      <c r="NET11" s="111"/>
      <c r="NEU11" s="111"/>
      <c r="NEV11" s="111"/>
      <c r="NEW11" s="111"/>
      <c r="NEX11" s="111"/>
      <c r="NEY11" s="111"/>
      <c r="NEZ11" s="111"/>
      <c r="NFA11" s="111"/>
      <c r="NFB11" s="111"/>
      <c r="NFC11" s="111"/>
      <c r="NFD11" s="111"/>
      <c r="NFE11" s="111"/>
      <c r="NFF11" s="111"/>
      <c r="NFG11" s="111"/>
      <c r="NFH11" s="111"/>
      <c r="NFI11" s="111"/>
      <c r="NFJ11" s="111"/>
      <c r="NFK11" s="111"/>
      <c r="NFL11" s="111"/>
      <c r="NFM11" s="111"/>
      <c r="NFN11" s="111"/>
      <c r="NFO11" s="111"/>
      <c r="NFP11" s="111"/>
      <c r="NFQ11" s="111"/>
      <c r="NFR11" s="111"/>
      <c r="NFS11" s="111"/>
      <c r="NFT11" s="111"/>
      <c r="NFU11" s="111"/>
      <c r="NFV11" s="111"/>
      <c r="NFW11" s="111"/>
      <c r="NFX11" s="111"/>
      <c r="NFY11" s="111"/>
      <c r="NFZ11" s="111"/>
      <c r="NGA11" s="111"/>
      <c r="NGB11" s="111"/>
      <c r="NGC11" s="111"/>
      <c r="NGD11" s="111"/>
      <c r="NGE11" s="111"/>
      <c r="NGF11" s="111"/>
      <c r="NGG11" s="111"/>
      <c r="NGH11" s="111"/>
      <c r="NGI11" s="111"/>
      <c r="NGJ11" s="111"/>
      <c r="NGK11" s="111"/>
      <c r="NGL11" s="111"/>
      <c r="NGM11" s="111"/>
      <c r="NGN11" s="111"/>
      <c r="NGO11" s="111"/>
      <c r="NGP11" s="111"/>
      <c r="NGQ11" s="111"/>
      <c r="NGR11" s="111"/>
      <c r="NGS11" s="111"/>
      <c r="NGT11" s="111"/>
      <c r="NGU11" s="111"/>
      <c r="NGV11" s="111"/>
      <c r="NGW11" s="111"/>
      <c r="NGX11" s="111"/>
      <c r="NGY11" s="111"/>
      <c r="NGZ11" s="111"/>
      <c r="NHA11" s="111"/>
      <c r="NHB11" s="111"/>
      <c r="NHC11" s="111"/>
      <c r="NHD11" s="111"/>
      <c r="NHE11" s="111"/>
      <c r="NHF11" s="111"/>
      <c r="NHG11" s="111"/>
      <c r="NHH11" s="111"/>
      <c r="NHI11" s="111"/>
      <c r="NHJ11" s="111"/>
      <c r="NHK11" s="111"/>
      <c r="NHL11" s="111"/>
      <c r="NHM11" s="111"/>
      <c r="NHN11" s="111"/>
      <c r="NHO11" s="111"/>
      <c r="NHP11" s="111"/>
      <c r="NHQ11" s="111"/>
      <c r="NHR11" s="111"/>
      <c r="NHS11" s="111"/>
      <c r="NHT11" s="111"/>
      <c r="NHU11" s="111"/>
      <c r="NHV11" s="111"/>
      <c r="NHW11" s="111"/>
      <c r="NHX11" s="111"/>
      <c r="NHY11" s="111"/>
      <c r="NHZ11" s="111"/>
      <c r="NIA11" s="111"/>
      <c r="NIB11" s="111"/>
      <c r="NIC11" s="111"/>
      <c r="NID11" s="111"/>
      <c r="NIE11" s="111"/>
      <c r="NIF11" s="111"/>
      <c r="NIG11" s="111"/>
      <c r="NIH11" s="111"/>
      <c r="NII11" s="111"/>
      <c r="NIJ11" s="111"/>
      <c r="NIK11" s="111"/>
      <c r="NIL11" s="111"/>
      <c r="NIM11" s="111"/>
      <c r="NIN11" s="111"/>
      <c r="NIO11" s="111"/>
      <c r="NIP11" s="111"/>
      <c r="NIQ11" s="111"/>
      <c r="NIR11" s="111"/>
      <c r="NIS11" s="111"/>
      <c r="NIT11" s="111"/>
      <c r="NIU11" s="111"/>
      <c r="NIV11" s="111"/>
      <c r="NIW11" s="111"/>
      <c r="NIX11" s="111"/>
      <c r="NIY11" s="111"/>
      <c r="NIZ11" s="111"/>
      <c r="NJA11" s="111"/>
      <c r="NJB11" s="111"/>
      <c r="NJC11" s="111"/>
      <c r="NJD11" s="111"/>
      <c r="NJE11" s="111"/>
      <c r="NJF11" s="111"/>
      <c r="NJG11" s="111"/>
      <c r="NJH11" s="111"/>
      <c r="NJI11" s="111"/>
      <c r="NJJ11" s="111"/>
      <c r="NJK11" s="111"/>
      <c r="NJL11" s="111"/>
      <c r="NJM11" s="111"/>
      <c r="NJN11" s="111"/>
      <c r="NJO11" s="111"/>
      <c r="NJP11" s="111"/>
      <c r="NJQ11" s="111"/>
      <c r="NJR11" s="111"/>
      <c r="NJS11" s="111"/>
      <c r="NJT11" s="111"/>
      <c r="NJU11" s="111"/>
      <c r="NJV11" s="111"/>
      <c r="NJW11" s="111"/>
      <c r="NJX11" s="111"/>
      <c r="NJY11" s="111"/>
      <c r="NJZ11" s="111"/>
      <c r="NKA11" s="111"/>
      <c r="NKB11" s="111"/>
      <c r="NKC11" s="111"/>
      <c r="NKD11" s="111"/>
      <c r="NKE11" s="111"/>
      <c r="NKF11" s="111"/>
      <c r="NKG11" s="111"/>
      <c r="NKH11" s="111"/>
      <c r="NKI11" s="111"/>
      <c r="NKJ11" s="111"/>
      <c r="NKK11" s="111"/>
      <c r="NKL11" s="111"/>
      <c r="NKM11" s="111"/>
      <c r="NKN11" s="111"/>
      <c r="NKO11" s="111"/>
      <c r="NKP11" s="111"/>
      <c r="NKQ11" s="111"/>
      <c r="NKR11" s="111"/>
      <c r="NKS11" s="111"/>
      <c r="NKT11" s="111"/>
      <c r="NKU11" s="111"/>
      <c r="NKV11" s="111"/>
      <c r="NKW11" s="111"/>
      <c r="NKX11" s="111"/>
      <c r="NKY11" s="111"/>
      <c r="NKZ11" s="111"/>
      <c r="NLA11" s="111"/>
      <c r="NLB11" s="111"/>
      <c r="NLC11" s="111"/>
      <c r="NLD11" s="111"/>
      <c r="NLE11" s="111"/>
      <c r="NLF11" s="111"/>
      <c r="NLG11" s="111"/>
      <c r="NLH11" s="111"/>
      <c r="NLI11" s="111"/>
      <c r="NLJ11" s="111"/>
      <c r="NLK11" s="111"/>
      <c r="NLL11" s="111"/>
      <c r="NLM11" s="111"/>
      <c r="NLN11" s="111"/>
      <c r="NLO11" s="111"/>
      <c r="NLP11" s="111"/>
      <c r="NLQ11" s="111"/>
      <c r="NLR11" s="111"/>
      <c r="NLS11" s="111"/>
      <c r="NLT11" s="111"/>
      <c r="NLU11" s="111"/>
      <c r="NLV11" s="111"/>
      <c r="NLW11" s="111"/>
      <c r="NLX11" s="111"/>
      <c r="NLY11" s="111"/>
      <c r="NLZ11" s="111"/>
      <c r="NMA11" s="111"/>
      <c r="NMB11" s="111"/>
      <c r="NMC11" s="111"/>
      <c r="NMD11" s="111"/>
      <c r="NME11" s="111"/>
      <c r="NMF11" s="111"/>
      <c r="NMG11" s="111"/>
      <c r="NMH11" s="111"/>
      <c r="NMI11" s="111"/>
      <c r="NMJ11" s="111"/>
      <c r="NMK11" s="111"/>
      <c r="NML11" s="111"/>
      <c r="NMM11" s="111"/>
      <c r="NMN11" s="111"/>
      <c r="NMO11" s="111"/>
      <c r="NMP11" s="111"/>
      <c r="NMQ11" s="111"/>
      <c r="NMR11" s="111"/>
      <c r="NMS11" s="111"/>
      <c r="NMT11" s="111"/>
      <c r="NMU11" s="111"/>
      <c r="NMV11" s="111"/>
      <c r="NMW11" s="111"/>
      <c r="NMX11" s="111"/>
      <c r="NMY11" s="111"/>
      <c r="NMZ11" s="111"/>
      <c r="NNA11" s="111"/>
      <c r="NNB11" s="111"/>
      <c r="NNC11" s="111"/>
      <c r="NND11" s="111"/>
      <c r="NNE11" s="111"/>
      <c r="NNF11" s="111"/>
      <c r="NNG11" s="111"/>
      <c r="NNH11" s="111"/>
      <c r="NNI11" s="111"/>
      <c r="NNJ11" s="111"/>
      <c r="NNK11" s="111"/>
      <c r="NNL11" s="111"/>
      <c r="NNM11" s="111"/>
      <c r="NNN11" s="111"/>
      <c r="NNO11" s="111"/>
      <c r="NNP11" s="111"/>
      <c r="NNQ11" s="111"/>
      <c r="NNR11" s="111"/>
      <c r="NNS11" s="111"/>
      <c r="NNT11" s="111"/>
      <c r="NNU11" s="111"/>
      <c r="NNV11" s="111"/>
      <c r="NNW11" s="111"/>
      <c r="NNX11" s="111"/>
      <c r="NNY11" s="111"/>
      <c r="NNZ11" s="111"/>
      <c r="NOA11" s="111"/>
      <c r="NOB11" s="111"/>
      <c r="NOC11" s="111"/>
      <c r="NOD11" s="111"/>
      <c r="NOE11" s="111"/>
      <c r="NOF11" s="111"/>
      <c r="NOG11" s="111"/>
      <c r="NOH11" s="111"/>
      <c r="NOI11" s="111"/>
      <c r="NOJ11" s="111"/>
      <c r="NOK11" s="111"/>
      <c r="NOL11" s="111"/>
      <c r="NOM11" s="111"/>
      <c r="NON11" s="111"/>
      <c r="NOO11" s="111"/>
      <c r="NOP11" s="111"/>
      <c r="NOQ11" s="111"/>
      <c r="NOR11" s="111"/>
      <c r="NOS11" s="111"/>
      <c r="NOT11" s="111"/>
      <c r="NOU11" s="111"/>
      <c r="NOV11" s="111"/>
      <c r="NOW11" s="111"/>
      <c r="NOX11" s="111"/>
      <c r="NOY11" s="111"/>
      <c r="NOZ11" s="111"/>
      <c r="NPA11" s="111"/>
      <c r="NPB11" s="111"/>
      <c r="NPC11" s="111"/>
      <c r="NPD11" s="111"/>
      <c r="NPE11" s="111"/>
      <c r="NPF11" s="111"/>
      <c r="NPG11" s="111"/>
      <c r="NPH11" s="111"/>
      <c r="NPI11" s="111"/>
      <c r="NPJ11" s="111"/>
      <c r="NPK11" s="111"/>
      <c r="NPL11" s="111"/>
      <c r="NPM11" s="111"/>
      <c r="NPN11" s="111"/>
      <c r="NPO11" s="111"/>
      <c r="NPP11" s="111"/>
      <c r="NPQ11" s="111"/>
      <c r="NPR11" s="111"/>
      <c r="NPS11" s="111"/>
      <c r="NPT11" s="111"/>
      <c r="NPU11" s="111"/>
      <c r="NPV11" s="111"/>
      <c r="NPW11" s="111"/>
      <c r="NPX11" s="111"/>
      <c r="NPY11" s="111"/>
      <c r="NPZ11" s="111"/>
      <c r="NQA11" s="111"/>
      <c r="NQB11" s="111"/>
      <c r="NQC11" s="111"/>
      <c r="NQD11" s="111"/>
      <c r="NQE11" s="111"/>
      <c r="NQF11" s="111"/>
      <c r="NQG11" s="111"/>
      <c r="NQH11" s="111"/>
      <c r="NQI11" s="111"/>
      <c r="NQJ11" s="111"/>
      <c r="NQK11" s="111"/>
      <c r="NQL11" s="111"/>
      <c r="NQM11" s="111"/>
      <c r="NQN11" s="111"/>
      <c r="NQO11" s="111"/>
      <c r="NQP11" s="111"/>
      <c r="NQQ11" s="111"/>
      <c r="NQR11" s="111"/>
      <c r="NQS11" s="111"/>
      <c r="NQT11" s="111"/>
      <c r="NQU11" s="111"/>
      <c r="NQV11" s="111"/>
      <c r="NQW11" s="111"/>
      <c r="NQX11" s="111"/>
      <c r="NQY11" s="111"/>
      <c r="NQZ11" s="111"/>
      <c r="NRA11" s="111"/>
      <c r="NRB11" s="111"/>
      <c r="NRC11" s="111"/>
      <c r="NRD11" s="111"/>
      <c r="NRE11" s="111"/>
      <c r="NRF11" s="111"/>
      <c r="NRG11" s="111"/>
      <c r="NRH11" s="111"/>
      <c r="NRI11" s="111"/>
      <c r="NRJ11" s="111"/>
      <c r="NRK11" s="111"/>
      <c r="NRL11" s="111"/>
      <c r="NRM11" s="111"/>
      <c r="NRN11" s="111"/>
      <c r="NRO11" s="111"/>
      <c r="NRP11" s="111"/>
      <c r="NRQ11" s="111"/>
      <c r="NRR11" s="111"/>
      <c r="NRS11" s="111"/>
      <c r="NRT11" s="111"/>
      <c r="NRU11" s="111"/>
      <c r="NRV11" s="111"/>
      <c r="NRW11" s="111"/>
      <c r="NRX11" s="111"/>
      <c r="NRY11" s="111"/>
      <c r="NRZ11" s="111"/>
      <c r="NSA11" s="111"/>
      <c r="NSB11" s="111"/>
      <c r="NSC11" s="111"/>
      <c r="NSD11" s="111"/>
      <c r="NSE11" s="111"/>
      <c r="NSF11" s="111"/>
      <c r="NSG11" s="111"/>
      <c r="NSH11" s="111"/>
      <c r="NSI11" s="111"/>
      <c r="NSJ11" s="111"/>
      <c r="NSK11" s="111"/>
      <c r="NSL11" s="111"/>
      <c r="NSM11" s="111"/>
      <c r="NSN11" s="111"/>
      <c r="NSO11" s="111"/>
      <c r="NSP11" s="111"/>
      <c r="NSQ11" s="111"/>
      <c r="NSR11" s="111"/>
      <c r="NSS11" s="111"/>
      <c r="NST11" s="111"/>
      <c r="NSU11" s="111"/>
      <c r="NSV11" s="111"/>
      <c r="NSW11" s="111"/>
      <c r="NSX11" s="111"/>
      <c r="NSY11" s="111"/>
      <c r="NSZ11" s="111"/>
      <c r="NTA11" s="111"/>
      <c r="NTB11" s="111"/>
      <c r="NTC11" s="111"/>
      <c r="NTD11" s="111"/>
      <c r="NTE11" s="111"/>
      <c r="NTF11" s="111"/>
      <c r="NTG11" s="111"/>
      <c r="NTH11" s="111"/>
      <c r="NTI11" s="111"/>
      <c r="NTJ11" s="111"/>
      <c r="NTK11" s="111"/>
      <c r="NTL11" s="111"/>
      <c r="NTM11" s="111"/>
      <c r="NTN11" s="111"/>
      <c r="NTO11" s="111"/>
      <c r="NTP11" s="111"/>
      <c r="NTQ11" s="111"/>
      <c r="NTR11" s="111"/>
      <c r="NTS11" s="111"/>
      <c r="NTT11" s="111"/>
      <c r="NTU11" s="111"/>
      <c r="NTV11" s="111"/>
      <c r="NTW11" s="111"/>
      <c r="NTX11" s="111"/>
      <c r="NTY11" s="111"/>
      <c r="NTZ11" s="111"/>
      <c r="NUA11" s="111"/>
      <c r="NUB11" s="111"/>
      <c r="NUC11" s="111"/>
      <c r="NUD11" s="111"/>
      <c r="NUE11" s="111"/>
      <c r="NUF11" s="111"/>
      <c r="NUG11" s="111"/>
      <c r="NUH11" s="111"/>
      <c r="NUI11" s="111"/>
      <c r="NUJ11" s="111"/>
      <c r="NUK11" s="111"/>
      <c r="NUL11" s="111"/>
      <c r="NUM11" s="111"/>
      <c r="NUN11" s="111"/>
      <c r="NUO11" s="111"/>
      <c r="NUP11" s="111"/>
      <c r="NUQ11" s="111"/>
      <c r="NUR11" s="111"/>
      <c r="NUS11" s="111"/>
      <c r="NUT11" s="111"/>
      <c r="NUU11" s="111"/>
      <c r="NUV11" s="111"/>
      <c r="NUW11" s="111"/>
      <c r="NUX11" s="111"/>
      <c r="NUY11" s="111"/>
      <c r="NUZ11" s="111"/>
      <c r="NVA11" s="111"/>
      <c r="NVB11" s="111"/>
      <c r="NVC11" s="111"/>
      <c r="NVD11" s="111"/>
      <c r="NVE11" s="111"/>
      <c r="NVF11" s="111"/>
      <c r="NVG11" s="111"/>
      <c r="NVH11" s="111"/>
      <c r="NVI11" s="111"/>
      <c r="NVJ11" s="111"/>
      <c r="NVK11" s="111"/>
      <c r="NVL11" s="111"/>
      <c r="NVM11" s="111"/>
      <c r="NVN11" s="111"/>
      <c r="NVO11" s="111"/>
      <c r="NVP11" s="111"/>
      <c r="NVQ11" s="111"/>
      <c r="NVR11" s="111"/>
      <c r="NVS11" s="111"/>
      <c r="NVT11" s="111"/>
      <c r="NVU11" s="111"/>
      <c r="NVV11" s="111"/>
      <c r="NVW11" s="111"/>
      <c r="NVX11" s="111"/>
      <c r="NVY11" s="111"/>
      <c r="NVZ11" s="111"/>
      <c r="NWA11" s="111"/>
      <c r="NWB11" s="111"/>
      <c r="NWC11" s="111"/>
      <c r="NWD11" s="111"/>
      <c r="NWE11" s="111"/>
      <c r="NWF11" s="111"/>
      <c r="NWG11" s="111"/>
      <c r="NWH11" s="111"/>
      <c r="NWI11" s="111"/>
      <c r="NWJ11" s="111"/>
      <c r="NWK11" s="111"/>
      <c r="NWL11" s="111"/>
      <c r="NWM11" s="111"/>
      <c r="NWN11" s="111"/>
      <c r="NWO11" s="111"/>
      <c r="NWP11" s="111"/>
      <c r="NWQ11" s="111"/>
      <c r="NWR11" s="111"/>
      <c r="NWS11" s="111"/>
      <c r="NWT11" s="111"/>
      <c r="NWU11" s="111"/>
      <c r="NWV11" s="111"/>
      <c r="NWW11" s="111"/>
      <c r="NWX11" s="111"/>
      <c r="NWY11" s="111"/>
      <c r="NWZ11" s="111"/>
      <c r="NXA11" s="111"/>
      <c r="NXB11" s="111"/>
      <c r="NXC11" s="111"/>
      <c r="NXD11" s="111"/>
      <c r="NXE11" s="111"/>
      <c r="NXF11" s="111"/>
      <c r="NXG11" s="111"/>
      <c r="NXH11" s="111"/>
      <c r="NXI11" s="111"/>
      <c r="NXJ11" s="111"/>
      <c r="NXK11" s="111"/>
      <c r="NXL11" s="111"/>
      <c r="NXM11" s="111"/>
      <c r="NXN11" s="111"/>
      <c r="NXO11" s="111"/>
      <c r="NXP11" s="111"/>
      <c r="NXQ11" s="111"/>
      <c r="NXR11" s="111"/>
      <c r="NXS11" s="111"/>
      <c r="NXT11" s="111"/>
      <c r="NXU11" s="111"/>
      <c r="NXV11" s="111"/>
      <c r="NXW11" s="111"/>
      <c r="NXX11" s="111"/>
      <c r="NXY11" s="111"/>
      <c r="NXZ11" s="111"/>
      <c r="NYA11" s="111"/>
      <c r="NYB11" s="111"/>
      <c r="NYC11" s="111"/>
      <c r="NYD11" s="111"/>
      <c r="NYE11" s="111"/>
      <c r="NYF11" s="111"/>
      <c r="NYG11" s="111"/>
      <c r="NYH11" s="111"/>
      <c r="NYI11" s="111"/>
      <c r="NYJ11" s="111"/>
      <c r="NYK11" s="111"/>
      <c r="NYL11" s="111"/>
      <c r="NYM11" s="111"/>
      <c r="NYN11" s="111"/>
      <c r="NYO11" s="111"/>
      <c r="NYP11" s="111"/>
      <c r="NYQ11" s="111"/>
      <c r="NYR11" s="111"/>
      <c r="NYS11" s="111"/>
      <c r="NYT11" s="111"/>
      <c r="NYU11" s="111"/>
      <c r="NYV11" s="111"/>
      <c r="NYW11" s="111"/>
      <c r="NYX11" s="111"/>
      <c r="NYY11" s="111"/>
      <c r="NYZ11" s="111"/>
      <c r="NZA11" s="111"/>
      <c r="NZB11" s="111"/>
      <c r="NZC11" s="111"/>
      <c r="NZD11" s="111"/>
      <c r="NZE11" s="111"/>
      <c r="NZF11" s="111"/>
      <c r="NZG11" s="111"/>
      <c r="NZH11" s="111"/>
      <c r="NZI11" s="111"/>
      <c r="NZJ11" s="111"/>
      <c r="NZK11" s="111"/>
      <c r="NZL11" s="111"/>
      <c r="NZM11" s="111"/>
      <c r="NZN11" s="111"/>
      <c r="NZO11" s="111"/>
      <c r="NZP11" s="111"/>
      <c r="NZQ11" s="111"/>
      <c r="NZR11" s="111"/>
      <c r="NZS11" s="111"/>
      <c r="NZT11" s="111"/>
      <c r="NZU11" s="111"/>
      <c r="NZV11" s="111"/>
      <c r="NZW11" s="111"/>
      <c r="NZX11" s="111"/>
      <c r="NZY11" s="111"/>
      <c r="NZZ11" s="111"/>
      <c r="OAA11" s="111"/>
      <c r="OAB11" s="111"/>
      <c r="OAC11" s="111"/>
      <c r="OAD11" s="111"/>
      <c r="OAE11" s="111"/>
      <c r="OAF11" s="111"/>
      <c r="OAG11" s="111"/>
      <c r="OAH11" s="111"/>
      <c r="OAI11" s="111"/>
      <c r="OAJ11" s="111"/>
      <c r="OAK11" s="111"/>
      <c r="OAL11" s="111"/>
      <c r="OAM11" s="111"/>
      <c r="OAN11" s="111"/>
      <c r="OAO11" s="111"/>
      <c r="OAP11" s="111"/>
      <c r="OAQ11" s="111"/>
      <c r="OAR11" s="111"/>
      <c r="OAS11" s="111"/>
      <c r="OAT11" s="111"/>
      <c r="OAU11" s="111"/>
      <c r="OAV11" s="111"/>
      <c r="OAW11" s="111"/>
      <c r="OAX11" s="111"/>
      <c r="OAY11" s="111"/>
      <c r="OAZ11" s="111"/>
      <c r="OBA11" s="111"/>
      <c r="OBB11" s="111"/>
      <c r="OBC11" s="111"/>
      <c r="OBD11" s="111"/>
      <c r="OBE11" s="111"/>
      <c r="OBF11" s="111"/>
      <c r="OBG11" s="111"/>
      <c r="OBH11" s="111"/>
      <c r="OBI11" s="111"/>
      <c r="OBJ11" s="111"/>
      <c r="OBK11" s="111"/>
      <c r="OBL11" s="111"/>
      <c r="OBM11" s="111"/>
      <c r="OBN11" s="111"/>
      <c r="OBO11" s="111"/>
      <c r="OBP11" s="111"/>
      <c r="OBQ11" s="111"/>
      <c r="OBR11" s="111"/>
      <c r="OBS11" s="111"/>
      <c r="OBT11" s="111"/>
      <c r="OBU11" s="111"/>
      <c r="OBV11" s="111"/>
      <c r="OBW11" s="111"/>
      <c r="OBX11" s="111"/>
      <c r="OBY11" s="111"/>
      <c r="OBZ11" s="111"/>
      <c r="OCA11" s="111"/>
      <c r="OCB11" s="111"/>
      <c r="OCC11" s="111"/>
      <c r="OCD11" s="111"/>
      <c r="OCE11" s="111"/>
      <c r="OCF11" s="111"/>
      <c r="OCG11" s="111"/>
      <c r="OCH11" s="111"/>
      <c r="OCI11" s="111"/>
      <c r="OCJ11" s="111"/>
      <c r="OCK11" s="111"/>
      <c r="OCL11" s="111"/>
      <c r="OCM11" s="111"/>
      <c r="OCN11" s="111"/>
      <c r="OCO11" s="111"/>
      <c r="OCP11" s="111"/>
      <c r="OCQ11" s="111"/>
      <c r="OCR11" s="111"/>
      <c r="OCS11" s="111"/>
      <c r="OCT11" s="111"/>
      <c r="OCU11" s="111"/>
      <c r="OCV11" s="111"/>
      <c r="OCW11" s="111"/>
      <c r="OCX11" s="111"/>
      <c r="OCY11" s="111"/>
      <c r="OCZ11" s="111"/>
      <c r="ODA11" s="111"/>
      <c r="ODB11" s="111"/>
      <c r="ODC11" s="111"/>
      <c r="ODD11" s="111"/>
      <c r="ODE11" s="111"/>
      <c r="ODF11" s="111"/>
      <c r="ODG11" s="111"/>
      <c r="ODH11" s="111"/>
      <c r="ODI11" s="111"/>
      <c r="ODJ11" s="111"/>
      <c r="ODK11" s="111"/>
      <c r="ODL11" s="111"/>
      <c r="ODM11" s="111"/>
      <c r="ODN11" s="111"/>
      <c r="ODO11" s="111"/>
      <c r="ODP11" s="111"/>
      <c r="ODQ11" s="111"/>
      <c r="ODR11" s="111"/>
      <c r="ODS11" s="111"/>
      <c r="ODT11" s="111"/>
      <c r="ODU11" s="111"/>
      <c r="ODV11" s="111"/>
      <c r="ODW11" s="111"/>
      <c r="ODX11" s="111"/>
      <c r="ODY11" s="111"/>
      <c r="ODZ11" s="111"/>
      <c r="OEA11" s="111"/>
      <c r="OEB11" s="111"/>
      <c r="OEC11" s="111"/>
      <c r="OED11" s="111"/>
      <c r="OEE11" s="111"/>
      <c r="OEF11" s="111"/>
      <c r="OEG11" s="111"/>
      <c r="OEH11" s="111"/>
      <c r="OEI11" s="111"/>
      <c r="OEJ11" s="111"/>
      <c r="OEK11" s="111"/>
      <c r="OEL11" s="111"/>
      <c r="OEM11" s="111"/>
      <c r="OEN11" s="111"/>
      <c r="OEO11" s="111"/>
      <c r="OEP11" s="111"/>
      <c r="OEQ11" s="111"/>
      <c r="OER11" s="111"/>
      <c r="OES11" s="111"/>
      <c r="OET11" s="111"/>
      <c r="OEU11" s="111"/>
      <c r="OEV11" s="111"/>
      <c r="OEW11" s="111"/>
      <c r="OEX11" s="111"/>
      <c r="OEY11" s="111"/>
      <c r="OEZ11" s="111"/>
      <c r="OFA11" s="111"/>
      <c r="OFB11" s="111"/>
      <c r="OFC11" s="111"/>
      <c r="OFD11" s="111"/>
      <c r="OFE11" s="111"/>
      <c r="OFF11" s="111"/>
      <c r="OFG11" s="111"/>
      <c r="OFH11" s="111"/>
      <c r="OFI11" s="111"/>
      <c r="OFJ11" s="111"/>
      <c r="OFK11" s="111"/>
      <c r="OFL11" s="111"/>
      <c r="OFM11" s="111"/>
      <c r="OFN11" s="111"/>
      <c r="OFO11" s="111"/>
      <c r="OFP11" s="111"/>
      <c r="OFQ11" s="111"/>
      <c r="OFR11" s="111"/>
      <c r="OFS11" s="111"/>
      <c r="OFT11" s="111"/>
      <c r="OFU11" s="111"/>
      <c r="OFV11" s="111"/>
      <c r="OFW11" s="111"/>
      <c r="OFX11" s="111"/>
      <c r="OFY11" s="111"/>
      <c r="OFZ11" s="111"/>
      <c r="OGA11" s="111"/>
      <c r="OGB11" s="111"/>
      <c r="OGC11" s="111"/>
      <c r="OGD11" s="111"/>
      <c r="OGE11" s="111"/>
      <c r="OGF11" s="111"/>
      <c r="OGG11" s="111"/>
      <c r="OGH11" s="111"/>
      <c r="OGI11" s="111"/>
      <c r="OGJ11" s="111"/>
      <c r="OGK11" s="111"/>
      <c r="OGL11" s="111"/>
      <c r="OGM11" s="111"/>
      <c r="OGN11" s="111"/>
      <c r="OGO11" s="111"/>
      <c r="OGP11" s="111"/>
      <c r="OGQ11" s="111"/>
      <c r="OGR11" s="111"/>
      <c r="OGS11" s="111"/>
      <c r="OGT11" s="111"/>
      <c r="OGU11" s="111"/>
      <c r="OGV11" s="111"/>
      <c r="OGW11" s="111"/>
      <c r="OGX11" s="111"/>
      <c r="OGY11" s="111"/>
      <c r="OGZ11" s="111"/>
      <c r="OHA11" s="111"/>
      <c r="OHB11" s="111"/>
      <c r="OHC11" s="111"/>
      <c r="OHD11" s="111"/>
      <c r="OHE11" s="111"/>
      <c r="OHF11" s="111"/>
      <c r="OHG11" s="111"/>
      <c r="OHH11" s="111"/>
      <c r="OHI11" s="111"/>
      <c r="OHJ11" s="111"/>
      <c r="OHK11" s="111"/>
      <c r="OHL11" s="111"/>
      <c r="OHM11" s="111"/>
      <c r="OHN11" s="111"/>
      <c r="OHO11" s="111"/>
      <c r="OHP11" s="111"/>
      <c r="OHQ11" s="111"/>
      <c r="OHR11" s="111"/>
      <c r="OHS11" s="111"/>
      <c r="OHT11" s="111"/>
      <c r="OHU11" s="111"/>
      <c r="OHV11" s="111"/>
      <c r="OHW11" s="111"/>
      <c r="OHX11" s="111"/>
      <c r="OHY11" s="111"/>
      <c r="OHZ11" s="111"/>
      <c r="OIA11" s="111"/>
      <c r="OIB11" s="111"/>
      <c r="OIC11" s="111"/>
      <c r="OID11" s="111"/>
      <c r="OIE11" s="111"/>
      <c r="OIF11" s="111"/>
      <c r="OIG11" s="111"/>
      <c r="OIH11" s="111"/>
      <c r="OII11" s="111"/>
      <c r="OIJ11" s="111"/>
      <c r="OIK11" s="111"/>
      <c r="OIL11" s="111"/>
      <c r="OIM11" s="111"/>
      <c r="OIN11" s="111"/>
      <c r="OIO11" s="111"/>
      <c r="OIP11" s="111"/>
      <c r="OIQ11" s="111"/>
      <c r="OIR11" s="111"/>
      <c r="OIS11" s="111"/>
      <c r="OIT11" s="111"/>
      <c r="OIU11" s="111"/>
      <c r="OIV11" s="111"/>
      <c r="OIW11" s="111"/>
      <c r="OIX11" s="111"/>
      <c r="OIY11" s="111"/>
      <c r="OIZ11" s="111"/>
      <c r="OJA11" s="111"/>
      <c r="OJB11" s="111"/>
      <c r="OJC11" s="111"/>
      <c r="OJD11" s="111"/>
      <c r="OJE11" s="111"/>
      <c r="OJF11" s="111"/>
      <c r="OJG11" s="111"/>
      <c r="OJH11" s="111"/>
      <c r="OJI11" s="111"/>
      <c r="OJJ11" s="111"/>
      <c r="OJK11" s="111"/>
      <c r="OJL11" s="111"/>
      <c r="OJM11" s="111"/>
      <c r="OJN11" s="111"/>
      <c r="OJO11" s="111"/>
      <c r="OJP11" s="111"/>
      <c r="OJQ11" s="111"/>
      <c r="OJR11" s="111"/>
      <c r="OJS11" s="111"/>
      <c r="OJT11" s="111"/>
      <c r="OJU11" s="111"/>
      <c r="OJV11" s="111"/>
      <c r="OJW11" s="111"/>
      <c r="OJX11" s="111"/>
      <c r="OJY11" s="111"/>
      <c r="OJZ11" s="111"/>
      <c r="OKA11" s="111"/>
      <c r="OKB11" s="111"/>
      <c r="OKC11" s="111"/>
      <c r="OKD11" s="111"/>
      <c r="OKE11" s="111"/>
      <c r="OKF11" s="111"/>
      <c r="OKG11" s="111"/>
      <c r="OKH11" s="111"/>
      <c r="OKI11" s="111"/>
      <c r="OKJ11" s="111"/>
      <c r="OKK11" s="111"/>
      <c r="OKL11" s="111"/>
      <c r="OKM11" s="111"/>
      <c r="OKN11" s="111"/>
      <c r="OKO11" s="111"/>
      <c r="OKP11" s="111"/>
      <c r="OKQ11" s="111"/>
      <c r="OKR11" s="111"/>
      <c r="OKS11" s="111"/>
      <c r="OKT11" s="111"/>
      <c r="OKU11" s="111"/>
      <c r="OKV11" s="111"/>
      <c r="OKW11" s="111"/>
      <c r="OKX11" s="111"/>
      <c r="OKY11" s="111"/>
      <c r="OKZ11" s="111"/>
      <c r="OLA11" s="111"/>
      <c r="OLB11" s="111"/>
      <c r="OLC11" s="111"/>
      <c r="OLD11" s="111"/>
      <c r="OLE11" s="111"/>
      <c r="OLF11" s="111"/>
      <c r="OLG11" s="111"/>
      <c r="OLH11" s="111"/>
      <c r="OLI11" s="111"/>
      <c r="OLJ11" s="111"/>
      <c r="OLK11" s="111"/>
      <c r="OLL11" s="111"/>
      <c r="OLM11" s="111"/>
      <c r="OLN11" s="111"/>
      <c r="OLO11" s="111"/>
      <c r="OLP11" s="111"/>
      <c r="OLQ11" s="111"/>
      <c r="OLR11" s="111"/>
      <c r="OLS11" s="111"/>
      <c r="OLT11" s="111"/>
      <c r="OLU11" s="111"/>
      <c r="OLV11" s="111"/>
      <c r="OLW11" s="111"/>
      <c r="OLX11" s="111"/>
      <c r="OLY11" s="111"/>
      <c r="OLZ11" s="111"/>
      <c r="OMA11" s="111"/>
      <c r="OMB11" s="111"/>
      <c r="OMC11" s="111"/>
      <c r="OMD11" s="111"/>
      <c r="OME11" s="111"/>
      <c r="OMF11" s="111"/>
      <c r="OMG11" s="111"/>
      <c r="OMH11" s="111"/>
      <c r="OMI11" s="111"/>
      <c r="OMJ11" s="111"/>
      <c r="OMK11" s="111"/>
      <c r="OML11" s="111"/>
      <c r="OMM11" s="111"/>
      <c r="OMN11" s="111"/>
      <c r="OMO11" s="111"/>
      <c r="OMP11" s="111"/>
      <c r="OMQ11" s="111"/>
      <c r="OMR11" s="111"/>
      <c r="OMS11" s="111"/>
      <c r="OMT11" s="111"/>
      <c r="OMU11" s="111"/>
      <c r="OMV11" s="111"/>
      <c r="OMW11" s="111"/>
      <c r="OMX11" s="111"/>
      <c r="OMY11" s="111"/>
      <c r="OMZ11" s="111"/>
      <c r="ONA11" s="111"/>
      <c r="ONB11" s="111"/>
      <c r="ONC11" s="111"/>
      <c r="OND11" s="111"/>
      <c r="ONE11" s="111"/>
      <c r="ONF11" s="111"/>
      <c r="ONG11" s="111"/>
      <c r="ONH11" s="111"/>
      <c r="ONI11" s="111"/>
      <c r="ONJ11" s="111"/>
      <c r="ONK11" s="111"/>
      <c r="ONL11" s="111"/>
      <c r="ONM11" s="111"/>
      <c r="ONN11" s="111"/>
      <c r="ONO11" s="111"/>
      <c r="ONP11" s="111"/>
      <c r="ONQ11" s="111"/>
      <c r="ONR11" s="111"/>
      <c r="ONS11" s="111"/>
      <c r="ONT11" s="111"/>
      <c r="ONU11" s="111"/>
      <c r="ONV11" s="111"/>
      <c r="ONW11" s="111"/>
      <c r="ONX11" s="111"/>
      <c r="ONY11" s="111"/>
      <c r="ONZ11" s="111"/>
      <c r="OOA11" s="111"/>
      <c r="OOB11" s="111"/>
      <c r="OOC11" s="111"/>
      <c r="OOD11" s="111"/>
      <c r="OOE11" s="111"/>
      <c r="OOF11" s="111"/>
      <c r="OOG11" s="111"/>
      <c r="OOH11" s="111"/>
      <c r="OOI11" s="111"/>
      <c r="OOJ11" s="111"/>
      <c r="OOK11" s="111"/>
      <c r="OOL11" s="111"/>
      <c r="OOM11" s="111"/>
      <c r="OON11" s="111"/>
      <c r="OOO11" s="111"/>
      <c r="OOP11" s="111"/>
      <c r="OOQ11" s="111"/>
      <c r="OOR11" s="111"/>
      <c r="OOS11" s="111"/>
      <c r="OOT11" s="111"/>
      <c r="OOU11" s="111"/>
      <c r="OOV11" s="111"/>
      <c r="OOW11" s="111"/>
      <c r="OOX11" s="111"/>
      <c r="OOY11" s="111"/>
      <c r="OOZ11" s="111"/>
      <c r="OPA11" s="111"/>
      <c r="OPB11" s="111"/>
      <c r="OPC11" s="111"/>
      <c r="OPD11" s="111"/>
      <c r="OPE11" s="111"/>
      <c r="OPF11" s="111"/>
      <c r="OPG11" s="111"/>
      <c r="OPH11" s="111"/>
      <c r="OPI11" s="111"/>
      <c r="OPJ11" s="111"/>
      <c r="OPK11" s="111"/>
      <c r="OPL11" s="111"/>
      <c r="OPM11" s="111"/>
      <c r="OPN11" s="111"/>
      <c r="OPO11" s="111"/>
      <c r="OPP11" s="111"/>
      <c r="OPQ11" s="111"/>
      <c r="OPR11" s="111"/>
      <c r="OPS11" s="111"/>
      <c r="OPT11" s="111"/>
      <c r="OPU11" s="111"/>
      <c r="OPV11" s="111"/>
      <c r="OPW11" s="111"/>
      <c r="OPX11" s="111"/>
      <c r="OPY11" s="111"/>
      <c r="OPZ11" s="111"/>
      <c r="OQA11" s="111"/>
      <c r="OQB11" s="111"/>
      <c r="OQC11" s="111"/>
      <c r="OQD11" s="111"/>
      <c r="OQE11" s="111"/>
      <c r="OQF11" s="111"/>
      <c r="OQG11" s="111"/>
      <c r="OQH11" s="111"/>
      <c r="OQI11" s="111"/>
      <c r="OQJ11" s="111"/>
      <c r="OQK11" s="111"/>
      <c r="OQL11" s="111"/>
      <c r="OQM11" s="111"/>
      <c r="OQN11" s="111"/>
      <c r="OQO11" s="111"/>
      <c r="OQP11" s="111"/>
      <c r="OQQ11" s="111"/>
      <c r="OQR11" s="111"/>
      <c r="OQS11" s="111"/>
      <c r="OQT11" s="111"/>
      <c r="OQU11" s="111"/>
      <c r="OQV11" s="111"/>
      <c r="OQW11" s="111"/>
      <c r="OQX11" s="111"/>
      <c r="OQY11" s="111"/>
      <c r="OQZ11" s="111"/>
      <c r="ORA11" s="111"/>
      <c r="ORB11" s="111"/>
      <c r="ORC11" s="111"/>
      <c r="ORD11" s="111"/>
      <c r="ORE11" s="111"/>
      <c r="ORF11" s="111"/>
      <c r="ORG11" s="111"/>
      <c r="ORH11" s="111"/>
      <c r="ORI11" s="111"/>
      <c r="ORJ11" s="111"/>
      <c r="ORK11" s="111"/>
      <c r="ORL11" s="111"/>
      <c r="ORM11" s="111"/>
      <c r="ORN11" s="111"/>
      <c r="ORO11" s="111"/>
      <c r="ORP11" s="111"/>
      <c r="ORQ11" s="111"/>
      <c r="ORR11" s="111"/>
      <c r="ORS11" s="111"/>
      <c r="ORT11" s="111"/>
      <c r="ORU11" s="111"/>
      <c r="ORV11" s="111"/>
      <c r="ORW11" s="111"/>
      <c r="ORX11" s="111"/>
      <c r="ORY11" s="111"/>
      <c r="ORZ11" s="111"/>
      <c r="OSA11" s="111"/>
      <c r="OSB11" s="111"/>
      <c r="OSC11" s="111"/>
      <c r="OSD11" s="111"/>
      <c r="OSE11" s="111"/>
      <c r="OSF11" s="111"/>
      <c r="OSG11" s="111"/>
      <c r="OSH11" s="111"/>
      <c r="OSI11" s="111"/>
      <c r="OSJ11" s="111"/>
      <c r="OSK11" s="111"/>
      <c r="OSL11" s="111"/>
      <c r="OSM11" s="111"/>
      <c r="OSN11" s="111"/>
      <c r="OSO11" s="111"/>
      <c r="OSP11" s="111"/>
      <c r="OSQ11" s="111"/>
      <c r="OSR11" s="111"/>
      <c r="OSS11" s="111"/>
      <c r="OST11" s="111"/>
      <c r="OSU11" s="111"/>
      <c r="OSV11" s="111"/>
      <c r="OSW11" s="111"/>
      <c r="OSX11" s="111"/>
      <c r="OSY11" s="111"/>
      <c r="OSZ11" s="111"/>
      <c r="OTA11" s="111"/>
      <c r="OTB11" s="111"/>
      <c r="OTC11" s="111"/>
      <c r="OTD11" s="111"/>
      <c r="OTE11" s="111"/>
      <c r="OTF11" s="111"/>
      <c r="OTG11" s="111"/>
      <c r="OTH11" s="111"/>
      <c r="OTI11" s="111"/>
      <c r="OTJ11" s="111"/>
      <c r="OTK11" s="111"/>
      <c r="OTL11" s="111"/>
      <c r="OTM11" s="111"/>
      <c r="OTN11" s="111"/>
      <c r="OTO11" s="111"/>
      <c r="OTP11" s="111"/>
      <c r="OTQ11" s="111"/>
      <c r="OTR11" s="111"/>
      <c r="OTS11" s="111"/>
      <c r="OTT11" s="111"/>
      <c r="OTU11" s="111"/>
      <c r="OTV11" s="111"/>
      <c r="OTW11" s="111"/>
      <c r="OTX11" s="111"/>
      <c r="OTY11" s="111"/>
      <c r="OTZ11" s="111"/>
      <c r="OUA11" s="111"/>
      <c r="OUB11" s="111"/>
      <c r="OUC11" s="111"/>
      <c r="OUD11" s="111"/>
      <c r="OUE11" s="111"/>
      <c r="OUF11" s="111"/>
      <c r="OUG11" s="111"/>
      <c r="OUH11" s="111"/>
      <c r="OUI11" s="111"/>
      <c r="OUJ11" s="111"/>
      <c r="OUK11" s="111"/>
      <c r="OUL11" s="111"/>
      <c r="OUM11" s="111"/>
      <c r="OUN11" s="111"/>
      <c r="OUO11" s="111"/>
      <c r="OUP11" s="111"/>
      <c r="OUQ11" s="111"/>
      <c r="OUR11" s="111"/>
      <c r="OUS11" s="111"/>
      <c r="OUT11" s="111"/>
      <c r="OUU11" s="111"/>
      <c r="OUV11" s="111"/>
      <c r="OUW11" s="111"/>
      <c r="OUX11" s="111"/>
      <c r="OUY11" s="111"/>
      <c r="OUZ11" s="111"/>
      <c r="OVA11" s="111"/>
      <c r="OVB11" s="111"/>
      <c r="OVC11" s="111"/>
      <c r="OVD11" s="111"/>
      <c r="OVE11" s="111"/>
      <c r="OVF11" s="111"/>
      <c r="OVG11" s="111"/>
      <c r="OVH11" s="111"/>
      <c r="OVI11" s="111"/>
      <c r="OVJ11" s="111"/>
      <c r="OVK11" s="111"/>
      <c r="OVL11" s="111"/>
      <c r="OVM11" s="111"/>
      <c r="OVN11" s="111"/>
      <c r="OVO11" s="111"/>
      <c r="OVP11" s="111"/>
      <c r="OVQ11" s="111"/>
      <c r="OVR11" s="111"/>
      <c r="OVS11" s="111"/>
      <c r="OVT11" s="111"/>
      <c r="OVU11" s="111"/>
      <c r="OVV11" s="111"/>
      <c r="OVW11" s="111"/>
      <c r="OVX11" s="111"/>
      <c r="OVY11" s="111"/>
      <c r="OVZ11" s="111"/>
      <c r="OWA11" s="111"/>
      <c r="OWC11" s="111"/>
      <c r="OWD11" s="111"/>
      <c r="OWE11" s="111"/>
      <c r="OWF11" s="111"/>
      <c r="OWG11" s="111"/>
      <c r="OWH11" s="111"/>
      <c r="OWI11" s="111"/>
      <c r="OWJ11" s="111"/>
      <c r="OWK11" s="111"/>
      <c r="OWL11" s="111"/>
      <c r="OWM11" s="111"/>
      <c r="OWN11" s="111"/>
      <c r="OWO11" s="111"/>
      <c r="OWP11" s="111"/>
      <c r="OWQ11" s="111"/>
      <c r="OWR11" s="111"/>
      <c r="OWS11" s="111"/>
      <c r="OWT11" s="111"/>
      <c r="OWU11" s="111"/>
      <c r="OWV11" s="111"/>
      <c r="OWW11" s="111"/>
      <c r="OWX11" s="111"/>
      <c r="OWY11" s="111"/>
      <c r="OWZ11" s="111"/>
      <c r="OXA11" s="111"/>
      <c r="OXB11" s="111"/>
      <c r="OXC11" s="111"/>
      <c r="OXD11" s="111"/>
      <c r="OXE11" s="111"/>
      <c r="OXF11" s="111"/>
      <c r="OXG11" s="111"/>
      <c r="OXH11" s="111"/>
      <c r="OXI11" s="111"/>
      <c r="OXJ11" s="111"/>
      <c r="OXK11" s="111"/>
      <c r="OXL11" s="111"/>
      <c r="OXM11" s="111"/>
      <c r="OXN11" s="111"/>
      <c r="OXO11" s="111"/>
      <c r="OXP11" s="111"/>
      <c r="OXQ11" s="111"/>
      <c r="OXR11" s="111"/>
      <c r="OXS11" s="111"/>
      <c r="OXT11" s="111"/>
      <c r="OXU11" s="111"/>
      <c r="OXV11" s="111"/>
      <c r="OXW11" s="111"/>
      <c r="OXX11" s="111"/>
      <c r="OXY11" s="111"/>
      <c r="OXZ11" s="111"/>
      <c r="OYA11" s="111"/>
      <c r="OYB11" s="111"/>
      <c r="OYC11" s="111"/>
      <c r="OYD11" s="111"/>
      <c r="OYE11" s="111"/>
      <c r="OYF11" s="111"/>
      <c r="OYG11" s="111"/>
      <c r="OYH11" s="111"/>
      <c r="OYI11" s="111"/>
      <c r="OYJ11" s="111"/>
      <c r="OYK11" s="111"/>
      <c r="OYL11" s="111"/>
      <c r="OYM11" s="111"/>
      <c r="OYN11" s="111"/>
      <c r="OYO11" s="111"/>
      <c r="OYP11" s="111"/>
      <c r="OYQ11" s="111"/>
      <c r="OYR11" s="111"/>
      <c r="OYS11" s="111"/>
      <c r="OYT11" s="111"/>
      <c r="OYU11" s="111"/>
      <c r="OYV11" s="111"/>
      <c r="OYW11" s="111"/>
      <c r="OYX11" s="111"/>
      <c r="OYY11" s="111"/>
      <c r="OYZ11" s="111"/>
      <c r="OZA11" s="111"/>
      <c r="OZB11" s="111"/>
      <c r="OZC11" s="111"/>
      <c r="OZD11" s="111"/>
      <c r="OZE11" s="111"/>
      <c r="OZF11" s="111"/>
      <c r="OZG11" s="111"/>
      <c r="OZH11" s="111"/>
      <c r="OZI11" s="111"/>
      <c r="OZJ11" s="111"/>
      <c r="OZK11" s="111"/>
      <c r="OZL11" s="111"/>
      <c r="OZM11" s="111"/>
      <c r="OZN11" s="111"/>
      <c r="OZO11" s="111"/>
      <c r="OZP11" s="111"/>
      <c r="OZQ11" s="111"/>
      <c r="OZR11" s="111"/>
      <c r="OZS11" s="111"/>
      <c r="OZT11" s="111"/>
      <c r="OZU11" s="111"/>
      <c r="OZV11" s="111"/>
      <c r="OZW11" s="111"/>
      <c r="OZX11" s="111"/>
      <c r="OZY11" s="111"/>
      <c r="OZZ11" s="111"/>
      <c r="PAA11" s="111"/>
      <c r="PAB11" s="111"/>
      <c r="PAC11" s="111"/>
      <c r="PAD11" s="111"/>
      <c r="PAE11" s="111"/>
      <c r="PAF11" s="111"/>
      <c r="PAG11" s="111"/>
      <c r="PAH11" s="111"/>
      <c r="PAI11" s="111"/>
      <c r="PAJ11" s="111"/>
      <c r="PAK11" s="111"/>
      <c r="PAL11" s="111"/>
      <c r="PAM11" s="111"/>
      <c r="PAN11" s="111"/>
      <c r="PAO11" s="111"/>
      <c r="PAP11" s="111"/>
      <c r="PAQ11" s="111"/>
      <c r="PAR11" s="111"/>
      <c r="PAS11" s="111"/>
      <c r="PAT11" s="111"/>
      <c r="PAU11" s="111"/>
      <c r="PAV11" s="111"/>
      <c r="PAW11" s="111"/>
      <c r="PAX11" s="111"/>
      <c r="PAY11" s="111"/>
      <c r="PAZ11" s="111"/>
      <c r="PBA11" s="111"/>
      <c r="PBB11" s="111"/>
      <c r="PBC11" s="111"/>
      <c r="PBD11" s="111"/>
      <c r="PBE11" s="111"/>
      <c r="PBF11" s="111"/>
      <c r="PBG11" s="111"/>
      <c r="PBH11" s="111"/>
      <c r="PBI11" s="111"/>
      <c r="PBJ11" s="111"/>
      <c r="PBK11" s="111"/>
      <c r="PBL11" s="111"/>
      <c r="PBM11" s="111"/>
      <c r="PBN11" s="111"/>
      <c r="PBO11" s="111"/>
      <c r="PBP11" s="111"/>
      <c r="PBQ11" s="111"/>
      <c r="PBR11" s="111"/>
      <c r="PBS11" s="111"/>
      <c r="PBT11" s="111"/>
      <c r="PBU11" s="111"/>
      <c r="PBV11" s="111"/>
      <c r="PBW11" s="111"/>
      <c r="PBX11" s="111"/>
      <c r="PBY11" s="111"/>
      <c r="PBZ11" s="111"/>
      <c r="PCA11" s="111"/>
      <c r="PCB11" s="111"/>
      <c r="PCC11" s="111"/>
      <c r="PCD11" s="111"/>
      <c r="PCE11" s="111"/>
      <c r="PCF11" s="111"/>
      <c r="PCG11" s="111"/>
      <c r="PCH11" s="111"/>
      <c r="PCI11" s="111"/>
      <c r="PCJ11" s="111"/>
      <c r="PCK11" s="111"/>
      <c r="PCL11" s="111"/>
      <c r="PCM11" s="111"/>
      <c r="PCN11" s="111"/>
      <c r="PCO11" s="111"/>
      <c r="PCP11" s="111"/>
      <c r="PCQ11" s="111"/>
      <c r="PCR11" s="111"/>
      <c r="PCS11" s="111"/>
      <c r="PCT11" s="111"/>
      <c r="PCU11" s="111"/>
      <c r="PCV11" s="111"/>
      <c r="PCW11" s="111"/>
      <c r="PCX11" s="111"/>
      <c r="PCY11" s="111"/>
      <c r="PCZ11" s="111"/>
      <c r="PDA11" s="111"/>
      <c r="PDB11" s="111"/>
      <c r="PDC11" s="111"/>
      <c r="PDD11" s="111"/>
      <c r="PDE11" s="111"/>
      <c r="PDF11" s="111"/>
      <c r="PDG11" s="111"/>
      <c r="PDH11" s="111"/>
      <c r="PDI11" s="111"/>
      <c r="PDJ11" s="111"/>
      <c r="PDK11" s="111"/>
      <c r="PDL11" s="111"/>
      <c r="PDM11" s="111"/>
      <c r="PDN11" s="111"/>
      <c r="PDO11" s="111"/>
      <c r="PDP11" s="111"/>
      <c r="PDQ11" s="111"/>
      <c r="PDR11" s="111"/>
      <c r="PDS11" s="111"/>
      <c r="PDT11" s="111"/>
      <c r="PDU11" s="111"/>
      <c r="PDV11" s="111"/>
      <c r="PDW11" s="111"/>
      <c r="PDX11" s="111"/>
      <c r="PDY11" s="111"/>
      <c r="PDZ11" s="111"/>
      <c r="PEA11" s="111"/>
      <c r="PEB11" s="111"/>
      <c r="PEC11" s="111"/>
      <c r="PED11" s="111"/>
      <c r="PEE11" s="111"/>
      <c r="PEF11" s="111"/>
      <c r="PEG11" s="111"/>
      <c r="PEH11" s="111"/>
      <c r="PEI11" s="111"/>
      <c r="PEJ11" s="111"/>
      <c r="PEK11" s="111"/>
      <c r="PEL11" s="111"/>
      <c r="PEM11" s="111"/>
      <c r="PEN11" s="111"/>
      <c r="PEO11" s="111"/>
      <c r="PEP11" s="111"/>
      <c r="PEQ11" s="111"/>
      <c r="PER11" s="111"/>
      <c r="PES11" s="111"/>
      <c r="PET11" s="111"/>
      <c r="PEU11" s="111"/>
      <c r="PEV11" s="111"/>
      <c r="PEW11" s="111"/>
      <c r="PEX11" s="111"/>
      <c r="PEY11" s="111"/>
      <c r="PEZ11" s="111"/>
      <c r="PFA11" s="111"/>
      <c r="PFB11" s="111"/>
      <c r="PFC11" s="111"/>
      <c r="PFD11" s="111"/>
      <c r="PFE11" s="111"/>
      <c r="PFF11" s="111"/>
      <c r="PFG11" s="111"/>
      <c r="PFH11" s="111"/>
      <c r="PFI11" s="111"/>
      <c r="PFJ11" s="111"/>
      <c r="PFK11" s="111"/>
      <c r="PFL11" s="111"/>
      <c r="PFM11" s="111"/>
      <c r="PFN11" s="111"/>
      <c r="PFO11" s="111"/>
      <c r="PFP11" s="111"/>
      <c r="PFQ11" s="111"/>
      <c r="PFR11" s="111"/>
      <c r="PFS11" s="111"/>
      <c r="PFT11" s="111"/>
      <c r="PFU11" s="111"/>
      <c r="PFV11" s="111"/>
      <c r="PFW11" s="111"/>
      <c r="PFX11" s="111"/>
      <c r="PFY11" s="111"/>
      <c r="PFZ11" s="111"/>
      <c r="PGA11" s="111"/>
      <c r="PGB11" s="111"/>
      <c r="PGC11" s="111"/>
      <c r="PGD11" s="111"/>
      <c r="PGE11" s="111"/>
      <c r="PGF11" s="111"/>
      <c r="PGG11" s="111"/>
      <c r="PGH11" s="111"/>
      <c r="PGI11" s="111"/>
      <c r="PGJ11" s="111"/>
      <c r="PGK11" s="111"/>
      <c r="PGL11" s="111"/>
      <c r="PGM11" s="111"/>
      <c r="PGN11" s="111"/>
      <c r="PGO11" s="111"/>
      <c r="PGP11" s="111"/>
      <c r="PGQ11" s="111"/>
      <c r="PGR11" s="111"/>
      <c r="PGS11" s="111"/>
      <c r="PGT11" s="111"/>
      <c r="PGU11" s="111"/>
      <c r="PGV11" s="111"/>
      <c r="PGW11" s="111"/>
      <c r="PGX11" s="111"/>
      <c r="PGY11" s="111"/>
      <c r="PGZ11" s="111"/>
      <c r="PHA11" s="111"/>
      <c r="PHB11" s="111"/>
      <c r="PHC11" s="111"/>
      <c r="PHD11" s="111"/>
      <c r="PHE11" s="111"/>
      <c r="PHF11" s="111"/>
      <c r="PHG11" s="111"/>
      <c r="PHH11" s="111"/>
      <c r="PHI11" s="111"/>
      <c r="PHJ11" s="111"/>
      <c r="PHK11" s="111"/>
      <c r="PHL11" s="111"/>
      <c r="PHM11" s="111"/>
      <c r="PHN11" s="111"/>
      <c r="PHO11" s="111"/>
      <c r="PHP11" s="111"/>
      <c r="PHQ11" s="111"/>
      <c r="PHR11" s="111"/>
      <c r="PHS11" s="111"/>
      <c r="PHT11" s="111"/>
      <c r="PHU11" s="111"/>
      <c r="PHV11" s="111"/>
      <c r="PHW11" s="111"/>
      <c r="PHX11" s="111"/>
      <c r="PHY11" s="111"/>
      <c r="PHZ11" s="111"/>
      <c r="PIA11" s="111"/>
      <c r="PIB11" s="111"/>
      <c r="PIC11" s="111"/>
      <c r="PID11" s="111"/>
      <c r="PIE11" s="111"/>
      <c r="PIF11" s="111"/>
      <c r="PIG11" s="111"/>
      <c r="PIH11" s="111"/>
      <c r="PII11" s="111"/>
      <c r="PIJ11" s="111"/>
      <c r="PIK11" s="111"/>
      <c r="PIL11" s="111"/>
      <c r="PIM11" s="111"/>
      <c r="PIN11" s="111"/>
      <c r="PIO11" s="111"/>
      <c r="PIP11" s="111"/>
      <c r="PIQ11" s="111"/>
      <c r="PIR11" s="111"/>
      <c r="PIS11" s="111"/>
      <c r="PIT11" s="111"/>
      <c r="PIU11" s="111"/>
      <c r="PIV11" s="111"/>
      <c r="PIW11" s="111"/>
      <c r="PIX11" s="111"/>
      <c r="PIY11" s="111"/>
      <c r="PIZ11" s="111"/>
      <c r="PJA11" s="111"/>
      <c r="PJB11" s="111"/>
      <c r="PJC11" s="111"/>
      <c r="PJD11" s="111"/>
      <c r="PJE11" s="111"/>
      <c r="PJF11" s="111"/>
      <c r="PJG11" s="111"/>
      <c r="PJH11" s="111"/>
      <c r="PJI11" s="111"/>
      <c r="PJJ11" s="111"/>
      <c r="PJK11" s="111"/>
      <c r="PJL11" s="111"/>
      <c r="PJM11" s="111"/>
      <c r="PJN11" s="111"/>
      <c r="PJO11" s="111"/>
      <c r="PJP11" s="111"/>
      <c r="PJQ11" s="111"/>
      <c r="PJR11" s="111"/>
      <c r="PJS11" s="111"/>
      <c r="PJT11" s="111"/>
      <c r="PJU11" s="111"/>
      <c r="PJV11" s="111"/>
      <c r="PJW11" s="111"/>
      <c r="PJX11" s="111"/>
      <c r="PJY11" s="111"/>
      <c r="PJZ11" s="111"/>
      <c r="PKA11" s="111"/>
      <c r="PKB11" s="111"/>
      <c r="PKC11" s="111"/>
      <c r="PKD11" s="111"/>
      <c r="PKE11" s="111"/>
      <c r="PKF11" s="111"/>
      <c r="PKG11" s="111"/>
      <c r="PKH11" s="111"/>
      <c r="PKI11" s="111"/>
      <c r="PKJ11" s="111"/>
      <c r="PKK11" s="111"/>
      <c r="PKL11" s="111"/>
      <c r="PKM11" s="111"/>
      <c r="PKN11" s="111"/>
      <c r="PKO11" s="111"/>
      <c r="PKP11" s="111"/>
      <c r="PKQ11" s="111"/>
      <c r="PKR11" s="111"/>
      <c r="PKS11" s="111"/>
      <c r="PKT11" s="111"/>
      <c r="PKU11" s="111"/>
      <c r="PKV11" s="111"/>
      <c r="PKW11" s="111"/>
      <c r="PKX11" s="111"/>
      <c r="PKY11" s="111"/>
      <c r="PKZ11" s="111"/>
      <c r="PLA11" s="111"/>
      <c r="PLB11" s="111"/>
      <c r="PLC11" s="111"/>
      <c r="PLD11" s="111"/>
      <c r="PLE11" s="111"/>
      <c r="PLF11" s="111"/>
      <c r="PLG11" s="111"/>
      <c r="PLH11" s="111"/>
      <c r="PLI11" s="111"/>
      <c r="PLJ11" s="111"/>
      <c r="PLK11" s="111"/>
      <c r="PLL11" s="111"/>
      <c r="PLM11" s="111"/>
      <c r="PLN11" s="111"/>
      <c r="PLO11" s="111"/>
      <c r="PLP11" s="111"/>
      <c r="PLQ11" s="111"/>
      <c r="PLR11" s="111"/>
      <c r="PLS11" s="111"/>
      <c r="PLT11" s="111"/>
      <c r="PLU11" s="111"/>
      <c r="PLV11" s="111"/>
      <c r="PLW11" s="111"/>
      <c r="PLX11" s="111"/>
      <c r="PLY11" s="111"/>
      <c r="PLZ11" s="111"/>
      <c r="PMA11" s="111"/>
      <c r="PMB11" s="111"/>
      <c r="PMC11" s="111"/>
      <c r="PMD11" s="111"/>
      <c r="PME11" s="111"/>
      <c r="PMF11" s="111"/>
      <c r="PMG11" s="111"/>
      <c r="PMH11" s="111"/>
      <c r="PMI11" s="111"/>
      <c r="PMJ11" s="111"/>
      <c r="PMK11" s="111"/>
      <c r="PML11" s="111"/>
      <c r="PMM11" s="111"/>
      <c r="PMN11" s="111"/>
      <c r="PMO11" s="111"/>
      <c r="PMP11" s="111"/>
      <c r="PMQ11" s="111"/>
      <c r="PMR11" s="111"/>
      <c r="PMS11" s="111"/>
      <c r="PMT11" s="111"/>
      <c r="PMU11" s="111"/>
      <c r="PMV11" s="111"/>
      <c r="PMW11" s="111"/>
      <c r="PMX11" s="111"/>
      <c r="PMY11" s="111"/>
      <c r="PMZ11" s="111"/>
      <c r="PNA11" s="111"/>
      <c r="PNB11" s="111"/>
      <c r="PNC11" s="111"/>
      <c r="PND11" s="111"/>
      <c r="PNE11" s="111"/>
      <c r="PNF11" s="111"/>
      <c r="PNG11" s="111"/>
      <c r="PNH11" s="111"/>
      <c r="PNI11" s="111"/>
      <c r="PNJ11" s="111"/>
      <c r="PNK11" s="111"/>
      <c r="PNL11" s="111"/>
      <c r="PNM11" s="111"/>
      <c r="PNN11" s="111"/>
      <c r="PNO11" s="111"/>
      <c r="PNP11" s="111"/>
      <c r="PNQ11" s="111"/>
      <c r="PNR11" s="111"/>
      <c r="PNS11" s="111"/>
      <c r="PNT11" s="111"/>
      <c r="PNU11" s="111"/>
      <c r="PNV11" s="111"/>
      <c r="PNW11" s="111"/>
      <c r="PNX11" s="111"/>
      <c r="PNY11" s="111"/>
      <c r="PNZ11" s="111"/>
      <c r="POA11" s="111"/>
      <c r="POB11" s="111"/>
      <c r="POC11" s="111"/>
      <c r="POD11" s="111"/>
      <c r="POE11" s="111"/>
      <c r="POF11" s="111"/>
      <c r="POG11" s="111"/>
      <c r="POH11" s="111"/>
      <c r="POI11" s="111"/>
      <c r="POJ11" s="111"/>
      <c r="POK11" s="111"/>
      <c r="POL11" s="111"/>
      <c r="POM11" s="111"/>
      <c r="PON11" s="111"/>
      <c r="POO11" s="111"/>
      <c r="POP11" s="111"/>
      <c r="POQ11" s="111"/>
      <c r="POR11" s="111"/>
      <c r="POS11" s="111"/>
      <c r="POT11" s="111"/>
      <c r="POU11" s="111"/>
      <c r="POV11" s="111"/>
      <c r="POW11" s="111"/>
      <c r="POX11" s="111"/>
      <c r="POY11" s="111"/>
      <c r="POZ11" s="111"/>
      <c r="PPA11" s="111"/>
      <c r="PPB11" s="111"/>
      <c r="PPC11" s="111"/>
      <c r="PPD11" s="111"/>
      <c r="PPE11" s="111"/>
      <c r="PPF11" s="111"/>
      <c r="PPG11" s="111"/>
      <c r="PPH11" s="111"/>
      <c r="PPI11" s="111"/>
      <c r="PPJ11" s="111"/>
      <c r="PPK11" s="111"/>
      <c r="PPL11" s="111"/>
      <c r="PPM11" s="111"/>
      <c r="PPN11" s="111"/>
      <c r="PPO11" s="111"/>
      <c r="PPP11" s="111"/>
      <c r="PPQ11" s="111"/>
      <c r="PPR11" s="111"/>
      <c r="PPS11" s="111"/>
      <c r="PPT11" s="111"/>
      <c r="PPU11" s="111"/>
      <c r="PPV11" s="111"/>
      <c r="PPW11" s="111"/>
      <c r="PPX11" s="111"/>
      <c r="PPY11" s="111"/>
      <c r="PPZ11" s="111"/>
      <c r="PQA11" s="111"/>
      <c r="PQB11" s="111"/>
      <c r="PQC11" s="111"/>
      <c r="PQD11" s="111"/>
      <c r="PQE11" s="111"/>
      <c r="PQF11" s="111"/>
      <c r="PQG11" s="111"/>
      <c r="PQH11" s="111"/>
      <c r="PQI11" s="111"/>
      <c r="PQJ11" s="111"/>
      <c r="PQK11" s="111"/>
      <c r="PQL11" s="111"/>
      <c r="PQM11" s="111"/>
      <c r="PQN11" s="111"/>
      <c r="PQO11" s="111"/>
      <c r="PQP11" s="111"/>
      <c r="PQQ11" s="111"/>
      <c r="PQR11" s="111"/>
      <c r="PQS11" s="111"/>
      <c r="PQT11" s="111"/>
      <c r="PQU11" s="111"/>
      <c r="PQV11" s="111"/>
      <c r="PQW11" s="111"/>
      <c r="PQX11" s="111"/>
      <c r="PQY11" s="111"/>
      <c r="PQZ11" s="111"/>
      <c r="PRA11" s="111"/>
      <c r="PRB11" s="111"/>
      <c r="PRC11" s="111"/>
      <c r="PRD11" s="111"/>
      <c r="PRE11" s="111"/>
      <c r="PRF11" s="111"/>
      <c r="PRG11" s="111"/>
      <c r="PRH11" s="111"/>
      <c r="PRI11" s="111"/>
      <c r="PRJ11" s="111"/>
      <c r="PRK11" s="111"/>
      <c r="PRL11" s="111"/>
      <c r="PRM11" s="111"/>
      <c r="PRN11" s="111"/>
      <c r="PRO11" s="111"/>
      <c r="PRP11" s="111"/>
      <c r="PRQ11" s="111"/>
      <c r="PRR11" s="111"/>
      <c r="PRS11" s="111"/>
      <c r="PRT11" s="111"/>
      <c r="PRU11" s="111"/>
      <c r="PRV11" s="111"/>
      <c r="PRW11" s="111"/>
      <c r="PRX11" s="111"/>
      <c r="PRY11" s="111"/>
      <c r="PRZ11" s="111"/>
      <c r="PSA11" s="111"/>
      <c r="PSB11" s="111"/>
      <c r="PSC11" s="111"/>
      <c r="PSD11" s="111"/>
      <c r="PSE11" s="111"/>
      <c r="PSF11" s="111"/>
      <c r="PSG11" s="111"/>
      <c r="PSH11" s="111"/>
      <c r="PSI11" s="111"/>
      <c r="PSJ11" s="111"/>
      <c r="PSK11" s="111"/>
      <c r="PSL11" s="111"/>
      <c r="PSM11" s="111"/>
      <c r="PSN11" s="111"/>
      <c r="PSO11" s="111"/>
      <c r="PSP11" s="111"/>
      <c r="PSQ11" s="111"/>
      <c r="PSR11" s="111"/>
      <c r="PSS11" s="111"/>
      <c r="PST11" s="111"/>
      <c r="PSU11" s="111"/>
      <c r="PSV11" s="111"/>
      <c r="PSW11" s="111"/>
      <c r="PSX11" s="111"/>
      <c r="PSY11" s="111"/>
      <c r="PSZ11" s="111"/>
      <c r="PTA11" s="111"/>
      <c r="PTB11" s="111"/>
      <c r="PTC11" s="111"/>
      <c r="PTD11" s="111"/>
      <c r="PTE11" s="111"/>
      <c r="PTF11" s="111"/>
      <c r="PTG11" s="111"/>
      <c r="PTH11" s="111"/>
      <c r="PTI11" s="111"/>
      <c r="PTJ11" s="111"/>
      <c r="PTK11" s="111"/>
      <c r="PTL11" s="111"/>
      <c r="PTM11" s="111"/>
      <c r="PTN11" s="111"/>
      <c r="PTO11" s="111"/>
      <c r="PTP11" s="111"/>
      <c r="PTQ11" s="111"/>
      <c r="PTR11" s="111"/>
      <c r="PTS11" s="111"/>
      <c r="PTT11" s="111"/>
      <c r="PTU11" s="111"/>
      <c r="PTV11" s="111"/>
      <c r="PTW11" s="111"/>
      <c r="PTX11" s="111"/>
      <c r="PTY11" s="111"/>
      <c r="PTZ11" s="111"/>
      <c r="PUA11" s="111"/>
      <c r="PUB11" s="111"/>
      <c r="PUC11" s="111"/>
      <c r="PUD11" s="111"/>
      <c r="PUE11" s="111"/>
      <c r="PUF11" s="111"/>
      <c r="PUG11" s="111"/>
      <c r="PUH11" s="111"/>
      <c r="PUI11" s="111"/>
      <c r="PUJ11" s="111"/>
      <c r="PUK11" s="111"/>
      <c r="PUL11" s="111"/>
      <c r="PUM11" s="111"/>
      <c r="PUN11" s="111"/>
      <c r="PUO11" s="111"/>
      <c r="PUP11" s="111"/>
      <c r="PUQ11" s="111"/>
      <c r="PUR11" s="111"/>
      <c r="PUS11" s="111"/>
      <c r="PUT11" s="111"/>
      <c r="PUU11" s="111"/>
      <c r="PUV11" s="111"/>
      <c r="PUW11" s="111"/>
      <c r="PUX11" s="111"/>
      <c r="PUY11" s="111"/>
      <c r="PUZ11" s="111"/>
      <c r="PVA11" s="111"/>
      <c r="PVB11" s="111"/>
      <c r="PVC11" s="111"/>
      <c r="PVD11" s="111"/>
      <c r="PVE11" s="111"/>
      <c r="PVF11" s="111"/>
      <c r="PVG11" s="111"/>
      <c r="PVH11" s="111"/>
      <c r="PVI11" s="111"/>
      <c r="PVJ11" s="111"/>
      <c r="PVK11" s="111"/>
      <c r="PVL11" s="111"/>
      <c r="PVM11" s="111"/>
      <c r="PVN11" s="111"/>
      <c r="PVO11" s="111"/>
      <c r="PVP11" s="111"/>
      <c r="PVQ11" s="111"/>
      <c r="PVR11" s="111"/>
      <c r="PVS11" s="111"/>
      <c r="PVT11" s="111"/>
      <c r="PVU11" s="111"/>
      <c r="PVV11" s="111"/>
      <c r="PVW11" s="111"/>
      <c r="PVX11" s="111"/>
      <c r="PVY11" s="111"/>
      <c r="PVZ11" s="111"/>
      <c r="PWA11" s="111"/>
      <c r="PWB11" s="111"/>
      <c r="PWC11" s="111"/>
      <c r="PWD11" s="111"/>
      <c r="PWE11" s="111"/>
      <c r="PWF11" s="111"/>
      <c r="PWG11" s="111"/>
      <c r="PWH11" s="111"/>
      <c r="PWI11" s="111"/>
      <c r="PWJ11" s="111"/>
      <c r="PWK11" s="111"/>
      <c r="PWL11" s="111"/>
      <c r="PWM11" s="111"/>
      <c r="PWN11" s="111"/>
      <c r="PWO11" s="111"/>
      <c r="PWP11" s="111"/>
      <c r="PWQ11" s="111"/>
      <c r="PWR11" s="111"/>
      <c r="PWS11" s="111"/>
      <c r="PWT11" s="111"/>
      <c r="PWU11" s="111"/>
      <c r="PWV11" s="111"/>
      <c r="PWW11" s="111"/>
      <c r="PWX11" s="111"/>
      <c r="PWY11" s="111"/>
      <c r="PWZ11" s="111"/>
      <c r="PXA11" s="111"/>
      <c r="PXB11" s="111"/>
      <c r="PXC11" s="111"/>
      <c r="PXD11" s="111"/>
      <c r="PXE11" s="111"/>
      <c r="PXF11" s="111"/>
      <c r="PXG11" s="111"/>
      <c r="PXH11" s="111"/>
      <c r="PXI11" s="111"/>
      <c r="PXJ11" s="111"/>
      <c r="PXK11" s="111"/>
      <c r="PXL11" s="111"/>
      <c r="PXM11" s="111"/>
      <c r="PXN11" s="111"/>
      <c r="PXO11" s="111"/>
      <c r="PXP11" s="111"/>
      <c r="PXQ11" s="111"/>
      <c r="PXR11" s="111"/>
      <c r="PXS11" s="111"/>
      <c r="PXT11" s="111"/>
      <c r="PXU11" s="111"/>
      <c r="PXV11" s="111"/>
      <c r="PXW11" s="111"/>
      <c r="PXX11" s="111"/>
      <c r="PXY11" s="111"/>
      <c r="PXZ11" s="111"/>
      <c r="PYA11" s="111"/>
      <c r="PYB11" s="111"/>
      <c r="PYC11" s="111"/>
      <c r="PYD11" s="111"/>
      <c r="PYE11" s="111"/>
      <c r="PYF11" s="111"/>
      <c r="PYG11" s="111"/>
      <c r="PYH11" s="111"/>
      <c r="PYI11" s="111"/>
      <c r="PYJ11" s="111"/>
      <c r="PYK11" s="111"/>
      <c r="PYL11" s="111"/>
      <c r="PYM11" s="111"/>
      <c r="PYN11" s="111"/>
      <c r="PYO11" s="111"/>
      <c r="PYP11" s="111"/>
      <c r="PYQ11" s="111"/>
      <c r="PYR11" s="111"/>
      <c r="PYS11" s="111"/>
      <c r="PYT11" s="111"/>
      <c r="PYU11" s="111"/>
      <c r="PYV11" s="111"/>
      <c r="PYW11" s="111"/>
      <c r="PYX11" s="111"/>
      <c r="PYY11" s="111"/>
      <c r="PYZ11" s="111"/>
      <c r="PZA11" s="111"/>
      <c r="PZB11" s="111"/>
      <c r="PZC11" s="111"/>
      <c r="PZD11" s="111"/>
      <c r="PZE11" s="111"/>
      <c r="PZF11" s="111"/>
      <c r="PZG11" s="111"/>
      <c r="PZH11" s="111"/>
      <c r="PZI11" s="111"/>
      <c r="PZJ11" s="111"/>
      <c r="PZK11" s="111"/>
      <c r="PZL11" s="111"/>
      <c r="PZM11" s="111"/>
      <c r="PZN11" s="111"/>
      <c r="PZO11" s="111"/>
      <c r="PZP11" s="111"/>
      <c r="PZQ11" s="111"/>
      <c r="PZR11" s="111"/>
      <c r="PZS11" s="111"/>
      <c r="PZT11" s="111"/>
      <c r="PZU11" s="111"/>
      <c r="PZV11" s="111"/>
      <c r="PZW11" s="111"/>
      <c r="PZX11" s="111"/>
      <c r="PZY11" s="111"/>
      <c r="PZZ11" s="111"/>
      <c r="QAA11" s="111"/>
      <c r="QAB11" s="111"/>
      <c r="QAC11" s="111"/>
      <c r="QAD11" s="111"/>
      <c r="QAE11" s="111"/>
      <c r="QAF11" s="111"/>
      <c r="QAG11" s="111"/>
      <c r="QAH11" s="111"/>
      <c r="QAI11" s="111"/>
      <c r="QAJ11" s="111"/>
      <c r="QAK11" s="111"/>
      <c r="QAL11" s="111"/>
      <c r="QAM11" s="111"/>
      <c r="QAN11" s="111"/>
      <c r="QAO11" s="111"/>
      <c r="QAP11" s="111"/>
      <c r="QAQ11" s="111"/>
      <c r="QAR11" s="111"/>
      <c r="QAS11" s="111"/>
      <c r="QAT11" s="111"/>
      <c r="QAU11" s="111"/>
      <c r="QAV11" s="111"/>
      <c r="QAW11" s="111"/>
      <c r="QAX11" s="111"/>
      <c r="QAY11" s="111"/>
      <c r="QAZ11" s="111"/>
      <c r="QBA11" s="111"/>
      <c r="QBB11" s="111"/>
      <c r="QBC11" s="111"/>
      <c r="QBD11" s="111"/>
      <c r="QBE11" s="111"/>
      <c r="QBF11" s="111"/>
      <c r="QBG11" s="111"/>
      <c r="QBH11" s="111"/>
      <c r="QBI11" s="111"/>
      <c r="QBJ11" s="111"/>
      <c r="QBK11" s="111"/>
      <c r="QBL11" s="111"/>
      <c r="QBM11" s="111"/>
      <c r="QBN11" s="111"/>
      <c r="QBO11" s="111"/>
      <c r="QBP11" s="111"/>
      <c r="QBQ11" s="111"/>
      <c r="QBR11" s="111"/>
      <c r="QBS11" s="111"/>
      <c r="QBT11" s="111"/>
      <c r="QBU11" s="111"/>
      <c r="QBV11" s="111"/>
      <c r="QBW11" s="111"/>
      <c r="QBX11" s="111"/>
      <c r="QBY11" s="111"/>
      <c r="QBZ11" s="111"/>
      <c r="QCA11" s="111"/>
      <c r="QCB11" s="111"/>
      <c r="QCC11" s="111"/>
      <c r="QCD11" s="111"/>
      <c r="QCE11" s="111"/>
      <c r="QCF11" s="111"/>
      <c r="QCG11" s="111"/>
      <c r="QCH11" s="111"/>
      <c r="QCI11" s="111"/>
      <c r="QCJ11" s="111"/>
      <c r="QCK11" s="111"/>
      <c r="QCL11" s="111"/>
      <c r="QCM11" s="111"/>
      <c r="QCN11" s="111"/>
      <c r="QCO11" s="111"/>
      <c r="QCP11" s="111"/>
      <c r="QCQ11" s="111"/>
      <c r="QCR11" s="111"/>
      <c r="QCS11" s="111"/>
      <c r="QCT11" s="111"/>
      <c r="QCU11" s="111"/>
      <c r="QCV11" s="111"/>
      <c r="QCW11" s="111"/>
      <c r="QCX11" s="111"/>
      <c r="QCY11" s="111"/>
      <c r="QCZ11" s="111"/>
      <c r="QDA11" s="111"/>
      <c r="QDB11" s="111"/>
      <c r="QDC11" s="111"/>
      <c r="QDD11" s="111"/>
      <c r="QDE11" s="111"/>
      <c r="QDF11" s="111"/>
      <c r="QDG11" s="111"/>
      <c r="QDH11" s="111"/>
      <c r="QDI11" s="111"/>
      <c r="QDJ11" s="111"/>
      <c r="QDK11" s="111"/>
      <c r="QDL11" s="111"/>
      <c r="QDM11" s="111"/>
      <c r="QDN11" s="111"/>
      <c r="QDO11" s="111"/>
      <c r="QDP11" s="111"/>
      <c r="QDQ11" s="111"/>
      <c r="QDR11" s="111"/>
      <c r="QDS11" s="111"/>
      <c r="QDT11" s="111"/>
      <c r="QDU11" s="111"/>
      <c r="QDV11" s="111"/>
      <c r="QDW11" s="111"/>
      <c r="QDX11" s="111"/>
      <c r="QDY11" s="111"/>
      <c r="QDZ11" s="111"/>
      <c r="QEA11" s="111"/>
      <c r="QEB11" s="111"/>
      <c r="QEC11" s="111"/>
      <c r="QED11" s="111"/>
      <c r="QEE11" s="111"/>
      <c r="QEF11" s="111"/>
      <c r="QEG11" s="111"/>
      <c r="QEH11" s="111"/>
      <c r="QEI11" s="111"/>
      <c r="QEJ11" s="111"/>
      <c r="QEK11" s="111"/>
      <c r="QEL11" s="111"/>
      <c r="QEM11" s="111"/>
      <c r="QEN11" s="111"/>
      <c r="QEO11" s="111"/>
      <c r="QEP11" s="111"/>
      <c r="QEQ11" s="111"/>
      <c r="QER11" s="111"/>
      <c r="QES11" s="111"/>
      <c r="QET11" s="111"/>
      <c r="QEU11" s="111"/>
      <c r="QEV11" s="111"/>
      <c r="QEW11" s="111"/>
      <c r="QEX11" s="111"/>
      <c r="QEY11" s="111"/>
      <c r="QEZ11" s="111"/>
      <c r="QFA11" s="111"/>
      <c r="QFB11" s="111"/>
      <c r="QFC11" s="111"/>
      <c r="QFD11" s="111"/>
      <c r="QFE11" s="111"/>
      <c r="QFF11" s="111"/>
      <c r="QFG11" s="111"/>
      <c r="QFH11" s="111"/>
      <c r="QFI11" s="111"/>
      <c r="QFJ11" s="111"/>
      <c r="QFK11" s="111"/>
      <c r="QFL11" s="111"/>
      <c r="QFM11" s="111"/>
      <c r="QFN11" s="111"/>
      <c r="QFO11" s="111"/>
      <c r="QFP11" s="111"/>
      <c r="QFQ11" s="111"/>
      <c r="QFR11" s="111"/>
      <c r="QFS11" s="111"/>
      <c r="QFT11" s="111"/>
      <c r="QFU11" s="111"/>
      <c r="QFV11" s="111"/>
      <c r="QFW11" s="111"/>
      <c r="QFX11" s="111"/>
      <c r="QFY11" s="111"/>
      <c r="QFZ11" s="111"/>
      <c r="QGA11" s="111"/>
      <c r="QGB11" s="111"/>
      <c r="QGC11" s="111"/>
      <c r="QGD11" s="111"/>
      <c r="QGE11" s="111"/>
      <c r="QGF11" s="111"/>
      <c r="QGG11" s="111"/>
      <c r="QGH11" s="111"/>
      <c r="QGI11" s="111"/>
      <c r="QGJ11" s="111"/>
      <c r="QGK11" s="111"/>
      <c r="QGL11" s="111"/>
      <c r="QGM11" s="111"/>
      <c r="QGN11" s="111"/>
      <c r="QGO11" s="111"/>
      <c r="QGP11" s="111"/>
      <c r="QGQ11" s="111"/>
      <c r="QGR11" s="111"/>
      <c r="QGS11" s="111"/>
      <c r="QGT11" s="111"/>
      <c r="QGU11" s="111"/>
      <c r="QGV11" s="111"/>
      <c r="QGW11" s="111"/>
      <c r="QGX11" s="111"/>
      <c r="QGY11" s="111"/>
      <c r="QGZ11" s="111"/>
      <c r="QHA11" s="111"/>
      <c r="QHB11" s="111"/>
      <c r="QHC11" s="111"/>
      <c r="QHD11" s="111"/>
      <c r="QHE11" s="111"/>
      <c r="QHF11" s="111"/>
      <c r="QHG11" s="111"/>
      <c r="QHH11" s="111"/>
      <c r="QHI11" s="111"/>
      <c r="QHJ11" s="111"/>
      <c r="QHK11" s="111"/>
      <c r="QHL11" s="111"/>
      <c r="QHM11" s="111"/>
      <c r="QHN11" s="111"/>
      <c r="QHO11" s="111"/>
      <c r="QHP11" s="111"/>
      <c r="QHQ11" s="111"/>
      <c r="QHR11" s="111"/>
      <c r="QHS11" s="111"/>
      <c r="QHT11" s="111"/>
      <c r="QHU11" s="111"/>
      <c r="QHV11" s="111"/>
      <c r="QHW11" s="111"/>
      <c r="QHX11" s="111"/>
      <c r="QHY11" s="111"/>
      <c r="QHZ11" s="111"/>
      <c r="QIA11" s="111"/>
      <c r="QIB11" s="111"/>
      <c r="QIC11" s="111"/>
      <c r="QID11" s="111"/>
      <c r="QIE11" s="111"/>
      <c r="QIF11" s="111"/>
      <c r="QIG11" s="111"/>
      <c r="QIH11" s="111"/>
      <c r="QII11" s="111"/>
      <c r="QIJ11" s="111"/>
      <c r="QIK11" s="111"/>
      <c r="QIL11" s="111"/>
      <c r="QIM11" s="111"/>
      <c r="QIN11" s="111"/>
      <c r="QIO11" s="111"/>
      <c r="QIP11" s="111"/>
      <c r="QIQ11" s="111"/>
      <c r="QIR11" s="111"/>
      <c r="QIS11" s="111"/>
      <c r="QIT11" s="111"/>
      <c r="QIU11" s="111"/>
      <c r="QIV11" s="111"/>
      <c r="QIW11" s="111"/>
      <c r="QIX11" s="111"/>
      <c r="QIY11" s="111"/>
      <c r="QIZ11" s="111"/>
      <c r="QJA11" s="111"/>
      <c r="QJB11" s="111"/>
      <c r="QJC11" s="111"/>
      <c r="QJD11" s="111"/>
      <c r="QJE11" s="111"/>
      <c r="QJF11" s="111"/>
      <c r="QJG11" s="111"/>
      <c r="QJH11" s="111"/>
      <c r="QJI11" s="111"/>
      <c r="QJJ11" s="111"/>
      <c r="QJK11" s="111"/>
      <c r="QJL11" s="111"/>
      <c r="QJM11" s="111"/>
      <c r="QJN11" s="111"/>
      <c r="QJO11" s="111"/>
      <c r="QJP11" s="111"/>
      <c r="QJQ11" s="111"/>
      <c r="QJR11" s="111"/>
      <c r="QJS11" s="111"/>
      <c r="QJT11" s="111"/>
      <c r="QJU11" s="111"/>
      <c r="QJV11" s="111"/>
      <c r="QJW11" s="111"/>
      <c r="QJX11" s="111"/>
      <c r="QJY11" s="111"/>
      <c r="QJZ11" s="111"/>
      <c r="QKA11" s="111"/>
      <c r="QKB11" s="111"/>
      <c r="QKC11" s="111"/>
      <c r="QKD11" s="111"/>
      <c r="QKE11" s="111"/>
      <c r="QKF11" s="111"/>
      <c r="QKG11" s="111"/>
      <c r="QKH11" s="111"/>
      <c r="QKI11" s="111"/>
      <c r="QKJ11" s="111"/>
      <c r="QKK11" s="111"/>
      <c r="QKL11" s="111"/>
      <c r="QKM11" s="111"/>
      <c r="QKN11" s="111"/>
      <c r="QKO11" s="111"/>
      <c r="QKP11" s="111"/>
      <c r="QKQ11" s="111"/>
      <c r="QKR11" s="111"/>
      <c r="QKS11" s="111"/>
      <c r="QKT11" s="111"/>
      <c r="QKU11" s="111"/>
      <c r="QKV11" s="111"/>
      <c r="QKW11" s="111"/>
      <c r="QKX11" s="111"/>
      <c r="QKY11" s="111"/>
      <c r="QKZ11" s="111"/>
      <c r="QLA11" s="111"/>
      <c r="QLB11" s="111"/>
      <c r="QLC11" s="111"/>
      <c r="QLD11" s="111"/>
      <c r="QLE11" s="111"/>
      <c r="QLF11" s="111"/>
      <c r="QLG11" s="111"/>
      <c r="QLH11" s="111"/>
      <c r="QLI11" s="111"/>
      <c r="QLJ11" s="111"/>
      <c r="QLK11" s="111"/>
      <c r="QLL11" s="111"/>
      <c r="QLM11" s="111"/>
      <c r="QLN11" s="111"/>
      <c r="QLO11" s="111"/>
      <c r="QLP11" s="111"/>
      <c r="QLQ11" s="111"/>
      <c r="QLR11" s="111"/>
      <c r="QLS11" s="111"/>
      <c r="QLT11" s="111"/>
      <c r="QLU11" s="111"/>
      <c r="QLV11" s="111"/>
      <c r="QLW11" s="111"/>
      <c r="QLX11" s="111"/>
      <c r="QLY11" s="111"/>
      <c r="QLZ11" s="111"/>
      <c r="QMA11" s="111"/>
      <c r="QMB11" s="111"/>
      <c r="QMC11" s="111"/>
      <c r="QMD11" s="111"/>
      <c r="QME11" s="111"/>
      <c r="QMF11" s="111"/>
      <c r="QMG11" s="111"/>
      <c r="QMH11" s="111"/>
      <c r="QMI11" s="111"/>
      <c r="QMJ11" s="111"/>
      <c r="QMK11" s="111"/>
      <c r="QML11" s="111"/>
      <c r="QMM11" s="111"/>
      <c r="QMN11" s="111"/>
      <c r="QMO11" s="111"/>
      <c r="QMP11" s="111"/>
      <c r="QMQ11" s="111"/>
      <c r="QMR11" s="111"/>
      <c r="QMS11" s="111"/>
      <c r="QMT11" s="111"/>
      <c r="QMU11" s="111"/>
      <c r="QMV11" s="111"/>
      <c r="QMW11" s="111"/>
      <c r="QMX11" s="111"/>
      <c r="QMY11" s="111"/>
      <c r="QMZ11" s="111"/>
      <c r="QNA11" s="111"/>
      <c r="QNB11" s="111"/>
      <c r="QNC11" s="111"/>
      <c r="QND11" s="111"/>
      <c r="QNE11" s="111"/>
      <c r="QNF11" s="111"/>
      <c r="QNG11" s="111"/>
      <c r="QNH11" s="111"/>
      <c r="QNI11" s="111"/>
      <c r="QNJ11" s="111"/>
      <c r="QNK11" s="111"/>
      <c r="QNL11" s="111"/>
      <c r="QNM11" s="111"/>
      <c r="QNN11" s="111"/>
      <c r="QNO11" s="111"/>
      <c r="QNP11" s="111"/>
      <c r="QNQ11" s="111"/>
      <c r="QNR11" s="111"/>
      <c r="QNS11" s="111"/>
      <c r="QNT11" s="111"/>
      <c r="QNU11" s="111"/>
      <c r="QNV11" s="111"/>
      <c r="QNW11" s="111"/>
      <c r="QNX11" s="111"/>
      <c r="QNY11" s="111"/>
      <c r="QNZ11" s="111"/>
      <c r="QOA11" s="111"/>
      <c r="QOB11" s="111"/>
      <c r="QOC11" s="111"/>
      <c r="QOD11" s="111"/>
      <c r="QOE11" s="111"/>
      <c r="QOF11" s="111"/>
      <c r="QOG11" s="111"/>
      <c r="QOH11" s="111"/>
      <c r="QOI11" s="111"/>
      <c r="QOJ11" s="111"/>
      <c r="QOK11" s="111"/>
      <c r="QOL11" s="111"/>
      <c r="QOM11" s="111"/>
      <c r="QON11" s="111"/>
      <c r="QOO11" s="111"/>
      <c r="QOP11" s="111"/>
      <c r="QOQ11" s="111"/>
      <c r="QOR11" s="111"/>
      <c r="QOS11" s="111"/>
      <c r="QOT11" s="111"/>
      <c r="QOU11" s="111"/>
      <c r="QOV11" s="111"/>
      <c r="QOW11" s="111"/>
      <c r="QOX11" s="111"/>
      <c r="QOY11" s="111"/>
      <c r="QOZ11" s="111"/>
      <c r="QPA11" s="111"/>
      <c r="QPB11" s="111"/>
      <c r="QPC11" s="111"/>
      <c r="QPD11" s="111"/>
      <c r="QPE11" s="111"/>
      <c r="QPF11" s="111"/>
      <c r="QPG11" s="111"/>
      <c r="QPH11" s="111"/>
      <c r="QPI11" s="111"/>
      <c r="QPJ11" s="111"/>
      <c r="QPK11" s="111"/>
      <c r="QPL11" s="111"/>
      <c r="QPM11" s="111"/>
      <c r="QPN11" s="111"/>
      <c r="QPO11" s="111"/>
      <c r="QPP11" s="111"/>
      <c r="QPQ11" s="111"/>
      <c r="QPR11" s="111"/>
      <c r="QPS11" s="111"/>
      <c r="QPT11" s="111"/>
      <c r="QPU11" s="111"/>
      <c r="QPV11" s="111"/>
      <c r="QPW11" s="111"/>
      <c r="QPX11" s="111"/>
      <c r="QPY11" s="111"/>
      <c r="QPZ11" s="111"/>
      <c r="QQA11" s="111"/>
      <c r="QQB11" s="111"/>
      <c r="QQC11" s="111"/>
      <c r="QQD11" s="111"/>
      <c r="QQE11" s="111"/>
      <c r="QQF11" s="111"/>
      <c r="QQG11" s="111"/>
      <c r="QQH11" s="111"/>
      <c r="QQI11" s="111"/>
      <c r="QQJ11" s="111"/>
      <c r="QQK11" s="111"/>
      <c r="QQL11" s="111"/>
      <c r="QQM11" s="111"/>
      <c r="QQN11" s="111"/>
      <c r="QQO11" s="111"/>
      <c r="QQP11" s="111"/>
      <c r="QQQ11" s="111"/>
      <c r="QQR11" s="111"/>
      <c r="QQS11" s="111"/>
      <c r="QQT11" s="111"/>
      <c r="QQU11" s="111"/>
      <c r="QQV11" s="111"/>
      <c r="QQW11" s="111"/>
      <c r="QQX11" s="111"/>
      <c r="QQY11" s="111"/>
      <c r="QQZ11" s="111"/>
      <c r="QRA11" s="111"/>
      <c r="QRB11" s="111"/>
      <c r="QRC11" s="111"/>
      <c r="QRD11" s="111"/>
      <c r="QRE11" s="111"/>
      <c r="QRF11" s="111"/>
      <c r="QRG11" s="111"/>
      <c r="QRH11" s="111"/>
      <c r="QRI11" s="111"/>
      <c r="QRJ11" s="111"/>
      <c r="QRK11" s="111"/>
      <c r="QRL11" s="111"/>
      <c r="QRM11" s="111"/>
      <c r="QRN11" s="111"/>
      <c r="QRO11" s="111"/>
      <c r="QRP11" s="111"/>
      <c r="QRQ11" s="111"/>
      <c r="QRR11" s="111"/>
      <c r="QRS11" s="111"/>
      <c r="QRT11" s="111"/>
      <c r="QRU11" s="111"/>
      <c r="QRV11" s="111"/>
      <c r="QRW11" s="111"/>
      <c r="QRX11" s="111"/>
      <c r="QRY11" s="111"/>
      <c r="QRZ11" s="111"/>
      <c r="QSA11" s="111"/>
      <c r="QSB11" s="111"/>
      <c r="QSC11" s="111"/>
      <c r="QSD11" s="111"/>
      <c r="QSE11" s="111"/>
      <c r="QSF11" s="111"/>
      <c r="QSG11" s="111"/>
      <c r="QSH11" s="111"/>
      <c r="QSI11" s="111"/>
      <c r="QSJ11" s="111"/>
      <c r="QSK11" s="111"/>
      <c r="QSL11" s="111"/>
      <c r="QSM11" s="111"/>
      <c r="QSN11" s="111"/>
      <c r="QSO11" s="111"/>
      <c r="QSP11" s="111"/>
      <c r="QSQ11" s="111"/>
      <c r="QSR11" s="111"/>
      <c r="QSS11" s="111"/>
      <c r="QST11" s="111"/>
      <c r="QSU11" s="111"/>
      <c r="QSV11" s="111"/>
      <c r="QSW11" s="111"/>
      <c r="QSX11" s="111"/>
      <c r="QSY11" s="111"/>
      <c r="QSZ11" s="111"/>
      <c r="QTA11" s="111"/>
      <c r="QTB11" s="111"/>
      <c r="QTC11" s="111"/>
      <c r="QTD11" s="111"/>
      <c r="QTE11" s="111"/>
      <c r="QTF11" s="111"/>
      <c r="QTG11" s="111"/>
      <c r="QTH11" s="111"/>
      <c r="QTI11" s="111"/>
      <c r="QTJ11" s="111"/>
      <c r="QTK11" s="111"/>
      <c r="QTL11" s="111"/>
      <c r="QTM11" s="111"/>
      <c r="QTN11" s="111"/>
      <c r="QTO11" s="111"/>
      <c r="QTP11" s="111"/>
      <c r="QTQ11" s="111"/>
      <c r="QTR11" s="111"/>
      <c r="QTS11" s="111"/>
      <c r="QTT11" s="111"/>
      <c r="QTU11" s="111"/>
      <c r="QTV11" s="111"/>
      <c r="QTW11" s="111"/>
      <c r="QTX11" s="111"/>
      <c r="QTY11" s="111"/>
      <c r="QTZ11" s="111"/>
      <c r="QUA11" s="111"/>
      <c r="QUB11" s="111"/>
      <c r="QUC11" s="111"/>
      <c r="QUD11" s="111"/>
      <c r="QUE11" s="111"/>
      <c r="QUF11" s="111"/>
      <c r="QUG11" s="111"/>
      <c r="QUH11" s="111"/>
      <c r="QUI11" s="111"/>
      <c r="QUJ11" s="111"/>
      <c r="QUK11" s="111"/>
      <c r="QUL11" s="111"/>
      <c r="QUM11" s="111"/>
      <c r="QUN11" s="111"/>
      <c r="QUO11" s="111"/>
      <c r="QUP11" s="111"/>
      <c r="QUQ11" s="111"/>
      <c r="QUR11" s="111"/>
      <c r="QUS11" s="111"/>
      <c r="QUT11" s="111"/>
      <c r="QUU11" s="111"/>
      <c r="QUV11" s="111"/>
      <c r="QUW11" s="111"/>
      <c r="QUX11" s="111"/>
      <c r="QUY11" s="111"/>
      <c r="QUZ11" s="111"/>
      <c r="QVA11" s="111"/>
      <c r="QVB11" s="111"/>
      <c r="QVC11" s="111"/>
      <c r="QVD11" s="111"/>
      <c r="QVE11" s="111"/>
      <c r="QVF11" s="111"/>
      <c r="QVG11" s="111"/>
      <c r="QVH11" s="111"/>
      <c r="QVI11" s="111"/>
      <c r="QVJ11" s="111"/>
      <c r="QVK11" s="111"/>
      <c r="QVL11" s="111"/>
      <c r="QVM11" s="111"/>
      <c r="QVN11" s="111"/>
      <c r="QVO11" s="111"/>
      <c r="QVP11" s="111"/>
      <c r="QVQ11" s="111"/>
      <c r="QVR11" s="111"/>
      <c r="QVS11" s="111"/>
      <c r="QVT11" s="111"/>
      <c r="QVU11" s="111"/>
      <c r="QVV11" s="111"/>
      <c r="QVW11" s="111"/>
      <c r="QVX11" s="111"/>
      <c r="QVY11" s="111"/>
      <c r="QVZ11" s="111"/>
      <c r="QWA11" s="111"/>
      <c r="QWB11" s="111"/>
      <c r="QWC11" s="111"/>
      <c r="QWD11" s="111"/>
      <c r="QWE11" s="111"/>
      <c r="QWF11" s="111"/>
      <c r="QWG11" s="111"/>
      <c r="QWH11" s="111"/>
      <c r="QWI11" s="111"/>
      <c r="QWJ11" s="111"/>
      <c r="QWK11" s="111"/>
      <c r="QWL11" s="111"/>
      <c r="QWM11" s="111"/>
      <c r="QWN11" s="111"/>
      <c r="QWO11" s="111"/>
      <c r="QWP11" s="111"/>
      <c r="QWQ11" s="111"/>
      <c r="QWR11" s="111"/>
      <c r="QWS11" s="111"/>
      <c r="QWT11" s="111"/>
      <c r="QWU11" s="111"/>
      <c r="QWV11" s="111"/>
      <c r="QWW11" s="111"/>
      <c r="QWX11" s="111"/>
      <c r="QWY11" s="111"/>
      <c r="QWZ11" s="111"/>
      <c r="QXA11" s="111"/>
      <c r="QXB11" s="111"/>
      <c r="QXC11" s="111"/>
      <c r="QXD11" s="111"/>
      <c r="QXE11" s="111"/>
      <c r="QXF11" s="111"/>
      <c r="QXG11" s="111"/>
      <c r="QXH11" s="111"/>
      <c r="QXI11" s="111"/>
      <c r="QXJ11" s="111"/>
      <c r="QXK11" s="111"/>
      <c r="QXL11" s="111"/>
      <c r="QXM11" s="111"/>
      <c r="QXN11" s="111"/>
      <c r="QXO11" s="111"/>
      <c r="QXP11" s="111"/>
      <c r="QXQ11" s="111"/>
      <c r="QXR11" s="111"/>
      <c r="QXS11" s="111"/>
      <c r="QXT11" s="111"/>
      <c r="QXU11" s="111"/>
      <c r="QXV11" s="111"/>
      <c r="QXW11" s="111"/>
      <c r="QXX11" s="111"/>
      <c r="QXY11" s="111"/>
      <c r="QXZ11" s="111"/>
      <c r="QYA11" s="111"/>
      <c r="QYB11" s="111"/>
      <c r="QYC11" s="111"/>
      <c r="QYD11" s="111"/>
      <c r="QYE11" s="111"/>
      <c r="QYF11" s="111"/>
      <c r="QYG11" s="111"/>
      <c r="QYH11" s="111"/>
      <c r="QYI11" s="111"/>
      <c r="QYJ11" s="111"/>
      <c r="QYK11" s="111"/>
      <c r="QYL11" s="111"/>
      <c r="QYM11" s="111"/>
      <c r="QYN11" s="111"/>
      <c r="QYO11" s="111"/>
      <c r="QYP11" s="111"/>
      <c r="QYQ11" s="111"/>
      <c r="QYR11" s="111"/>
      <c r="QYS11" s="111"/>
      <c r="QYT11" s="111"/>
      <c r="QYU11" s="111"/>
      <c r="QYV11" s="111"/>
      <c r="QYW11" s="111"/>
      <c r="QYX11" s="111"/>
      <c r="QYY11" s="111"/>
      <c r="QYZ11" s="111"/>
      <c r="QZA11" s="111"/>
      <c r="QZB11" s="111"/>
      <c r="QZC11" s="111"/>
      <c r="QZD11" s="111"/>
      <c r="QZE11" s="111"/>
      <c r="QZF11" s="111"/>
      <c r="QZG11" s="111"/>
      <c r="QZH11" s="111"/>
      <c r="QZI11" s="111"/>
      <c r="QZJ11" s="111"/>
      <c r="QZK11" s="111"/>
      <c r="QZL11" s="111"/>
      <c r="QZM11" s="111"/>
      <c r="QZN11" s="111"/>
      <c r="QZO11" s="111"/>
      <c r="QZP11" s="111"/>
      <c r="QZQ11" s="111"/>
      <c r="QZR11" s="111"/>
      <c r="QZS11" s="111"/>
      <c r="QZT11" s="111"/>
      <c r="QZU11" s="111"/>
      <c r="QZV11" s="111"/>
      <c r="QZW11" s="111"/>
      <c r="QZX11" s="111"/>
      <c r="QZY11" s="111"/>
      <c r="QZZ11" s="111"/>
      <c r="RAA11" s="111"/>
      <c r="RAB11" s="111"/>
      <c r="RAC11" s="111"/>
      <c r="RAD11" s="111"/>
      <c r="RAE11" s="111"/>
      <c r="RAF11" s="111"/>
      <c r="RAG11" s="111"/>
      <c r="RAH11" s="111"/>
      <c r="RAI11" s="111"/>
      <c r="RAJ11" s="111"/>
      <c r="RAK11" s="111"/>
      <c r="RAL11" s="111"/>
      <c r="RAM11" s="111"/>
      <c r="RAN11" s="111"/>
      <c r="RAO11" s="111"/>
      <c r="RAP11" s="111"/>
      <c r="RAQ11" s="111"/>
      <c r="RAR11" s="111"/>
      <c r="RAS11" s="111"/>
      <c r="RAT11" s="111"/>
      <c r="RAU11" s="111"/>
      <c r="RAV11" s="111"/>
      <c r="RAW11" s="111"/>
      <c r="RAX11" s="111"/>
      <c r="RAY11" s="111"/>
      <c r="RAZ11" s="111"/>
      <c r="RBA11" s="111"/>
      <c r="RBB11" s="111"/>
      <c r="RBC11" s="111"/>
      <c r="RBD11" s="111"/>
      <c r="RBE11" s="111"/>
      <c r="RBF11" s="111"/>
      <c r="RBG11" s="111"/>
      <c r="RBH11" s="111"/>
      <c r="RBI11" s="111"/>
      <c r="RBJ11" s="111"/>
      <c r="RBK11" s="111"/>
      <c r="RBL11" s="111"/>
      <c r="RBM11" s="111"/>
      <c r="RBN11" s="111"/>
      <c r="RBO11" s="111"/>
      <c r="RBP11" s="111"/>
      <c r="RBQ11" s="111"/>
      <c r="RBR11" s="111"/>
      <c r="RBS11" s="111"/>
      <c r="RBT11" s="111"/>
      <c r="RBU11" s="111"/>
      <c r="RBV11" s="111"/>
      <c r="RBW11" s="111"/>
      <c r="RBX11" s="111"/>
      <c r="RBY11" s="111"/>
      <c r="RBZ11" s="111"/>
      <c r="RCA11" s="111"/>
      <c r="RCB11" s="111"/>
      <c r="RCC11" s="111"/>
      <c r="RCD11" s="111"/>
      <c r="RCE11" s="111"/>
      <c r="RCF11" s="111"/>
      <c r="RCG11" s="111"/>
      <c r="RCH11" s="111"/>
      <c r="RCI11" s="111"/>
      <c r="RCJ11" s="111"/>
      <c r="RCK11" s="111"/>
      <c r="RCL11" s="111"/>
      <c r="RCM11" s="111"/>
      <c r="RCN11" s="111"/>
      <c r="RCO11" s="111"/>
      <c r="RCP11" s="111"/>
      <c r="RCQ11" s="111"/>
      <c r="RCR11" s="111"/>
      <c r="RCS11" s="111"/>
      <c r="RCT11" s="111"/>
      <c r="RCU11" s="111"/>
      <c r="RCV11" s="111"/>
      <c r="RCW11" s="111"/>
      <c r="RCX11" s="111"/>
      <c r="RCY11" s="111"/>
      <c r="RCZ11" s="111"/>
      <c r="RDA11" s="111"/>
      <c r="RDB11" s="111"/>
      <c r="RDC11" s="111"/>
      <c r="RDD11" s="111"/>
      <c r="RDE11" s="111"/>
      <c r="RDF11" s="111"/>
      <c r="RDG11" s="111"/>
      <c r="RDH11" s="111"/>
      <c r="RDI11" s="111"/>
      <c r="RDJ11" s="111"/>
      <c r="RDK11" s="111"/>
      <c r="RDL11" s="111"/>
      <c r="RDM11" s="111"/>
      <c r="RDN11" s="111"/>
      <c r="RDO11" s="111"/>
      <c r="RDP11" s="111"/>
      <c r="RDQ11" s="111"/>
      <c r="RDR11" s="111"/>
      <c r="RDS11" s="111"/>
      <c r="RDT11" s="111"/>
      <c r="RDU11" s="111"/>
      <c r="RDV11" s="111"/>
      <c r="RDW11" s="111"/>
      <c r="RDX11" s="111"/>
      <c r="RDY11" s="111"/>
      <c r="RDZ11" s="111"/>
      <c r="REA11" s="111"/>
      <c r="REB11" s="111"/>
      <c r="REC11" s="111"/>
      <c r="RED11" s="111"/>
      <c r="REE11" s="111"/>
      <c r="REF11" s="111"/>
      <c r="REG11" s="111"/>
      <c r="REH11" s="111"/>
      <c r="REI11" s="111"/>
      <c r="REJ11" s="111"/>
      <c r="REK11" s="111"/>
      <c r="REL11" s="111"/>
      <c r="REM11" s="111"/>
      <c r="REN11" s="111"/>
      <c r="REO11" s="111"/>
      <c r="REP11" s="111"/>
      <c r="REQ11" s="111"/>
      <c r="RER11" s="111"/>
      <c r="RES11" s="111"/>
      <c r="RET11" s="111"/>
      <c r="REU11" s="111"/>
      <c r="REV11" s="111"/>
      <c r="REW11" s="111"/>
      <c r="REX11" s="111"/>
      <c r="REY11" s="111"/>
      <c r="REZ11" s="111"/>
      <c r="RFA11" s="111"/>
      <c r="RFB11" s="111"/>
      <c r="RFC11" s="111"/>
      <c r="RFD11" s="111"/>
      <c r="RFE11" s="111"/>
      <c r="RFF11" s="111"/>
      <c r="RFG11" s="111"/>
      <c r="RFH11" s="111"/>
      <c r="RFI11" s="111"/>
      <c r="RFJ11" s="111"/>
      <c r="RFK11" s="111"/>
      <c r="RFL11" s="111"/>
      <c r="RFM11" s="111"/>
      <c r="RFN11" s="111"/>
      <c r="RFO11" s="111"/>
      <c r="RFP11" s="111"/>
      <c r="RFQ11" s="111"/>
      <c r="RFR11" s="111"/>
      <c r="RFS11" s="111"/>
      <c r="RFT11" s="111"/>
      <c r="RFU11" s="111"/>
      <c r="RFV11" s="111"/>
      <c r="RFW11" s="111"/>
      <c r="RFX11" s="111"/>
      <c r="RFY11" s="111"/>
      <c r="RFZ11" s="111"/>
      <c r="RGA11" s="111"/>
      <c r="RGB11" s="111"/>
      <c r="RGC11" s="111"/>
      <c r="RGD11" s="111"/>
      <c r="RGE11" s="111"/>
      <c r="RGF11" s="111"/>
      <c r="RGG11" s="111"/>
      <c r="RGH11" s="111"/>
      <c r="RGI11" s="111"/>
      <c r="RGJ11" s="111"/>
      <c r="RGK11" s="111"/>
      <c r="RGL11" s="111"/>
      <c r="RGM11" s="111"/>
      <c r="RGN11" s="111"/>
      <c r="RGO11" s="111"/>
      <c r="RGP11" s="111"/>
      <c r="RGQ11" s="111"/>
      <c r="RGR11" s="111"/>
      <c r="RGS11" s="111"/>
      <c r="RGT11" s="111"/>
      <c r="RGU11" s="111"/>
      <c r="RGV11" s="111"/>
      <c r="RGW11" s="111"/>
      <c r="RGX11" s="111"/>
      <c r="RGY11" s="111"/>
      <c r="RGZ11" s="111"/>
      <c r="RHA11" s="111"/>
      <c r="RHB11" s="111"/>
      <c r="RHC11" s="111"/>
      <c r="RHD11" s="111"/>
      <c r="RHE11" s="111"/>
      <c r="RHF11" s="111"/>
      <c r="RHG11" s="111"/>
      <c r="RHH11" s="111"/>
      <c r="RHI11" s="111"/>
      <c r="RHJ11" s="111"/>
      <c r="RHK11" s="111"/>
      <c r="RHL11" s="111"/>
      <c r="RHM11" s="111"/>
      <c r="RHN11" s="111"/>
      <c r="RHO11" s="111"/>
      <c r="RHP11" s="111"/>
      <c r="RHQ11" s="111"/>
      <c r="RHR11" s="111"/>
      <c r="RHS11" s="111"/>
      <c r="RHT11" s="111"/>
      <c r="RHU11" s="111"/>
      <c r="RHV11" s="111"/>
      <c r="RHW11" s="111"/>
      <c r="RHX11" s="111"/>
      <c r="RHY11" s="111"/>
      <c r="RHZ11" s="111"/>
      <c r="RIA11" s="111"/>
      <c r="RIB11" s="111"/>
      <c r="RIC11" s="111"/>
      <c r="RID11" s="111"/>
      <c r="RIE11" s="111"/>
      <c r="RIF11" s="111"/>
      <c r="RIG11" s="111"/>
      <c r="RIH11" s="111"/>
      <c r="RII11" s="111"/>
      <c r="RIJ11" s="111"/>
      <c r="RIK11" s="111"/>
      <c r="RIL11" s="111"/>
      <c r="RIM11" s="111"/>
      <c r="RIN11" s="111"/>
      <c r="RIO11" s="111"/>
      <c r="RIP11" s="111"/>
      <c r="RIQ11" s="111"/>
      <c r="RIR11" s="111"/>
      <c r="RIS11" s="111"/>
      <c r="RIT11" s="111"/>
      <c r="RIU11" s="111"/>
      <c r="RIV11" s="111"/>
      <c r="RIW11" s="111"/>
      <c r="RIX11" s="111"/>
      <c r="RIY11" s="111"/>
      <c r="RIZ11" s="111"/>
      <c r="RJA11" s="111"/>
      <c r="RJB11" s="111"/>
      <c r="RJC11" s="111"/>
      <c r="RJD11" s="111"/>
      <c r="RJE11" s="111"/>
      <c r="RJF11" s="111"/>
      <c r="RJG11" s="111"/>
      <c r="RJH11" s="111"/>
      <c r="RJI11" s="111"/>
      <c r="RJJ11" s="111"/>
      <c r="RJK11" s="111"/>
      <c r="RJL11" s="111"/>
      <c r="RJM11" s="111"/>
      <c r="RJN11" s="111"/>
      <c r="RJO11" s="111"/>
      <c r="RJP11" s="111"/>
      <c r="RJQ11" s="111"/>
      <c r="RJR11" s="111"/>
      <c r="RJS11" s="111"/>
      <c r="RJT11" s="111"/>
      <c r="RJU11" s="111"/>
      <c r="RJV11" s="111"/>
      <c r="RJW11" s="111"/>
      <c r="RJX11" s="111"/>
      <c r="RJY11" s="111"/>
      <c r="RJZ11" s="111"/>
      <c r="RKA11" s="111"/>
      <c r="RKB11" s="111"/>
      <c r="RKC11" s="111"/>
      <c r="RKD11" s="111"/>
      <c r="RKE11" s="111"/>
      <c r="RKF11" s="111"/>
      <c r="RKG11" s="111"/>
      <c r="RKH11" s="111"/>
      <c r="RKI11" s="111"/>
      <c r="RKJ11" s="111"/>
      <c r="RKK11" s="111"/>
      <c r="RKL11" s="111"/>
      <c r="RKM11" s="111"/>
      <c r="RKN11" s="111"/>
      <c r="RKO11" s="111"/>
      <c r="RKP11" s="111"/>
      <c r="RKQ11" s="111"/>
      <c r="RKR11" s="111"/>
      <c r="RKS11" s="111"/>
      <c r="RKT11" s="111"/>
      <c r="RKU11" s="111"/>
      <c r="RKV11" s="111"/>
      <c r="RKW11" s="111"/>
      <c r="RKX11" s="111"/>
      <c r="RKY11" s="111"/>
      <c r="RKZ11" s="111"/>
      <c r="RLA11" s="111"/>
      <c r="RLB11" s="111"/>
      <c r="RLC11" s="111"/>
      <c r="RLD11" s="111"/>
      <c r="RLE11" s="111"/>
      <c r="RLF11" s="111"/>
      <c r="RLG11" s="111"/>
      <c r="RLH11" s="111"/>
      <c r="RLI11" s="111"/>
      <c r="RLJ11" s="111"/>
      <c r="RLK11" s="111"/>
      <c r="RLL11" s="111"/>
      <c r="RLM11" s="111"/>
      <c r="RLN11" s="111"/>
      <c r="RLO11" s="111"/>
      <c r="RLP11" s="111"/>
      <c r="RLQ11" s="111"/>
      <c r="RLR11" s="111"/>
      <c r="RLS11" s="111"/>
      <c r="RLT11" s="111"/>
      <c r="RLU11" s="111"/>
      <c r="RLV11" s="111"/>
      <c r="RLW11" s="111"/>
      <c r="RLX11" s="111"/>
      <c r="RLY11" s="111"/>
      <c r="RLZ11" s="111"/>
      <c r="RMA11" s="111"/>
      <c r="RMB11" s="111"/>
      <c r="RMC11" s="111"/>
      <c r="RMD11" s="111"/>
      <c r="RME11" s="111"/>
      <c r="RMF11" s="111"/>
      <c r="RMG11" s="111"/>
      <c r="RMH11" s="111"/>
      <c r="RMI11" s="111"/>
      <c r="RMJ11" s="111"/>
      <c r="RMK11" s="111"/>
      <c r="RML11" s="111"/>
      <c r="RMM11" s="111"/>
      <c r="RMN11" s="111"/>
      <c r="RMO11" s="111"/>
      <c r="RMP11" s="111"/>
      <c r="RMQ11" s="111"/>
      <c r="RMR11" s="111"/>
      <c r="RMS11" s="111"/>
      <c r="RMT11" s="111"/>
      <c r="RMU11" s="111"/>
      <c r="RMV11" s="111"/>
      <c r="RMW11" s="111"/>
      <c r="RMX11" s="111"/>
      <c r="RMY11" s="111"/>
      <c r="RMZ11" s="111"/>
      <c r="RNA11" s="111"/>
      <c r="RNB11" s="111"/>
      <c r="RNC11" s="111"/>
      <c r="RND11" s="111"/>
      <c r="RNE11" s="111"/>
      <c r="RNF11" s="111"/>
      <c r="RNG11" s="111"/>
      <c r="RNH11" s="111"/>
      <c r="RNI11" s="111"/>
      <c r="RNJ11" s="111"/>
      <c r="RNK11" s="111"/>
      <c r="RNL11" s="111"/>
      <c r="RNM11" s="111"/>
      <c r="RNN11" s="111"/>
      <c r="RNO11" s="111"/>
      <c r="RNP11" s="111"/>
      <c r="RNQ11" s="111"/>
      <c r="RNR11" s="111"/>
      <c r="RNS11" s="111"/>
      <c r="RNT11" s="111"/>
      <c r="RNU11" s="111"/>
      <c r="RNV11" s="111"/>
      <c r="RNW11" s="111"/>
      <c r="RNX11" s="111"/>
      <c r="RNY11" s="111"/>
      <c r="RNZ11" s="111"/>
      <c r="ROA11" s="111"/>
      <c r="ROB11" s="111"/>
      <c r="ROC11" s="111"/>
      <c r="ROD11" s="111"/>
      <c r="ROE11" s="111"/>
      <c r="ROF11" s="111"/>
      <c r="ROG11" s="111"/>
      <c r="ROH11" s="111"/>
      <c r="ROI11" s="111"/>
      <c r="ROJ11" s="111"/>
      <c r="ROK11" s="111"/>
      <c r="ROL11" s="111"/>
      <c r="ROM11" s="111"/>
      <c r="RON11" s="111"/>
      <c r="ROO11" s="111"/>
      <c r="ROP11" s="111"/>
      <c r="ROQ11" s="111"/>
      <c r="ROR11" s="111"/>
      <c r="ROS11" s="111"/>
      <c r="ROT11" s="111"/>
      <c r="ROU11" s="111"/>
      <c r="ROV11" s="111"/>
      <c r="ROW11" s="111"/>
      <c r="ROX11" s="111"/>
      <c r="ROY11" s="111"/>
      <c r="ROZ11" s="111"/>
      <c r="RPA11" s="111"/>
      <c r="RPB11" s="111"/>
      <c r="RPC11" s="111"/>
      <c r="RPD11" s="111"/>
      <c r="RPE11" s="111"/>
      <c r="RPF11" s="111"/>
      <c r="RPG11" s="111"/>
      <c r="RPH11" s="111"/>
      <c r="RPI11" s="111"/>
      <c r="RPJ11" s="111"/>
      <c r="RPK11" s="111"/>
      <c r="RPL11" s="111"/>
      <c r="RPM11" s="111"/>
      <c r="RPN11" s="111"/>
      <c r="RPO11" s="111"/>
      <c r="RPP11" s="111"/>
      <c r="RPQ11" s="111"/>
      <c r="RPR11" s="111"/>
      <c r="RPS11" s="111"/>
      <c r="RPT11" s="111"/>
      <c r="RPU11" s="111"/>
      <c r="RPV11" s="111"/>
      <c r="RPW11" s="111"/>
      <c r="RPX11" s="111"/>
      <c r="RPY11" s="111"/>
      <c r="RPZ11" s="111"/>
      <c r="RQA11" s="111"/>
      <c r="RQB11" s="111"/>
      <c r="RQC11" s="111"/>
      <c r="RQD11" s="111"/>
      <c r="RQE11" s="111"/>
      <c r="RQF11" s="111"/>
      <c r="RQG11" s="111"/>
      <c r="RQH11" s="111"/>
      <c r="RQI11" s="111"/>
      <c r="RQJ11" s="111"/>
      <c r="RQK11" s="111"/>
      <c r="RQL11" s="111"/>
      <c r="RQM11" s="111"/>
      <c r="RQN11" s="111"/>
      <c r="RQO11" s="111"/>
      <c r="RQP11" s="111"/>
      <c r="RQQ11" s="111"/>
      <c r="RQR11" s="111"/>
      <c r="RQS11" s="111"/>
      <c r="RQT11" s="111"/>
      <c r="RQU11" s="111"/>
      <c r="RQV11" s="111"/>
      <c r="RQW11" s="111"/>
      <c r="RQX11" s="111"/>
      <c r="RQY11" s="111"/>
      <c r="RQZ11" s="111"/>
      <c r="RRA11" s="111"/>
      <c r="RRB11" s="111"/>
      <c r="RRC11" s="111"/>
      <c r="RRD11" s="111"/>
      <c r="RRE11" s="111"/>
      <c r="RRF11" s="111"/>
      <c r="RRG11" s="111"/>
      <c r="RRH11" s="111"/>
      <c r="RRI11" s="111"/>
      <c r="RRJ11" s="111"/>
      <c r="RRK11" s="111"/>
      <c r="RRL11" s="111"/>
      <c r="RRM11" s="111"/>
      <c r="RRN11" s="111"/>
      <c r="RRO11" s="111"/>
      <c r="RRP11" s="111"/>
      <c r="RRQ11" s="111"/>
      <c r="RRR11" s="111"/>
      <c r="RRS11" s="111"/>
      <c r="RRT11" s="111"/>
      <c r="RRU11" s="111"/>
      <c r="RRV11" s="111"/>
      <c r="RRW11" s="111"/>
      <c r="RRX11" s="111"/>
      <c r="RRY11" s="111"/>
      <c r="RRZ11" s="111"/>
      <c r="RSA11" s="111"/>
      <c r="RSB11" s="111"/>
      <c r="RSC11" s="111"/>
      <c r="RSD11" s="111"/>
      <c r="RSE11" s="111"/>
      <c r="RSF11" s="111"/>
      <c r="RSG11" s="111"/>
      <c r="RSH11" s="111"/>
      <c r="RSI11" s="111"/>
      <c r="RSJ11" s="111"/>
      <c r="RSK11" s="111"/>
      <c r="RSL11" s="111"/>
      <c r="RSM11" s="111"/>
      <c r="RSN11" s="111"/>
      <c r="RSO11" s="111"/>
      <c r="RSP11" s="111"/>
      <c r="RSQ11" s="111"/>
      <c r="RSR11" s="111"/>
      <c r="RSS11" s="111"/>
      <c r="RST11" s="111"/>
      <c r="RSU11" s="111"/>
      <c r="RSV11" s="111"/>
      <c r="RSW11" s="111"/>
      <c r="RSX11" s="111"/>
      <c r="RSY11" s="111"/>
      <c r="RSZ11" s="111"/>
      <c r="RTA11" s="111"/>
      <c r="RTB11" s="111"/>
      <c r="RTC11" s="111"/>
      <c r="RTD11" s="111"/>
      <c r="RTE11" s="111"/>
      <c r="RTF11" s="111"/>
      <c r="RTG11" s="111"/>
      <c r="RTH11" s="111"/>
      <c r="RTI11" s="111"/>
      <c r="RTJ11" s="111"/>
      <c r="RTK11" s="111"/>
      <c r="RTL11" s="111"/>
      <c r="RTM11" s="111"/>
      <c r="RTN11" s="111"/>
      <c r="RTO11" s="111"/>
      <c r="RTP11" s="111"/>
      <c r="RTQ11" s="111"/>
      <c r="RTR11" s="111"/>
      <c r="RTS11" s="111"/>
      <c r="RTT11" s="111"/>
      <c r="RTU11" s="111"/>
      <c r="RTV11" s="111"/>
      <c r="RTW11" s="111"/>
      <c r="RTX11" s="111"/>
      <c r="RTY11" s="111"/>
      <c r="RTZ11" s="111"/>
      <c r="RUA11" s="111"/>
      <c r="RUB11" s="111"/>
      <c r="RUC11" s="111"/>
      <c r="RUD11" s="111"/>
      <c r="RUE11" s="111"/>
      <c r="RUF11" s="111"/>
      <c r="RUG11" s="111"/>
      <c r="RUH11" s="111"/>
      <c r="RUI11" s="111"/>
      <c r="RUJ11" s="111"/>
      <c r="RUK11" s="111"/>
      <c r="RUL11" s="111"/>
      <c r="RUM11" s="111"/>
      <c r="RUN11" s="111"/>
      <c r="RUO11" s="111"/>
      <c r="RUP11" s="111"/>
      <c r="RUQ11" s="111"/>
      <c r="RUR11" s="111"/>
      <c r="RUS11" s="111"/>
      <c r="RUT11" s="111"/>
      <c r="RUU11" s="111"/>
      <c r="RUV11" s="111"/>
      <c r="RUW11" s="111"/>
      <c r="RUX11" s="111"/>
      <c r="RUY11" s="111"/>
      <c r="RUZ11" s="111"/>
      <c r="RVA11" s="111"/>
      <c r="RVB11" s="111"/>
      <c r="RVC11" s="111"/>
      <c r="RVD11" s="111"/>
      <c r="RVE11" s="111"/>
      <c r="RVF11" s="111"/>
      <c r="RVG11" s="111"/>
      <c r="RVH11" s="111"/>
      <c r="RVI11" s="111"/>
      <c r="RVJ11" s="111"/>
      <c r="RVK11" s="111"/>
      <c r="RVL11" s="111"/>
      <c r="RVM11" s="111"/>
      <c r="RVN11" s="111"/>
      <c r="RVO11" s="111"/>
      <c r="RVP11" s="111"/>
      <c r="RVQ11" s="111"/>
      <c r="RVR11" s="111"/>
      <c r="RVS11" s="111"/>
      <c r="RVT11" s="111"/>
      <c r="RVU11" s="111"/>
      <c r="RVV11" s="111"/>
      <c r="RVW11" s="111"/>
      <c r="RVX11" s="111"/>
      <c r="RVY11" s="111"/>
      <c r="RVZ11" s="111"/>
      <c r="RWA11" s="111"/>
      <c r="RWB11" s="111"/>
      <c r="RWC11" s="111"/>
      <c r="RWD11" s="111"/>
      <c r="RWE11" s="111"/>
      <c r="RWF11" s="111"/>
      <c r="RWG11" s="111"/>
      <c r="RWH11" s="111"/>
      <c r="RWI11" s="111"/>
      <c r="RWJ11" s="111"/>
      <c r="RWK11" s="111"/>
      <c r="RWL11" s="111"/>
      <c r="RWM11" s="111"/>
      <c r="RWN11" s="111"/>
      <c r="RWO11" s="111"/>
      <c r="RWP11" s="111"/>
      <c r="RWQ11" s="111"/>
      <c r="RWR11" s="111"/>
      <c r="RWS11" s="111"/>
      <c r="RWT11" s="111"/>
      <c r="RWU11" s="111"/>
      <c r="RWV11" s="111"/>
      <c r="RWW11" s="111"/>
      <c r="RWX11" s="111"/>
      <c r="RWY11" s="111"/>
      <c r="RWZ11" s="111"/>
      <c r="RXA11" s="111"/>
      <c r="RXB11" s="111"/>
      <c r="RXC11" s="111"/>
      <c r="RXD11" s="111"/>
      <c r="RXE11" s="111"/>
      <c r="RXF11" s="111"/>
      <c r="RXG11" s="111"/>
      <c r="RXH11" s="111"/>
      <c r="RXI11" s="111"/>
      <c r="RXJ11" s="111"/>
      <c r="RXK11" s="111"/>
      <c r="RXL11" s="111"/>
      <c r="RXM11" s="111"/>
      <c r="RXN11" s="111"/>
      <c r="RXO11" s="111"/>
      <c r="RXP11" s="111"/>
      <c r="RXQ11" s="111"/>
      <c r="RXR11" s="111"/>
      <c r="RXS11" s="111"/>
      <c r="RXT11" s="111"/>
      <c r="RXU11" s="111"/>
      <c r="RXV11" s="111"/>
      <c r="RXW11" s="111"/>
      <c r="RXX11" s="111"/>
      <c r="RXY11" s="111"/>
      <c r="RXZ11" s="111"/>
      <c r="RYA11" s="111"/>
      <c r="RYB11" s="111"/>
      <c r="RYC11" s="111"/>
      <c r="RYD11" s="111"/>
      <c r="RYE11" s="111"/>
      <c r="RYF11" s="111"/>
      <c r="RYG11" s="111"/>
      <c r="RYH11" s="111"/>
      <c r="RYI11" s="111"/>
      <c r="RYJ11" s="111"/>
      <c r="RYK11" s="111"/>
      <c r="RYL11" s="111"/>
      <c r="RYM11" s="111"/>
      <c r="RYN11" s="111"/>
      <c r="RYO11" s="111"/>
      <c r="RYP11" s="111"/>
      <c r="RYQ11" s="111"/>
      <c r="RYR11" s="111"/>
      <c r="RYS11" s="111"/>
      <c r="RYT11" s="111"/>
      <c r="RYU11" s="111"/>
      <c r="RYV11" s="111"/>
      <c r="RYW11" s="111"/>
      <c r="RYX11" s="111"/>
      <c r="RYY11" s="111"/>
      <c r="RYZ11" s="111"/>
      <c r="RZA11" s="111"/>
      <c r="RZB11" s="111"/>
      <c r="RZC11" s="111"/>
      <c r="RZD11" s="111"/>
      <c r="RZE11" s="111"/>
      <c r="RZF11" s="111"/>
      <c r="RZG11" s="111"/>
      <c r="RZH11" s="111"/>
      <c r="RZI11" s="111"/>
      <c r="RZJ11" s="111"/>
      <c r="RZK11" s="111"/>
      <c r="RZL11" s="111"/>
      <c r="RZM11" s="111"/>
      <c r="RZN11" s="111"/>
      <c r="RZO11" s="111"/>
      <c r="RZP11" s="111"/>
      <c r="RZQ11" s="111"/>
      <c r="RZR11" s="111"/>
      <c r="RZS11" s="111"/>
      <c r="RZT11" s="111"/>
      <c r="RZU11" s="111"/>
      <c r="RZV11" s="111"/>
      <c r="RZW11" s="111"/>
      <c r="RZX11" s="111"/>
      <c r="RZY11" s="111"/>
      <c r="RZZ11" s="111"/>
      <c r="SAA11" s="111"/>
      <c r="SAB11" s="111"/>
      <c r="SAC11" s="111"/>
      <c r="SAD11" s="111"/>
      <c r="SAE11" s="111"/>
      <c r="SAF11" s="111"/>
      <c r="SAG11" s="111"/>
      <c r="SAH11" s="111"/>
      <c r="SAI11" s="111"/>
      <c r="SAJ11" s="111"/>
      <c r="SAK11" s="111"/>
      <c r="SAL11" s="111"/>
      <c r="SAM11" s="111"/>
      <c r="SAN11" s="111"/>
      <c r="SAO11" s="111"/>
      <c r="SAP11" s="111"/>
      <c r="SAQ11" s="111"/>
      <c r="SAR11" s="111"/>
      <c r="SAS11" s="111"/>
      <c r="SAT11" s="111"/>
      <c r="SAU11" s="111"/>
      <c r="SAV11" s="111"/>
      <c r="SAW11" s="111"/>
      <c r="SAX11" s="111"/>
      <c r="SAY11" s="111"/>
      <c r="SAZ11" s="111"/>
      <c r="SBA11" s="111"/>
      <c r="SBB11" s="111"/>
      <c r="SBC11" s="111"/>
      <c r="SBD11" s="111"/>
      <c r="SBE11" s="111"/>
      <c r="SBF11" s="111"/>
      <c r="SBG11" s="111"/>
      <c r="SBH11" s="111"/>
      <c r="SBI11" s="111"/>
      <c r="SBJ11" s="111"/>
      <c r="SBK11" s="111"/>
      <c r="SBL11" s="111"/>
      <c r="SBM11" s="111"/>
      <c r="SBN11" s="111"/>
      <c r="SBO11" s="111"/>
      <c r="SBP11" s="111"/>
      <c r="SBQ11" s="111"/>
      <c r="SBR11" s="111"/>
      <c r="SBS11" s="111"/>
      <c r="SBT11" s="111"/>
      <c r="SBU11" s="111"/>
      <c r="SBV11" s="111"/>
      <c r="SBW11" s="111"/>
      <c r="SBX11" s="111"/>
      <c r="SBY11" s="111"/>
      <c r="SBZ11" s="111"/>
      <c r="SCA11" s="111"/>
      <c r="SCB11" s="111"/>
      <c r="SCC11" s="111"/>
      <c r="SCD11" s="111"/>
      <c r="SCE11" s="111"/>
      <c r="SCF11" s="111"/>
      <c r="SCG11" s="111"/>
      <c r="SCH11" s="111"/>
      <c r="SCI11" s="111"/>
      <c r="SCJ11" s="111"/>
      <c r="SCK11" s="111"/>
      <c r="SCL11" s="111"/>
      <c r="SCM11" s="111"/>
      <c r="SCN11" s="111"/>
      <c r="SCO11" s="111"/>
      <c r="SCP11" s="111"/>
      <c r="SCQ11" s="111"/>
      <c r="SCR11" s="111"/>
      <c r="SCS11" s="111"/>
      <c r="SCT11" s="111"/>
      <c r="SCU11" s="111"/>
      <c r="SCV11" s="111"/>
      <c r="SCW11" s="111"/>
      <c r="SCX11" s="111"/>
      <c r="SCY11" s="111"/>
      <c r="SCZ11" s="111"/>
      <c r="SDA11" s="111"/>
      <c r="SDB11" s="111"/>
      <c r="SDC11" s="111"/>
      <c r="SDD11" s="111"/>
      <c r="SDE11" s="111"/>
      <c r="SDF11" s="111"/>
      <c r="SDG11" s="111"/>
      <c r="SDH11" s="111"/>
      <c r="SDI11" s="111"/>
      <c r="SDJ11" s="111"/>
      <c r="SDK11" s="111"/>
      <c r="SDL11" s="111"/>
      <c r="SDM11" s="111"/>
      <c r="SDN11" s="111"/>
      <c r="SDO11" s="111"/>
      <c r="SDP11" s="111"/>
      <c r="SDQ11" s="111"/>
      <c r="SDR11" s="111"/>
      <c r="SDS11" s="111"/>
      <c r="SDT11" s="111"/>
      <c r="SDU11" s="111"/>
      <c r="SDV11" s="111"/>
      <c r="SDW11" s="111"/>
      <c r="SDX11" s="111"/>
      <c r="SDY11" s="111"/>
      <c r="SDZ11" s="111"/>
      <c r="SEA11" s="111"/>
      <c r="SEB11" s="111"/>
      <c r="SEC11" s="111"/>
      <c r="SED11" s="111"/>
      <c r="SEE11" s="111"/>
      <c r="SEF11" s="111"/>
      <c r="SEG11" s="111"/>
      <c r="SEH11" s="111"/>
      <c r="SEI11" s="111"/>
      <c r="SEJ11" s="111"/>
      <c r="SEK11" s="111"/>
      <c r="SEL11" s="111"/>
      <c r="SEM11" s="111"/>
      <c r="SEN11" s="111"/>
      <c r="SEO11" s="111"/>
      <c r="SEP11" s="111"/>
      <c r="SEQ11" s="111"/>
      <c r="SER11" s="111"/>
      <c r="SES11" s="111"/>
      <c r="SET11" s="111"/>
      <c r="SEU11" s="111"/>
      <c r="SEV11" s="111"/>
      <c r="SEW11" s="111"/>
      <c r="SEX11" s="111"/>
      <c r="SEY11" s="111"/>
      <c r="SEZ11" s="111"/>
      <c r="SFA11" s="111"/>
      <c r="SFB11" s="111"/>
      <c r="SFC11" s="111"/>
      <c r="SFD11" s="111"/>
      <c r="SFE11" s="111"/>
      <c r="SFF11" s="111"/>
      <c r="SFG11" s="111"/>
      <c r="SFH11" s="111"/>
      <c r="SFI11" s="111"/>
      <c r="SFJ11" s="111"/>
      <c r="SFK11" s="111"/>
      <c r="SFL11" s="111"/>
      <c r="SFM11" s="111"/>
      <c r="SFN11" s="111"/>
      <c r="SFO11" s="111"/>
      <c r="SFP11" s="111"/>
      <c r="SFQ11" s="111"/>
      <c r="SFR11" s="111"/>
      <c r="SFS11" s="111"/>
      <c r="SFT11" s="111"/>
      <c r="SFU11" s="111"/>
      <c r="SFV11" s="111"/>
      <c r="SFW11" s="111"/>
      <c r="SFX11" s="111"/>
      <c r="SFY11" s="111"/>
      <c r="SFZ11" s="111"/>
      <c r="SGA11" s="111"/>
      <c r="SGB11" s="111"/>
      <c r="SGC11" s="111"/>
      <c r="SGD11" s="111"/>
      <c r="SGE11" s="111"/>
      <c r="SGF11" s="111"/>
      <c r="SGG11" s="111"/>
      <c r="SGH11" s="111"/>
      <c r="SGI11" s="111"/>
      <c r="SGJ11" s="111"/>
      <c r="SGK11" s="111"/>
      <c r="SGL11" s="111"/>
      <c r="SGM11" s="111"/>
      <c r="SGN11" s="111"/>
      <c r="SGO11" s="111"/>
      <c r="SGP11" s="111"/>
      <c r="SGQ11" s="111"/>
      <c r="SGR11" s="111"/>
      <c r="SGS11" s="111"/>
      <c r="SGT11" s="111"/>
      <c r="SGU11" s="111"/>
      <c r="SGV11" s="111"/>
      <c r="SGW11" s="111"/>
      <c r="SGX11" s="111"/>
      <c r="SGY11" s="111"/>
      <c r="SGZ11" s="111"/>
      <c r="SHA11" s="111"/>
      <c r="SHB11" s="111"/>
      <c r="SHC11" s="111"/>
      <c r="SHD11" s="111"/>
      <c r="SHE11" s="111"/>
      <c r="SHF11" s="111"/>
      <c r="SHG11" s="111"/>
      <c r="SHH11" s="111"/>
      <c r="SHI11" s="111"/>
      <c r="SHJ11" s="111"/>
      <c r="SHK11" s="111"/>
      <c r="SHL11" s="111"/>
      <c r="SHM11" s="111"/>
      <c r="SHN11" s="111"/>
      <c r="SHO11" s="111"/>
      <c r="SHP11" s="111"/>
      <c r="SHQ11" s="111"/>
      <c r="SHR11" s="111"/>
      <c r="SHS11" s="111"/>
      <c r="SHT11" s="111"/>
      <c r="SHU11" s="111"/>
      <c r="SHV11" s="111"/>
      <c r="SHW11" s="111"/>
      <c r="SHX11" s="111"/>
      <c r="SHY11" s="111"/>
      <c r="SHZ11" s="111"/>
      <c r="SIA11" s="111"/>
      <c r="SIB11" s="111"/>
      <c r="SIC11" s="111"/>
      <c r="SID11" s="111"/>
      <c r="SIE11" s="111"/>
      <c r="SIF11" s="111"/>
      <c r="SIG11" s="111"/>
      <c r="SIH11" s="111"/>
      <c r="SII11" s="111"/>
      <c r="SIJ11" s="111"/>
      <c r="SIK11" s="111"/>
      <c r="SIL11" s="111"/>
      <c r="SIM11" s="111"/>
      <c r="SIN11" s="111"/>
      <c r="SIO11" s="111"/>
      <c r="SIP11" s="111"/>
      <c r="SIQ11" s="111"/>
      <c r="SIR11" s="111"/>
      <c r="SIS11" s="111"/>
      <c r="SIT11" s="111"/>
      <c r="SIU11" s="111"/>
      <c r="SIV11" s="111"/>
      <c r="SIW11" s="111"/>
      <c r="SIX11" s="111"/>
      <c r="SIY11" s="111"/>
      <c r="SIZ11" s="111"/>
      <c r="SJA11" s="111"/>
      <c r="SJB11" s="111"/>
      <c r="SJC11" s="111"/>
      <c r="SJD11" s="111"/>
      <c r="SJE11" s="111"/>
      <c r="SJF11" s="111"/>
      <c r="SJG11" s="111"/>
      <c r="SJH11" s="111"/>
      <c r="SJI11" s="111"/>
      <c r="SJJ11" s="111"/>
      <c r="SJK11" s="111"/>
      <c r="SJL11" s="111"/>
      <c r="SJM11" s="111"/>
      <c r="SJN11" s="111"/>
      <c r="SJO11" s="111"/>
      <c r="SJP11" s="111"/>
      <c r="SJQ11" s="111"/>
      <c r="SJR11" s="111"/>
      <c r="SJS11" s="111"/>
      <c r="SJT11" s="111"/>
      <c r="SJU11" s="111"/>
      <c r="SJV11" s="111"/>
      <c r="SJW11" s="111"/>
      <c r="SJX11" s="111"/>
      <c r="SJY11" s="111"/>
      <c r="SJZ11" s="111"/>
      <c r="SKA11" s="111"/>
      <c r="SKB11" s="111"/>
      <c r="SKC11" s="111"/>
      <c r="SKD11" s="111"/>
      <c r="SKE11" s="111"/>
      <c r="SKF11" s="111"/>
      <c r="SKG11" s="111"/>
      <c r="SKH11" s="111"/>
      <c r="SKI11" s="111"/>
      <c r="SKJ11" s="111"/>
      <c r="SKK11" s="111"/>
      <c r="SKL11" s="111"/>
      <c r="SKM11" s="111"/>
      <c r="SKN11" s="111"/>
      <c r="SKO11" s="111"/>
      <c r="SKP11" s="111"/>
      <c r="SKQ11" s="111"/>
      <c r="SKR11" s="111"/>
      <c r="SKS11" s="111"/>
      <c r="SKT11" s="111"/>
      <c r="SKU11" s="111"/>
      <c r="SKV11" s="111"/>
      <c r="SKW11" s="111"/>
      <c r="SKX11" s="111"/>
      <c r="SKY11" s="111"/>
      <c r="SKZ11" s="111"/>
      <c r="SLA11" s="111"/>
      <c r="SLB11" s="111"/>
      <c r="SLC11" s="111"/>
      <c r="SLD11" s="111"/>
      <c r="SLE11" s="111"/>
      <c r="SLF11" s="111"/>
      <c r="SLG11" s="111"/>
      <c r="SLH11" s="111"/>
      <c r="SLI11" s="111"/>
      <c r="SLJ11" s="111"/>
      <c r="SLK11" s="111"/>
      <c r="SLL11" s="111"/>
      <c r="SLM11" s="111"/>
      <c r="SLN11" s="111"/>
      <c r="SLO11" s="111"/>
      <c r="SLP11" s="111"/>
      <c r="SLQ11" s="111"/>
      <c r="SLR11" s="111"/>
      <c r="SLS11" s="111"/>
      <c r="SLT11" s="111"/>
      <c r="SLU11" s="111"/>
      <c r="SLV11" s="111"/>
      <c r="SLW11" s="111"/>
      <c r="SLX11" s="111"/>
      <c r="SLY11" s="111"/>
      <c r="SLZ11" s="111"/>
      <c r="SMA11" s="111"/>
      <c r="SMB11" s="111"/>
      <c r="SMC11" s="111"/>
      <c r="SMD11" s="111"/>
      <c r="SME11" s="111"/>
      <c r="SMF11" s="111"/>
      <c r="SMG11" s="111"/>
      <c r="SMH11" s="111"/>
      <c r="SMI11" s="111"/>
      <c r="SMJ11" s="111"/>
      <c r="SMK11" s="111"/>
      <c r="SML11" s="111"/>
      <c r="SMM11" s="111"/>
      <c r="SMN11" s="111"/>
      <c r="SMO11" s="111"/>
      <c r="SMP11" s="111"/>
      <c r="SMQ11" s="111"/>
      <c r="SMR11" s="111"/>
      <c r="SMS11" s="111"/>
      <c r="SMT11" s="111"/>
      <c r="SMU11" s="111"/>
      <c r="SMV11" s="111"/>
      <c r="SMW11" s="111"/>
      <c r="SMX11" s="111"/>
      <c r="SMY11" s="111"/>
      <c r="SMZ11" s="111"/>
      <c r="SNA11" s="111"/>
      <c r="SNB11" s="111"/>
      <c r="SNC11" s="111"/>
      <c r="SND11" s="111"/>
      <c r="SNE11" s="111"/>
      <c r="SNF11" s="111"/>
      <c r="SNG11" s="111"/>
      <c r="SNH11" s="111"/>
      <c r="SNI11" s="111"/>
      <c r="SNJ11" s="111"/>
      <c r="SNK11" s="111"/>
      <c r="SNL11" s="111"/>
      <c r="SNM11" s="111"/>
      <c r="SNN11" s="111"/>
      <c r="SNO11" s="111"/>
      <c r="SNP11" s="111"/>
      <c r="SNQ11" s="111"/>
      <c r="SNR11" s="111"/>
      <c r="SNS11" s="111"/>
      <c r="SNT11" s="111"/>
      <c r="SNU11" s="111"/>
      <c r="SNV11" s="111"/>
      <c r="SNW11" s="111"/>
      <c r="SNX11" s="111"/>
      <c r="SNY11" s="111"/>
      <c r="SNZ11" s="111"/>
      <c r="SOA11" s="111"/>
      <c r="SOB11" s="111"/>
      <c r="SOC11" s="111"/>
      <c r="SOD11" s="111"/>
      <c r="SOE11" s="111"/>
      <c r="SOF11" s="111"/>
      <c r="SOG11" s="111"/>
      <c r="SOH11" s="111"/>
      <c r="SOI11" s="111"/>
      <c r="SOJ11" s="111"/>
      <c r="SOK11" s="111"/>
      <c r="SOL11" s="111"/>
      <c r="SOM11" s="111"/>
      <c r="SON11" s="111"/>
      <c r="SOO11" s="111"/>
      <c r="SOP11" s="111"/>
      <c r="SOQ11" s="111"/>
      <c r="SOR11" s="111"/>
      <c r="SOS11" s="111"/>
      <c r="SOT11" s="111"/>
      <c r="SOU11" s="111"/>
      <c r="SOV11" s="111"/>
      <c r="SOW11" s="111"/>
      <c r="SOX11" s="111"/>
      <c r="SOY11" s="111"/>
      <c r="SOZ11" s="111"/>
      <c r="SPA11" s="111"/>
      <c r="SPB11" s="111"/>
      <c r="SPC11" s="111"/>
      <c r="SPD11" s="111"/>
      <c r="SPE11" s="111"/>
      <c r="SPF11" s="111"/>
      <c r="SPG11" s="111"/>
      <c r="SPH11" s="111"/>
      <c r="SPI11" s="111"/>
      <c r="SPJ11" s="111"/>
      <c r="SPK11" s="111"/>
      <c r="SPL11" s="111"/>
      <c r="SPM11" s="111"/>
      <c r="SPN11" s="111"/>
      <c r="SPO11" s="111"/>
      <c r="SPP11" s="111"/>
      <c r="SPQ11" s="111"/>
      <c r="SPR11" s="111"/>
      <c r="SPS11" s="111"/>
      <c r="SPT11" s="111"/>
      <c r="SPU11" s="111"/>
      <c r="SPV11" s="111"/>
      <c r="SPW11" s="111"/>
      <c r="SPX11" s="111"/>
      <c r="SPY11" s="111"/>
      <c r="SPZ11" s="111"/>
      <c r="SQA11" s="111"/>
      <c r="SQB11" s="111"/>
      <c r="SQC11" s="111"/>
      <c r="SQD11" s="111"/>
      <c r="SQE11" s="111"/>
      <c r="SQF11" s="111"/>
      <c r="SQG11" s="111"/>
      <c r="SQH11" s="111"/>
      <c r="SQI11" s="111"/>
      <c r="SQJ11" s="111"/>
      <c r="SQK11" s="111"/>
      <c r="SQL11" s="111"/>
      <c r="SQM11" s="111"/>
      <c r="SQN11" s="111"/>
      <c r="SQO11" s="111"/>
      <c r="SQP11" s="111"/>
      <c r="SQQ11" s="111"/>
      <c r="SQR11" s="111"/>
      <c r="SQS11" s="111"/>
      <c r="SQT11" s="111"/>
      <c r="SQU11" s="111"/>
      <c r="SQV11" s="111"/>
      <c r="SQW11" s="111"/>
      <c r="SQX11" s="111"/>
      <c r="SQY11" s="111"/>
      <c r="SQZ11" s="111"/>
      <c r="SRA11" s="111"/>
      <c r="SRB11" s="111"/>
      <c r="SRC11" s="111"/>
      <c r="SRD11" s="111"/>
      <c r="SRE11" s="111"/>
      <c r="SRF11" s="111"/>
      <c r="SRG11" s="111"/>
      <c r="SRH11" s="111"/>
      <c r="SRI11" s="111"/>
      <c r="SRJ11" s="111"/>
      <c r="SRK11" s="111"/>
      <c r="SRL11" s="111"/>
      <c r="SRM11" s="111"/>
      <c r="SRN11" s="111"/>
      <c r="SRO11" s="111"/>
      <c r="SRP11" s="111"/>
      <c r="SRQ11" s="111"/>
      <c r="SRR11" s="111"/>
      <c r="SRS11" s="111"/>
      <c r="SRT11" s="111"/>
      <c r="SRU11" s="111"/>
      <c r="SRV11" s="111"/>
      <c r="SRW11" s="111"/>
      <c r="SRX11" s="111"/>
      <c r="SRY11" s="111"/>
      <c r="SRZ11" s="111"/>
      <c r="SSA11" s="111"/>
      <c r="SSB11" s="111"/>
      <c r="SSC11" s="111"/>
      <c r="SSD11" s="111"/>
      <c r="SSE11" s="111"/>
      <c r="SSF11" s="111"/>
      <c r="SSG11" s="111"/>
      <c r="SSH11" s="111"/>
      <c r="SSI11" s="111"/>
      <c r="SSJ11" s="111"/>
      <c r="SSK11" s="111"/>
      <c r="SSL11" s="111"/>
      <c r="SSM11" s="111"/>
      <c r="SSN11" s="111"/>
      <c r="SSO11" s="111"/>
      <c r="SSP11" s="111"/>
      <c r="SSQ11" s="111"/>
      <c r="SSR11" s="111"/>
      <c r="SSS11" s="111"/>
      <c r="SST11" s="111"/>
      <c r="SSU11" s="111"/>
      <c r="SSV11" s="111"/>
      <c r="SSW11" s="111"/>
      <c r="SSX11" s="111"/>
      <c r="SSY11" s="111"/>
      <c r="SSZ11" s="111"/>
      <c r="STA11" s="111"/>
      <c r="STB11" s="111"/>
      <c r="STC11" s="111"/>
      <c r="STD11" s="111"/>
      <c r="STE11" s="111"/>
      <c r="STF11" s="111"/>
      <c r="STG11" s="111"/>
      <c r="STH11" s="111"/>
      <c r="STI11" s="111"/>
      <c r="STJ11" s="111"/>
      <c r="STK11" s="111"/>
      <c r="STL11" s="111"/>
      <c r="STM11" s="111"/>
      <c r="STN11" s="111"/>
      <c r="STO11" s="111"/>
      <c r="STP11" s="111"/>
      <c r="STQ11" s="111"/>
      <c r="STR11" s="111"/>
      <c r="STS11" s="111"/>
      <c r="STT11" s="111"/>
      <c r="STU11" s="111"/>
      <c r="STV11" s="111"/>
      <c r="STW11" s="111"/>
      <c r="STX11" s="111"/>
      <c r="STY11" s="111"/>
      <c r="STZ11" s="111"/>
      <c r="SUA11" s="111"/>
      <c r="SUB11" s="111"/>
      <c r="SUC11" s="111"/>
      <c r="SUD11" s="111"/>
      <c r="SUE11" s="111"/>
      <c r="SUF11" s="111"/>
      <c r="SUG11" s="111"/>
      <c r="SUH11" s="111"/>
      <c r="SUI11" s="111"/>
      <c r="SUJ11" s="111"/>
      <c r="SUK11" s="111"/>
      <c r="SUL11" s="111"/>
      <c r="SUM11" s="111"/>
      <c r="SUN11" s="111"/>
      <c r="SUO11" s="111"/>
      <c r="SUP11" s="111"/>
      <c r="SUQ11" s="111"/>
      <c r="SUR11" s="111"/>
      <c r="SUS11" s="111"/>
      <c r="SUT11" s="111"/>
      <c r="SUU11" s="111"/>
      <c r="SUV11" s="111"/>
      <c r="SUW11" s="111"/>
      <c r="SUX11" s="111"/>
      <c r="SUY11" s="111"/>
      <c r="SUZ11" s="111"/>
      <c r="SVA11" s="111"/>
      <c r="SVB11" s="111"/>
      <c r="SVC11" s="111"/>
      <c r="SVD11" s="111"/>
      <c r="SVE11" s="111"/>
      <c r="SVF11" s="111"/>
      <c r="SVG11" s="111"/>
      <c r="SVH11" s="111"/>
      <c r="SVI11" s="111"/>
      <c r="SVJ11" s="111"/>
      <c r="SVK11" s="111"/>
      <c r="SVL11" s="111"/>
      <c r="SVM11" s="111"/>
      <c r="SVN11" s="111"/>
      <c r="SVO11" s="111"/>
      <c r="SVP11" s="111"/>
      <c r="SVQ11" s="111"/>
      <c r="SVR11" s="111"/>
      <c r="SVS11" s="111"/>
      <c r="SVT11" s="111"/>
      <c r="SVU11" s="111"/>
      <c r="SVV11" s="111"/>
      <c r="SVW11" s="111"/>
      <c r="SVX11" s="111"/>
      <c r="SVY11" s="111"/>
      <c r="SVZ11" s="111"/>
      <c r="SWA11" s="111"/>
      <c r="SWB11" s="111"/>
      <c r="SWC11" s="111"/>
      <c r="SWD11" s="111"/>
      <c r="SWE11" s="111"/>
      <c r="SWF11" s="111"/>
      <c r="SWG11" s="111"/>
      <c r="SWH11" s="111"/>
      <c r="SWI11" s="111"/>
      <c r="SWJ11" s="111"/>
      <c r="SWK11" s="111"/>
      <c r="SWL11" s="111"/>
      <c r="SWM11" s="111"/>
      <c r="SWN11" s="111"/>
      <c r="SWO11" s="111"/>
      <c r="SWP11" s="111"/>
      <c r="SWQ11" s="111"/>
      <c r="SWR11" s="111"/>
      <c r="SWS11" s="111"/>
      <c r="SWT11" s="111"/>
      <c r="SWU11" s="111"/>
      <c r="SWV11" s="111"/>
      <c r="SWW11" s="111"/>
      <c r="SWX11" s="111"/>
      <c r="SWY11" s="111"/>
      <c r="SWZ11" s="111"/>
      <c r="SXA11" s="111"/>
      <c r="SXB11" s="111"/>
      <c r="SXC11" s="111"/>
      <c r="SXD11" s="111"/>
      <c r="SXE11" s="111"/>
      <c r="SXF11" s="111"/>
      <c r="SXG11" s="111"/>
      <c r="SXH11" s="111"/>
      <c r="SXI11" s="111"/>
      <c r="SXJ11" s="111"/>
      <c r="SXK11" s="111"/>
      <c r="SXL11" s="111"/>
      <c r="SXM11" s="111"/>
      <c r="SXN11" s="111"/>
      <c r="SXO11" s="111"/>
      <c r="SXP11" s="111"/>
      <c r="SXQ11" s="111"/>
      <c r="SXR11" s="111"/>
      <c r="SXS11" s="111"/>
      <c r="SXT11" s="111"/>
      <c r="SXU11" s="111"/>
      <c r="SXV11" s="111"/>
      <c r="SXW11" s="111"/>
      <c r="SXX11" s="111"/>
      <c r="SXY11" s="111"/>
      <c r="SXZ11" s="111"/>
      <c r="SYA11" s="111"/>
      <c r="SYB11" s="111"/>
      <c r="SYC11" s="111"/>
      <c r="SYD11" s="111"/>
      <c r="SYE11" s="111"/>
      <c r="SYF11" s="111"/>
      <c r="SYG11" s="111"/>
      <c r="SYH11" s="111"/>
      <c r="SYI11" s="111"/>
      <c r="SYJ11" s="111"/>
      <c r="SYK11" s="111"/>
      <c r="SYL11" s="111"/>
      <c r="SYM11" s="111"/>
      <c r="SYN11" s="111"/>
      <c r="SYO11" s="111"/>
      <c r="SYP11" s="111"/>
      <c r="SYQ11" s="111"/>
      <c r="SYR11" s="111"/>
      <c r="SYS11" s="111"/>
      <c r="SYT11" s="111"/>
      <c r="SYU11" s="111"/>
      <c r="SYV11" s="111"/>
      <c r="SYW11" s="111"/>
      <c r="SYX11" s="111"/>
      <c r="SYY11" s="111"/>
      <c r="SYZ11" s="111"/>
      <c r="SZA11" s="111"/>
      <c r="SZB11" s="111"/>
      <c r="SZC11" s="111"/>
      <c r="SZD11" s="111"/>
      <c r="SZE11" s="111"/>
      <c r="SZF11" s="111"/>
      <c r="SZG11" s="111"/>
      <c r="SZH11" s="111"/>
      <c r="SZI11" s="111"/>
      <c r="SZJ11" s="111"/>
      <c r="SZK11" s="111"/>
      <c r="SZL11" s="111"/>
      <c r="SZM11" s="111"/>
      <c r="SZN11" s="111"/>
      <c r="SZO11" s="111"/>
      <c r="SZP11" s="111"/>
      <c r="SZQ11" s="111"/>
      <c r="SZR11" s="111"/>
      <c r="SZS11" s="111"/>
      <c r="SZT11" s="111"/>
      <c r="SZU11" s="111"/>
      <c r="SZV11" s="111"/>
      <c r="SZW11" s="111"/>
      <c r="SZX11" s="111"/>
      <c r="SZY11" s="111"/>
      <c r="SZZ11" s="111"/>
      <c r="TAA11" s="111"/>
      <c r="TAB11" s="111"/>
      <c r="TAC11" s="111"/>
      <c r="TAD11" s="111"/>
      <c r="TAE11" s="111"/>
      <c r="TAF11" s="111"/>
      <c r="TAG11" s="111"/>
      <c r="TAH11" s="111"/>
      <c r="TAI11" s="111"/>
      <c r="TAJ11" s="111"/>
      <c r="TAK11" s="111"/>
      <c r="TAL11" s="111"/>
      <c r="TAM11" s="111"/>
      <c r="TAN11" s="111"/>
      <c r="TAO11" s="111"/>
      <c r="TAP11" s="111"/>
      <c r="TAQ11" s="111"/>
      <c r="TAR11" s="111"/>
      <c r="TAS11" s="111"/>
      <c r="TAT11" s="111"/>
      <c r="TAU11" s="111"/>
      <c r="TAV11" s="111"/>
      <c r="TAW11" s="111"/>
      <c r="TAX11" s="111"/>
      <c r="TAY11" s="111"/>
      <c r="TAZ11" s="111"/>
      <c r="TBA11" s="111"/>
      <c r="TBB11" s="111"/>
      <c r="TBC11" s="111"/>
      <c r="TBD11" s="111"/>
      <c r="TBE11" s="111"/>
      <c r="TBF11" s="111"/>
      <c r="TBG11" s="111"/>
      <c r="TBH11" s="111"/>
      <c r="TBI11" s="111"/>
      <c r="TBJ11" s="111"/>
      <c r="TBK11" s="111"/>
      <c r="TBL11" s="111"/>
      <c r="TBM11" s="111"/>
      <c r="TBN11" s="111"/>
      <c r="TBO11" s="111"/>
      <c r="TBP11" s="111"/>
      <c r="TBQ11" s="111"/>
      <c r="TBR11" s="111"/>
      <c r="TBS11" s="111"/>
      <c r="TBT11" s="111"/>
      <c r="TBU11" s="111"/>
      <c r="TBV11" s="111"/>
      <c r="TBW11" s="111"/>
      <c r="TBX11" s="111"/>
      <c r="TBY11" s="111"/>
      <c r="TBZ11" s="111"/>
      <c r="TCA11" s="111"/>
      <c r="TCB11" s="111"/>
      <c r="TCC11" s="111"/>
      <c r="TCD11" s="111"/>
      <c r="TCE11" s="111"/>
      <c r="TCF11" s="111"/>
      <c r="TCG11" s="111"/>
      <c r="TCH11" s="111"/>
      <c r="TCI11" s="111"/>
      <c r="TCJ11" s="111"/>
      <c r="TCK11" s="111"/>
      <c r="TCL11" s="111"/>
      <c r="TCM11" s="111"/>
      <c r="TCN11" s="111"/>
      <c r="TCO11" s="111"/>
      <c r="TCP11" s="111"/>
      <c r="TCQ11" s="111"/>
      <c r="TCR11" s="111"/>
      <c r="TCS11" s="111"/>
      <c r="TCT11" s="111"/>
      <c r="TCU11" s="111"/>
      <c r="TCV11" s="111"/>
      <c r="TCW11" s="111"/>
      <c r="TCX11" s="111"/>
      <c r="TCY11" s="111"/>
      <c r="TCZ11" s="111"/>
      <c r="TDA11" s="111"/>
      <c r="TDB11" s="111"/>
      <c r="TDC11" s="111"/>
      <c r="TDD11" s="111"/>
      <c r="TDE11" s="111"/>
      <c r="TDF11" s="111"/>
      <c r="TDG11" s="111"/>
      <c r="TDH11" s="111"/>
      <c r="TDI11" s="111"/>
      <c r="TDJ11" s="111"/>
      <c r="TDK11" s="111"/>
      <c r="TDL11" s="111"/>
      <c r="TDM11" s="111"/>
      <c r="TDN11" s="111"/>
      <c r="TDO11" s="111"/>
      <c r="TDP11" s="111"/>
      <c r="TDQ11" s="111"/>
      <c r="TDR11" s="111"/>
      <c r="TDS11" s="111"/>
      <c r="TDT11" s="111"/>
      <c r="TDU11" s="111"/>
      <c r="TDV11" s="111"/>
      <c r="TDW11" s="111"/>
      <c r="TDX11" s="111"/>
      <c r="TDY11" s="111"/>
      <c r="TDZ11" s="111"/>
      <c r="TEA11" s="111"/>
      <c r="TEB11" s="111"/>
      <c r="TEC11" s="111"/>
      <c r="TED11" s="111"/>
      <c r="TEE11" s="111"/>
      <c r="TEF11" s="111"/>
      <c r="TEG11" s="111"/>
      <c r="TEH11" s="111"/>
      <c r="TEI11" s="111"/>
      <c r="TEJ11" s="111"/>
      <c r="TEK11" s="111"/>
      <c r="TEL11" s="111"/>
      <c r="TEM11" s="111"/>
      <c r="TEN11" s="111"/>
      <c r="TEO11" s="111"/>
      <c r="TEP11" s="111"/>
      <c r="TEQ11" s="111"/>
      <c r="TER11" s="111"/>
      <c r="TES11" s="111"/>
      <c r="TET11" s="111"/>
      <c r="TEU11" s="111"/>
      <c r="TEV11" s="111"/>
      <c r="TEW11" s="111"/>
      <c r="TEX11" s="111"/>
      <c r="TEY11" s="111"/>
      <c r="TEZ11" s="111"/>
      <c r="TFA11" s="111"/>
      <c r="TFB11" s="111"/>
      <c r="TFC11" s="111"/>
      <c r="TFD11" s="111"/>
      <c r="TFE11" s="111"/>
      <c r="TFF11" s="111"/>
      <c r="TFG11" s="111"/>
      <c r="TFH11" s="111"/>
      <c r="TFI11" s="111"/>
      <c r="TFJ11" s="111"/>
      <c r="TFK11" s="111"/>
      <c r="TFL11" s="111"/>
      <c r="TFM11" s="111"/>
      <c r="TFN11" s="111"/>
      <c r="TFO11" s="111"/>
      <c r="TFP11" s="111"/>
      <c r="TFQ11" s="111"/>
      <c r="TFR11" s="111"/>
      <c r="TFS11" s="111"/>
      <c r="TFT11" s="111"/>
      <c r="TFU11" s="111"/>
      <c r="TFV11" s="111"/>
      <c r="TFW11" s="111"/>
      <c r="TFX11" s="111"/>
      <c r="TFY11" s="111"/>
      <c r="TFZ11" s="111"/>
      <c r="TGA11" s="111"/>
      <c r="TGB11" s="111"/>
      <c r="TGC11" s="111"/>
      <c r="TGD11" s="111"/>
      <c r="TGE11" s="111"/>
      <c r="TGF11" s="111"/>
      <c r="TGG11" s="111"/>
      <c r="TGH11" s="111"/>
      <c r="TGI11" s="111"/>
      <c r="TGJ11" s="111"/>
      <c r="TGK11" s="111"/>
      <c r="TGL11" s="111"/>
      <c r="TGM11" s="111"/>
      <c r="TGN11" s="111"/>
      <c r="TGO11" s="111"/>
      <c r="TGP11" s="111"/>
      <c r="TGQ11" s="111"/>
      <c r="TGR11" s="111"/>
      <c r="TGS11" s="111"/>
      <c r="TGT11" s="111"/>
      <c r="TGU11" s="111"/>
      <c r="TGV11" s="111"/>
      <c r="TGW11" s="111"/>
      <c r="TGX11" s="111"/>
      <c r="TGY11" s="111"/>
      <c r="TGZ11" s="111"/>
      <c r="THA11" s="111"/>
      <c r="THB11" s="111"/>
      <c r="THC11" s="111"/>
      <c r="THD11" s="111"/>
      <c r="THE11" s="111"/>
      <c r="THF11" s="111"/>
      <c r="THG11" s="111"/>
      <c r="THH11" s="111"/>
      <c r="THI11" s="111"/>
      <c r="THJ11" s="111"/>
      <c r="THK11" s="111"/>
      <c r="THL11" s="111"/>
      <c r="THM11" s="111"/>
      <c r="THN11" s="111"/>
      <c r="THO11" s="111"/>
      <c r="THP11" s="111"/>
      <c r="THQ11" s="111"/>
      <c r="THR11" s="111"/>
      <c r="THS11" s="111"/>
      <c r="THT11" s="111"/>
      <c r="THU11" s="111"/>
      <c r="THV11" s="111"/>
      <c r="THW11" s="111"/>
      <c r="THX11" s="111"/>
      <c r="THY11" s="111"/>
      <c r="THZ11" s="111"/>
      <c r="TIA11" s="111"/>
      <c r="TIB11" s="111"/>
      <c r="TIC11" s="111"/>
      <c r="TID11" s="111"/>
      <c r="TIE11" s="111"/>
      <c r="TIF11" s="111"/>
      <c r="TIG11" s="111"/>
      <c r="TIH11" s="111"/>
      <c r="TII11" s="111"/>
      <c r="TIJ11" s="111"/>
      <c r="TIK11" s="111"/>
      <c r="TIL11" s="111"/>
      <c r="TIM11" s="111"/>
      <c r="TIN11" s="111"/>
      <c r="TIO11" s="111"/>
      <c r="TIP11" s="111"/>
      <c r="TIQ11" s="111"/>
      <c r="TIR11" s="111"/>
      <c r="TIS11" s="111"/>
      <c r="TIT11" s="111"/>
      <c r="TIU11" s="111"/>
      <c r="TIV11" s="111"/>
      <c r="TIW11" s="111"/>
      <c r="TIX11" s="111"/>
      <c r="TIY11" s="111"/>
      <c r="TIZ11" s="111"/>
      <c r="TJA11" s="111"/>
      <c r="TJB11" s="111"/>
      <c r="TJC11" s="111"/>
      <c r="TJD11" s="111"/>
      <c r="TJE11" s="111"/>
      <c r="TJF11" s="111"/>
      <c r="TJG11" s="111"/>
      <c r="TJH11" s="111"/>
      <c r="TJI11" s="111"/>
      <c r="TJJ11" s="111"/>
      <c r="TJK11" s="111"/>
      <c r="TJL11" s="111"/>
      <c r="TJM11" s="111"/>
      <c r="TJN11" s="111"/>
      <c r="TJO11" s="111"/>
      <c r="TJP11" s="111"/>
      <c r="TJQ11" s="111"/>
      <c r="TJR11" s="111"/>
      <c r="TJS11" s="111"/>
      <c r="TJT11" s="111"/>
      <c r="TJU11" s="111"/>
      <c r="TJV11" s="111"/>
      <c r="TJW11" s="111"/>
      <c r="TJX11" s="111"/>
      <c r="TJY11" s="111"/>
      <c r="TJZ11" s="111"/>
      <c r="TKA11" s="111"/>
      <c r="TKB11" s="111"/>
      <c r="TKC11" s="111"/>
      <c r="TKD11" s="111"/>
      <c r="TKE11" s="111"/>
      <c r="TKF11" s="111"/>
      <c r="TKG11" s="111"/>
      <c r="TKH11" s="111"/>
      <c r="TKI11" s="111"/>
      <c r="TKJ11" s="111"/>
      <c r="TKK11" s="111"/>
      <c r="TKL11" s="111"/>
      <c r="TKM11" s="111"/>
      <c r="TKN11" s="111"/>
      <c r="TKO11" s="111"/>
      <c r="TKP11" s="111"/>
      <c r="TKQ11" s="111"/>
      <c r="TKR11" s="111"/>
      <c r="TKS11" s="111"/>
      <c r="TKT11" s="111"/>
      <c r="TKU11" s="111"/>
      <c r="TKV11" s="111"/>
      <c r="TKW11" s="111"/>
      <c r="TKX11" s="111"/>
      <c r="TKY11" s="111"/>
      <c r="TKZ11" s="111"/>
      <c r="TLA11" s="111"/>
      <c r="TLB11" s="111"/>
      <c r="TLC11" s="111"/>
      <c r="TLD11" s="111"/>
      <c r="TLE11" s="111"/>
      <c r="TLF11" s="111"/>
      <c r="TLG11" s="111"/>
      <c r="TLH11" s="111"/>
      <c r="TLI11" s="111"/>
      <c r="TLJ11" s="111"/>
      <c r="TLK11" s="111"/>
      <c r="TLL11" s="111"/>
      <c r="TLM11" s="111"/>
      <c r="TLN11" s="111"/>
      <c r="TLO11" s="111"/>
      <c r="TLP11" s="111"/>
      <c r="TLQ11" s="111"/>
      <c r="TLR11" s="111"/>
      <c r="TLS11" s="111"/>
      <c r="TLT11" s="111"/>
      <c r="TLU11" s="111"/>
      <c r="TLV11" s="111"/>
      <c r="TLW11" s="111"/>
      <c r="TLX11" s="111"/>
      <c r="TLY11" s="111"/>
      <c r="TLZ11" s="111"/>
      <c r="TMA11" s="111"/>
      <c r="TMB11" s="111"/>
      <c r="TMC11" s="111"/>
      <c r="TMD11" s="111"/>
      <c r="TME11" s="111"/>
      <c r="TMF11" s="111"/>
      <c r="TMG11" s="111"/>
      <c r="TMH11" s="111"/>
      <c r="TMI11" s="111"/>
      <c r="TMJ11" s="111"/>
      <c r="TMK11" s="111"/>
      <c r="TML11" s="111"/>
      <c r="TMM11" s="111"/>
      <c r="TMN11" s="111"/>
      <c r="TMO11" s="111"/>
      <c r="TMP11" s="111"/>
      <c r="TMQ11" s="111"/>
      <c r="TMR11" s="111"/>
      <c r="TMS11" s="111"/>
      <c r="TMT11" s="111"/>
      <c r="TMU11" s="111"/>
      <c r="TMV11" s="111"/>
      <c r="TMW11" s="111"/>
      <c r="TMX11" s="111"/>
      <c r="TMY11" s="111"/>
      <c r="TMZ11" s="111"/>
      <c r="TNA11" s="111"/>
      <c r="TNB11" s="111"/>
      <c r="TNC11" s="111"/>
      <c r="TND11" s="111"/>
      <c r="TNE11" s="111"/>
      <c r="TNF11" s="111"/>
      <c r="TNG11" s="111"/>
      <c r="TNH11" s="111"/>
      <c r="TNI11" s="111"/>
      <c r="TNJ11" s="111"/>
      <c r="TNK11" s="111"/>
      <c r="TNL11" s="111"/>
      <c r="TNM11" s="111"/>
      <c r="TNN11" s="111"/>
      <c r="TNO11" s="111"/>
      <c r="TNP11" s="111"/>
      <c r="TNQ11" s="111"/>
      <c r="TNR11" s="111"/>
      <c r="TNS11" s="111"/>
      <c r="TNT11" s="111"/>
      <c r="TNU11" s="111"/>
      <c r="TNV11" s="111"/>
      <c r="TNW11" s="111"/>
      <c r="TNX11" s="111"/>
      <c r="TNY11" s="111"/>
      <c r="TNZ11" s="111"/>
      <c r="TOA11" s="111"/>
      <c r="TOB11" s="111"/>
      <c r="TOC11" s="111"/>
      <c r="TOD11" s="111"/>
      <c r="TOE11" s="111"/>
      <c r="TOF11" s="111"/>
      <c r="TOG11" s="111"/>
      <c r="TOH11" s="111"/>
      <c r="TOI11" s="111"/>
      <c r="TOJ11" s="111"/>
      <c r="TOK11" s="111"/>
      <c r="TOL11" s="111"/>
      <c r="TOM11" s="111"/>
      <c r="TON11" s="111"/>
      <c r="TOO11" s="111"/>
      <c r="TOP11" s="111"/>
      <c r="TOQ11" s="111"/>
      <c r="TOR11" s="111"/>
      <c r="TOS11" s="111"/>
      <c r="TOT11" s="111"/>
      <c r="TOU11" s="111"/>
      <c r="TOV11" s="111"/>
      <c r="TOW11" s="111"/>
      <c r="TOX11" s="111"/>
      <c r="TOY11" s="111"/>
      <c r="TOZ11" s="111"/>
      <c r="TPA11" s="111"/>
      <c r="TPB11" s="111"/>
      <c r="TPC11" s="111"/>
      <c r="TPD11" s="111"/>
      <c r="TPE11" s="111"/>
      <c r="TPF11" s="111"/>
      <c r="TPG11" s="111"/>
      <c r="TPH11" s="111"/>
      <c r="TPI11" s="111"/>
      <c r="TPJ11" s="111"/>
      <c r="TPK11" s="111"/>
      <c r="TPL11" s="111"/>
      <c r="TPM11" s="111"/>
      <c r="TPN11" s="111"/>
      <c r="TPO11" s="111"/>
      <c r="TPP11" s="111"/>
      <c r="TPQ11" s="111"/>
      <c r="TPR11" s="111"/>
      <c r="TPS11" s="111"/>
      <c r="TPT11" s="111"/>
      <c r="TPU11" s="111"/>
      <c r="TPV11" s="111"/>
      <c r="TPW11" s="111"/>
      <c r="TPX11" s="111"/>
      <c r="TPY11" s="111"/>
      <c r="TPZ11" s="111"/>
      <c r="TQA11" s="111"/>
      <c r="TQB11" s="111"/>
      <c r="TQC11" s="111"/>
      <c r="TQD11" s="111"/>
      <c r="TQE11" s="111"/>
      <c r="TQF11" s="111"/>
      <c r="TQG11" s="111"/>
      <c r="TQH11" s="111"/>
      <c r="TQI11" s="111"/>
      <c r="TQJ11" s="111"/>
      <c r="TQK11" s="111"/>
      <c r="TQL11" s="111"/>
      <c r="TQM11" s="111"/>
      <c r="TQN11" s="111"/>
      <c r="TQO11" s="111"/>
      <c r="TQP11" s="111"/>
      <c r="TQQ11" s="111"/>
      <c r="TQR11" s="111"/>
      <c r="TQS11" s="111"/>
      <c r="TQT11" s="111"/>
      <c r="TQU11" s="111"/>
      <c r="TQV11" s="111"/>
      <c r="TQW11" s="111"/>
      <c r="TQX11" s="111"/>
      <c r="TQY11" s="111"/>
      <c r="TQZ11" s="111"/>
      <c r="TRA11" s="111"/>
      <c r="TRB11" s="111"/>
      <c r="TRC11" s="111"/>
      <c r="TRD11" s="111"/>
      <c r="TRE11" s="111"/>
      <c r="TRF11" s="111"/>
      <c r="TRG11" s="111"/>
      <c r="TRH11" s="111"/>
      <c r="TRI11" s="111"/>
      <c r="TRJ11" s="111"/>
      <c r="TRK11" s="111"/>
      <c r="TRL11" s="111"/>
      <c r="TRM11" s="111"/>
      <c r="TRN11" s="111"/>
      <c r="TRO11" s="111"/>
      <c r="TRP11" s="111"/>
      <c r="TRQ11" s="111"/>
      <c r="TRR11" s="111"/>
      <c r="TRS11" s="111"/>
      <c r="TRT11" s="111"/>
      <c r="TRU11" s="111"/>
      <c r="TRV11" s="111"/>
      <c r="TRW11" s="111"/>
      <c r="TRX11" s="111"/>
      <c r="TRY11" s="111"/>
      <c r="TRZ11" s="111"/>
      <c r="TSA11" s="111"/>
      <c r="TSB11" s="111"/>
      <c r="TSC11" s="111"/>
      <c r="TSD11" s="111"/>
      <c r="TSE11" s="111"/>
      <c r="TSF11" s="111"/>
      <c r="TSG11" s="111"/>
      <c r="TSH11" s="111"/>
      <c r="TSI11" s="111"/>
      <c r="TSJ11" s="111"/>
      <c r="TSK11" s="111"/>
      <c r="TSL11" s="111"/>
      <c r="TSM11" s="111"/>
      <c r="TSN11" s="111"/>
      <c r="TSO11" s="111"/>
      <c r="TSP11" s="111"/>
      <c r="TSQ11" s="111"/>
      <c r="TSR11" s="111"/>
      <c r="TSS11" s="111"/>
      <c r="TST11" s="111"/>
      <c r="TSU11" s="111"/>
      <c r="TSV11" s="111"/>
      <c r="TSW11" s="111"/>
      <c r="TSX11" s="111"/>
      <c r="TSY11" s="111"/>
      <c r="TSZ11" s="111"/>
      <c r="TTA11" s="111"/>
      <c r="TTB11" s="111"/>
      <c r="TTC11" s="111"/>
      <c r="TTD11" s="111"/>
      <c r="TTE11" s="111"/>
      <c r="TTF11" s="111"/>
      <c r="TTG11" s="111"/>
      <c r="TTH11" s="111"/>
      <c r="TTI11" s="111"/>
      <c r="TTJ11" s="111"/>
      <c r="TTK11" s="111"/>
      <c r="TTL11" s="111"/>
      <c r="TTM11" s="111"/>
      <c r="TTN11" s="111"/>
      <c r="TTO11" s="111"/>
      <c r="TTP11" s="111"/>
      <c r="TTQ11" s="111"/>
      <c r="TTR11" s="111"/>
      <c r="TTS11" s="111"/>
      <c r="TTT11" s="111"/>
      <c r="TTU11" s="111"/>
      <c r="TTV11" s="111"/>
      <c r="TTW11" s="111"/>
      <c r="TTX11" s="111"/>
      <c r="TTY11" s="111"/>
      <c r="TTZ11" s="111"/>
      <c r="TUA11" s="111"/>
      <c r="TUB11" s="111"/>
      <c r="TUC11" s="111"/>
      <c r="TUD11" s="111"/>
      <c r="TUE11" s="111"/>
      <c r="TUF11" s="111"/>
      <c r="TUG11" s="111"/>
      <c r="TUH11" s="111"/>
      <c r="TUI11" s="111"/>
      <c r="TUJ11" s="111"/>
      <c r="TUK11" s="111"/>
      <c r="TUL11" s="111"/>
      <c r="TUM11" s="111"/>
      <c r="TUN11" s="111"/>
      <c r="TUO11" s="111"/>
      <c r="TUP11" s="111"/>
      <c r="TUQ11" s="111"/>
      <c r="TUR11" s="111"/>
      <c r="TUS11" s="111"/>
      <c r="TUT11" s="111"/>
      <c r="TUU11" s="111"/>
      <c r="TUV11" s="111"/>
      <c r="TUW11" s="111"/>
      <c r="TUX11" s="111"/>
      <c r="TUY11" s="111"/>
      <c r="TUZ11" s="111"/>
      <c r="TVA11" s="111"/>
      <c r="TVB11" s="111"/>
      <c r="TVC11" s="111"/>
      <c r="TVD11" s="111"/>
      <c r="TVE11" s="111"/>
      <c r="TVF11" s="111"/>
      <c r="TVG11" s="111"/>
      <c r="TVH11" s="111"/>
      <c r="TVI11" s="111"/>
      <c r="TVJ11" s="111"/>
      <c r="TVK11" s="111"/>
      <c r="TVL11" s="111"/>
      <c r="TVM11" s="111"/>
      <c r="TVN11" s="111"/>
      <c r="TVO11" s="111"/>
      <c r="TVP11" s="111"/>
      <c r="TVQ11" s="111"/>
      <c r="TVR11" s="111"/>
      <c r="TVS11" s="111"/>
      <c r="TVT11" s="111"/>
      <c r="TVU11" s="111"/>
      <c r="TVV11" s="111"/>
      <c r="TVW11" s="111"/>
      <c r="TVX11" s="111"/>
      <c r="TVY11" s="111"/>
      <c r="TVZ11" s="111"/>
      <c r="TWA11" s="111"/>
      <c r="TWB11" s="111"/>
      <c r="TWC11" s="111"/>
      <c r="TWD11" s="111"/>
      <c r="TWE11" s="111"/>
      <c r="TWF11" s="111"/>
      <c r="TWG11" s="111"/>
      <c r="TWH11" s="111"/>
      <c r="TWI11" s="111"/>
      <c r="TWJ11" s="111"/>
      <c r="TWK11" s="111"/>
      <c r="TWL11" s="111"/>
      <c r="TWM11" s="111"/>
      <c r="TWN11" s="111"/>
      <c r="TWO11" s="111"/>
      <c r="TWP11" s="111"/>
      <c r="TWQ11" s="111"/>
      <c r="TWR11" s="111"/>
      <c r="TWS11" s="111"/>
      <c r="TWT11" s="111"/>
      <c r="TWU11" s="111"/>
      <c r="TWV11" s="111"/>
      <c r="TWW11" s="111"/>
      <c r="TWX11" s="111"/>
      <c r="TWY11" s="111"/>
      <c r="TWZ11" s="111"/>
      <c r="TXA11" s="111"/>
      <c r="TXB11" s="111"/>
      <c r="TXC11" s="111"/>
      <c r="TXD11" s="111"/>
      <c r="TXE11" s="111"/>
      <c r="TXF11" s="111"/>
      <c r="TXG11" s="111"/>
      <c r="TXH11" s="111"/>
      <c r="TXI11" s="111"/>
      <c r="TXJ11" s="111"/>
      <c r="TXK11" s="111"/>
      <c r="TXL11" s="111"/>
      <c r="TXM11" s="111"/>
      <c r="TXN11" s="111"/>
      <c r="TXO11" s="111"/>
      <c r="TXP11" s="111"/>
      <c r="TXQ11" s="111"/>
      <c r="TXR11" s="111"/>
      <c r="TXS11" s="111"/>
      <c r="TXT11" s="111"/>
      <c r="TXU11" s="111"/>
      <c r="TXV11" s="111"/>
      <c r="TXW11" s="111"/>
      <c r="TXX11" s="111"/>
      <c r="TXY11" s="111"/>
      <c r="TXZ11" s="111"/>
      <c r="TYA11" s="111"/>
      <c r="TYB11" s="111"/>
      <c r="TYC11" s="111"/>
      <c r="TYD11" s="111"/>
      <c r="TYE11" s="111"/>
      <c r="TYF11" s="111"/>
      <c r="TYG11" s="111"/>
      <c r="TYH11" s="111"/>
      <c r="TYI11" s="111"/>
      <c r="TYJ11" s="111"/>
      <c r="TYK11" s="111"/>
      <c r="TYL11" s="111"/>
      <c r="TYM11" s="111"/>
      <c r="TYN11" s="111"/>
      <c r="TYO11" s="111"/>
      <c r="TYP11" s="111"/>
      <c r="TYQ11" s="111"/>
      <c r="TYR11" s="111"/>
      <c r="TYS11" s="111"/>
      <c r="TYT11" s="111"/>
      <c r="TYU11" s="111"/>
      <c r="TYV11" s="111"/>
      <c r="TYW11" s="111"/>
      <c r="TYX11" s="111"/>
      <c r="TYY11" s="111"/>
      <c r="TYZ11" s="111"/>
      <c r="TZA11" s="111"/>
      <c r="TZB11" s="111"/>
      <c r="TZC11" s="111"/>
      <c r="TZD11" s="111"/>
      <c r="TZE11" s="111"/>
      <c r="TZF11" s="111"/>
      <c r="TZG11" s="111"/>
      <c r="TZH11" s="111"/>
      <c r="TZI11" s="111"/>
      <c r="TZJ11" s="111"/>
      <c r="TZK11" s="111"/>
      <c r="TZL11" s="111"/>
      <c r="TZM11" s="111"/>
      <c r="TZN11" s="111"/>
      <c r="TZO11" s="111"/>
      <c r="TZP11" s="111"/>
      <c r="TZQ11" s="111"/>
      <c r="TZR11" s="111"/>
      <c r="TZS11" s="111"/>
      <c r="TZT11" s="111"/>
      <c r="TZU11" s="111"/>
      <c r="TZV11" s="111"/>
      <c r="TZW11" s="111"/>
      <c r="TZX11" s="111"/>
      <c r="TZY11" s="111"/>
      <c r="TZZ11" s="111"/>
      <c r="UAA11" s="111"/>
      <c r="UAB11" s="111"/>
      <c r="UAC11" s="111"/>
      <c r="UAD11" s="111"/>
      <c r="UAE11" s="111"/>
      <c r="UAF11" s="111"/>
      <c r="UAG11" s="111"/>
      <c r="UAH11" s="111"/>
      <c r="UAI11" s="111"/>
      <c r="UAJ11" s="111"/>
      <c r="UAK11" s="111"/>
      <c r="UAL11" s="111"/>
      <c r="UAM11" s="111"/>
      <c r="UAN11" s="111"/>
      <c r="UAO11" s="111"/>
      <c r="UAP11" s="111"/>
      <c r="UAQ11" s="111"/>
      <c r="UAR11" s="111"/>
      <c r="UAS11" s="111"/>
      <c r="UAT11" s="111"/>
      <c r="UAU11" s="111"/>
      <c r="UAV11" s="111"/>
      <c r="UAW11" s="111"/>
      <c r="UAX11" s="111"/>
      <c r="UAY11" s="111"/>
      <c r="UAZ11" s="111"/>
      <c r="UBA11" s="111"/>
      <c r="UBB11" s="111"/>
      <c r="UBC11" s="111"/>
      <c r="UBD11" s="111"/>
      <c r="UBE11" s="111"/>
      <c r="UBF11" s="111"/>
      <c r="UBG11" s="111"/>
      <c r="UBH11" s="111"/>
      <c r="UBI11" s="111"/>
      <c r="UBJ11" s="111"/>
      <c r="UBK11" s="111"/>
      <c r="UBL11" s="111"/>
      <c r="UBM11" s="111"/>
      <c r="UBN11" s="111"/>
      <c r="UBO11" s="111"/>
      <c r="UBP11" s="111"/>
      <c r="UBQ11" s="111"/>
      <c r="UBR11" s="111"/>
      <c r="UBS11" s="111"/>
      <c r="UBT11" s="111"/>
      <c r="UBU11" s="111"/>
      <c r="UBV11" s="111"/>
      <c r="UBW11" s="111"/>
      <c r="UBX11" s="111"/>
      <c r="UBY11" s="111"/>
      <c r="UBZ11" s="111"/>
      <c r="UCA11" s="111"/>
      <c r="UCB11" s="111"/>
      <c r="UCC11" s="111"/>
      <c r="UCD11" s="111"/>
      <c r="UCE11" s="111"/>
      <c r="UCF11" s="111"/>
      <c r="UCG11" s="111"/>
      <c r="UCH11" s="111"/>
      <c r="UCI11" s="111"/>
      <c r="UCJ11" s="111"/>
      <c r="UCK11" s="111"/>
      <c r="UCL11" s="111"/>
      <c r="UCM11" s="111"/>
      <c r="UCN11" s="111"/>
      <c r="UCO11" s="111"/>
      <c r="UCP11" s="111"/>
      <c r="UCQ11" s="111"/>
      <c r="UCR11" s="111"/>
      <c r="UCS11" s="111"/>
      <c r="UCT11" s="111"/>
      <c r="UCU11" s="111"/>
      <c r="UCV11" s="111"/>
      <c r="UCW11" s="111"/>
      <c r="UCX11" s="111"/>
      <c r="UCY11" s="111"/>
      <c r="UCZ11" s="111"/>
      <c r="UDA11" s="111"/>
      <c r="UDB11" s="111"/>
      <c r="UDC11" s="111"/>
      <c r="UDD11" s="111"/>
      <c r="UDE11" s="111"/>
      <c r="UDF11" s="111"/>
      <c r="UDG11" s="111"/>
      <c r="UDH11" s="111"/>
      <c r="UDI11" s="111"/>
      <c r="UDJ11" s="111"/>
      <c r="UDK11" s="111"/>
      <c r="UDL11" s="111"/>
      <c r="UDM11" s="111"/>
      <c r="UDN11" s="111"/>
      <c r="UDO11" s="111"/>
      <c r="UDP11" s="111"/>
      <c r="UDQ11" s="111"/>
      <c r="UDR11" s="111"/>
      <c r="UDS11" s="111"/>
      <c r="UDT11" s="111"/>
      <c r="UDU11" s="111"/>
      <c r="UDV11" s="111"/>
      <c r="UDW11" s="111"/>
      <c r="UDX11" s="111"/>
      <c r="UDY11" s="111"/>
      <c r="UDZ11" s="111"/>
      <c r="UEA11" s="111"/>
      <c r="UEB11" s="111"/>
      <c r="UEC11" s="111"/>
      <c r="UED11" s="111"/>
      <c r="UEE11" s="111"/>
      <c r="UEF11" s="111"/>
      <c r="UEG11" s="111"/>
      <c r="UEH11" s="111"/>
      <c r="UEI11" s="111"/>
      <c r="UEJ11" s="111"/>
      <c r="UEK11" s="111"/>
      <c r="UEL11" s="111"/>
      <c r="UEM11" s="111"/>
      <c r="UEN11" s="111"/>
      <c r="UEO11" s="111"/>
      <c r="UEP11" s="111"/>
      <c r="UEQ11" s="111"/>
      <c r="UER11" s="111"/>
      <c r="UES11" s="111"/>
      <c r="UET11" s="111"/>
      <c r="UEU11" s="111"/>
      <c r="UEV11" s="111"/>
      <c r="UEW11" s="111"/>
      <c r="UEX11" s="111"/>
      <c r="UEY11" s="111"/>
      <c r="UEZ11" s="111"/>
      <c r="UFA11" s="111"/>
      <c r="UFB11" s="111"/>
      <c r="UFC11" s="111"/>
      <c r="UFD11" s="111"/>
      <c r="UFE11" s="111"/>
      <c r="UFF11" s="111"/>
      <c r="UFG11" s="111"/>
      <c r="UFH11" s="111"/>
      <c r="UFI11" s="111"/>
      <c r="UFJ11" s="111"/>
      <c r="UFK11" s="111"/>
      <c r="UFL11" s="111"/>
      <c r="UFM11" s="111"/>
      <c r="UFN11" s="111"/>
      <c r="UFO11" s="111"/>
      <c r="UFP11" s="111"/>
      <c r="UFQ11" s="111"/>
      <c r="UFR11" s="111"/>
      <c r="UFS11" s="111"/>
      <c r="UFT11" s="111"/>
      <c r="UFU11" s="111"/>
      <c r="UFV11" s="111"/>
      <c r="UFW11" s="111"/>
      <c r="UFX11" s="111"/>
      <c r="UFY11" s="111"/>
      <c r="UFZ11" s="111"/>
      <c r="UGA11" s="111"/>
      <c r="UGB11" s="111"/>
      <c r="UGC11" s="111"/>
      <c r="UGD11" s="111"/>
      <c r="UGE11" s="111"/>
      <c r="UGF11" s="111"/>
      <c r="UGG11" s="111"/>
      <c r="UGH11" s="111"/>
      <c r="UGI11" s="111"/>
      <c r="UGJ11" s="111"/>
      <c r="UGK11" s="111"/>
      <c r="UGL11" s="111"/>
      <c r="UGM11" s="111"/>
      <c r="UGN11" s="111"/>
      <c r="UGO11" s="111"/>
      <c r="UGP11" s="111"/>
      <c r="UGQ11" s="111"/>
      <c r="UGR11" s="111"/>
      <c r="UGS11" s="111"/>
      <c r="UGT11" s="111"/>
      <c r="UGU11" s="111"/>
      <c r="UGV11" s="111"/>
      <c r="UGW11" s="111"/>
      <c r="UGX11" s="111"/>
      <c r="UGY11" s="111"/>
      <c r="UGZ11" s="111"/>
      <c r="UHA11" s="111"/>
      <c r="UHB11" s="111"/>
      <c r="UHC11" s="111"/>
      <c r="UHD11" s="111"/>
      <c r="UHE11" s="111"/>
      <c r="UHF11" s="111"/>
      <c r="UHG11" s="111"/>
      <c r="UHH11" s="111"/>
      <c r="UHI11" s="111"/>
      <c r="UHJ11" s="111"/>
      <c r="UHK11" s="111"/>
      <c r="UHL11" s="111"/>
      <c r="UHM11" s="111"/>
      <c r="UHN11" s="111"/>
      <c r="UHO11" s="111"/>
      <c r="UHP11" s="111"/>
      <c r="UHQ11" s="111"/>
      <c r="UHR11" s="111"/>
      <c r="UHS11" s="111"/>
      <c r="UHT11" s="111"/>
      <c r="UHU11" s="111"/>
      <c r="UHV11" s="111"/>
      <c r="UHW11" s="111"/>
      <c r="UHX11" s="111"/>
      <c r="UHY11" s="111"/>
      <c r="UHZ11" s="111"/>
      <c r="UIA11" s="111"/>
      <c r="UIB11" s="111"/>
      <c r="UIC11" s="111"/>
      <c r="UID11" s="111"/>
      <c r="UIE11" s="111"/>
      <c r="UIF11" s="111"/>
      <c r="UIG11" s="111"/>
      <c r="UIH11" s="111"/>
      <c r="UII11" s="111"/>
      <c r="UIJ11" s="111"/>
      <c r="UIK11" s="111"/>
      <c r="UIL11" s="111"/>
      <c r="UIM11" s="111"/>
      <c r="UIN11" s="111"/>
      <c r="UIO11" s="111"/>
      <c r="UIP11" s="111"/>
      <c r="UIQ11" s="111"/>
      <c r="UIR11" s="111"/>
      <c r="UIS11" s="111"/>
      <c r="UIT11" s="111"/>
      <c r="UIU11" s="111"/>
      <c r="UIV11" s="111"/>
      <c r="UIW11" s="111"/>
      <c r="UIX11" s="111"/>
      <c r="UIY11" s="111"/>
      <c r="UIZ11" s="111"/>
      <c r="UJA11" s="111"/>
      <c r="UJB11" s="111"/>
      <c r="UJC11" s="111"/>
      <c r="UJD11" s="111"/>
      <c r="UJE11" s="111"/>
      <c r="UJF11" s="111"/>
      <c r="UJG11" s="111"/>
      <c r="UJH11" s="111"/>
      <c r="UJI11" s="111"/>
      <c r="UJJ11" s="111"/>
      <c r="UJK11" s="111"/>
      <c r="UJL11" s="111"/>
      <c r="UJM11" s="111"/>
      <c r="UJN11" s="111"/>
      <c r="UJO11" s="111"/>
      <c r="UJP11" s="111"/>
      <c r="UJQ11" s="111"/>
      <c r="UJR11" s="111"/>
      <c r="UJS11" s="111"/>
      <c r="UJT11" s="111"/>
      <c r="UJU11" s="111"/>
      <c r="UJV11" s="111"/>
      <c r="UJW11" s="111"/>
      <c r="UJX11" s="111"/>
      <c r="UJY11" s="111"/>
      <c r="UJZ11" s="111"/>
      <c r="UKA11" s="111"/>
      <c r="UKB11" s="111"/>
      <c r="UKC11" s="111"/>
      <c r="UKD11" s="111"/>
      <c r="UKE11" s="111"/>
      <c r="UKF11" s="111"/>
      <c r="UKG11" s="111"/>
      <c r="UKH11" s="111"/>
      <c r="UKI11" s="111"/>
      <c r="UKJ11" s="111"/>
      <c r="UKK11" s="111"/>
      <c r="UKL11" s="111"/>
      <c r="UKM11" s="111"/>
      <c r="UKN11" s="111"/>
      <c r="UKO11" s="111"/>
      <c r="UKP11" s="111"/>
      <c r="UKQ11" s="111"/>
      <c r="UKR11" s="111"/>
      <c r="UKS11" s="111"/>
      <c r="UKT11" s="111"/>
      <c r="UKU11" s="111"/>
      <c r="UKV11" s="111"/>
      <c r="UKW11" s="111"/>
      <c r="UKX11" s="111"/>
      <c r="UKY11" s="111"/>
      <c r="UKZ11" s="111"/>
      <c r="ULA11" s="111"/>
      <c r="ULB11" s="111"/>
      <c r="ULC11" s="111"/>
      <c r="ULD11" s="111"/>
      <c r="ULE11" s="111"/>
      <c r="ULF11" s="111"/>
      <c r="ULG11" s="111"/>
      <c r="ULH11" s="111"/>
      <c r="ULI11" s="111"/>
      <c r="ULJ11" s="111"/>
      <c r="ULK11" s="111"/>
      <c r="ULL11" s="111"/>
      <c r="ULM11" s="111"/>
      <c r="ULN11" s="111"/>
      <c r="ULO11" s="111"/>
      <c r="ULP11" s="111"/>
      <c r="ULQ11" s="111"/>
      <c r="ULR11" s="111"/>
      <c r="ULS11" s="111"/>
      <c r="ULT11" s="111"/>
      <c r="ULU11" s="111"/>
      <c r="ULV11" s="111"/>
      <c r="ULW11" s="111"/>
      <c r="ULX11" s="111"/>
      <c r="ULY11" s="111"/>
      <c r="ULZ11" s="111"/>
      <c r="UMA11" s="111"/>
      <c r="UMB11" s="111"/>
      <c r="UMC11" s="111"/>
      <c r="UMD11" s="111"/>
      <c r="UME11" s="111"/>
      <c r="UMF11" s="111"/>
      <c r="UMG11" s="111"/>
      <c r="UMH11" s="111"/>
      <c r="UMI11" s="111"/>
      <c r="UMJ11" s="111"/>
      <c r="UMK11" s="111"/>
      <c r="UML11" s="111"/>
      <c r="UMM11" s="111"/>
      <c r="UMN11" s="111"/>
      <c r="UMO11" s="111"/>
      <c r="UMP11" s="111"/>
      <c r="UMQ11" s="111"/>
      <c r="UMR11" s="111"/>
      <c r="UMS11" s="111"/>
      <c r="UMT11" s="111"/>
      <c r="UMU11" s="111"/>
      <c r="UMV11" s="111"/>
      <c r="UMW11" s="111"/>
      <c r="UMX11" s="111"/>
      <c r="UMY11" s="111"/>
      <c r="UMZ11" s="111"/>
      <c r="UNA11" s="111"/>
      <c r="UNB11" s="111"/>
      <c r="UNC11" s="111"/>
      <c r="UND11" s="111"/>
      <c r="UNE11" s="111"/>
      <c r="UNF11" s="111"/>
      <c r="UNG11" s="111"/>
      <c r="UNH11" s="111"/>
      <c r="UNI11" s="111"/>
      <c r="UNJ11" s="111"/>
      <c r="UNK11" s="111"/>
      <c r="UNL11" s="111"/>
      <c r="UNM11" s="111"/>
      <c r="UNN11" s="111"/>
      <c r="UNO11" s="111"/>
      <c r="UNP11" s="111"/>
      <c r="UNQ11" s="111"/>
      <c r="UNR11" s="111"/>
      <c r="UNS11" s="111"/>
      <c r="UNT11" s="111"/>
      <c r="UNU11" s="111"/>
      <c r="UNV11" s="111"/>
      <c r="UNW11" s="111"/>
      <c r="UNX11" s="111"/>
      <c r="UNY11" s="111"/>
      <c r="UNZ11" s="111"/>
      <c r="UOA11" s="111"/>
      <c r="UOB11" s="111"/>
      <c r="UOC11" s="111"/>
      <c r="UOD11" s="111"/>
      <c r="UOE11" s="111"/>
      <c r="UOF11" s="111"/>
      <c r="UOG11" s="111"/>
      <c r="UOH11" s="111"/>
      <c r="UOI11" s="111"/>
      <c r="UOJ11" s="111"/>
      <c r="UOK11" s="111"/>
      <c r="UOL11" s="111"/>
      <c r="UOM11" s="111"/>
      <c r="UON11" s="111"/>
      <c r="UOO11" s="111"/>
      <c r="UOP11" s="111"/>
      <c r="UOQ11" s="111"/>
      <c r="UOR11" s="111"/>
      <c r="UOS11" s="111"/>
      <c r="UOT11" s="111"/>
      <c r="UOU11" s="111"/>
      <c r="UOV11" s="111"/>
      <c r="UOW11" s="111"/>
      <c r="UOX11" s="111"/>
      <c r="UOY11" s="111"/>
      <c r="UOZ11" s="111"/>
      <c r="UPA11" s="111"/>
      <c r="UPB11" s="111"/>
      <c r="UPC11" s="111"/>
      <c r="UPD11" s="111"/>
      <c r="UPE11" s="111"/>
      <c r="UPF11" s="111"/>
      <c r="UPG11" s="111"/>
      <c r="UPH11" s="111"/>
      <c r="UPI11" s="111"/>
      <c r="UPJ11" s="111"/>
      <c r="UPK11" s="111"/>
      <c r="UPL11" s="111"/>
      <c r="UPM11" s="111"/>
      <c r="UPN11" s="111"/>
      <c r="UPO11" s="111"/>
      <c r="UPP11" s="111"/>
      <c r="UPQ11" s="111"/>
      <c r="UPR11" s="111"/>
      <c r="UPS11" s="111"/>
      <c r="UPT11" s="111"/>
      <c r="UPU11" s="111"/>
      <c r="UPV11" s="111"/>
      <c r="UPW11" s="111"/>
      <c r="UPX11" s="111"/>
      <c r="UPY11" s="111"/>
      <c r="UPZ11" s="111"/>
      <c r="UQA11" s="111"/>
      <c r="UQB11" s="111"/>
      <c r="UQC11" s="111"/>
      <c r="UQD11" s="111"/>
      <c r="UQE11" s="111"/>
      <c r="UQF11" s="111"/>
      <c r="UQG11" s="111"/>
      <c r="UQH11" s="111"/>
      <c r="UQI11" s="111"/>
      <c r="UQJ11" s="111"/>
      <c r="UQK11" s="111"/>
      <c r="UQL11" s="111"/>
      <c r="UQM11" s="111"/>
      <c r="UQN11" s="111"/>
      <c r="UQO11" s="111"/>
      <c r="UQP11" s="111"/>
      <c r="UQQ11" s="111"/>
      <c r="UQR11" s="111"/>
      <c r="UQS11" s="111"/>
      <c r="UQT11" s="111"/>
      <c r="UQU11" s="111"/>
      <c r="UQV11" s="111"/>
      <c r="UQW11" s="111"/>
      <c r="UQX11" s="111"/>
      <c r="UQY11" s="111"/>
      <c r="UQZ11" s="111"/>
      <c r="URA11" s="111"/>
      <c r="URB11" s="111"/>
      <c r="URC11" s="111"/>
      <c r="URD11" s="111"/>
      <c r="URE11" s="111"/>
      <c r="URF11" s="111"/>
      <c r="URG11" s="111"/>
      <c r="URH11" s="111"/>
      <c r="URI11" s="111"/>
      <c r="URJ11" s="111"/>
      <c r="URK11" s="111"/>
      <c r="URL11" s="111"/>
      <c r="URM11" s="111"/>
      <c r="URN11" s="111"/>
      <c r="URO11" s="111"/>
      <c r="URP11" s="111"/>
      <c r="URQ11" s="111"/>
      <c r="URR11" s="111"/>
      <c r="URS11" s="111"/>
      <c r="URT11" s="111"/>
      <c r="URU11" s="111"/>
      <c r="URV11" s="111"/>
      <c r="URW11" s="111"/>
      <c r="URX11" s="111"/>
      <c r="URY11" s="111"/>
      <c r="URZ11" s="111"/>
      <c r="USA11" s="111"/>
      <c r="USB11" s="111"/>
      <c r="USC11" s="111"/>
      <c r="USD11" s="111"/>
      <c r="USE11" s="111"/>
      <c r="USF11" s="111"/>
      <c r="USG11" s="111"/>
      <c r="USH11" s="111"/>
      <c r="USI11" s="111"/>
      <c r="USJ11" s="111"/>
      <c r="USK11" s="111"/>
      <c r="USL11" s="111"/>
      <c r="USM11" s="111"/>
      <c r="USN11" s="111"/>
      <c r="USO11" s="111"/>
      <c r="USP11" s="111"/>
      <c r="USQ11" s="111"/>
      <c r="USR11" s="111"/>
      <c r="USS11" s="111"/>
      <c r="UST11" s="111"/>
      <c r="USU11" s="111"/>
      <c r="USV11" s="111"/>
      <c r="USW11" s="111"/>
      <c r="USX11" s="111"/>
      <c r="USY11" s="111"/>
      <c r="USZ11" s="111"/>
      <c r="UTA11" s="111"/>
      <c r="UTB11" s="111"/>
      <c r="UTC11" s="111"/>
      <c r="UTD11" s="111"/>
      <c r="UTE11" s="111"/>
      <c r="UTF11" s="111"/>
      <c r="UTG11" s="111"/>
      <c r="UTH11" s="111"/>
      <c r="UTI11" s="111"/>
      <c r="UTJ11" s="111"/>
      <c r="UTK11" s="111"/>
      <c r="UTL11" s="111"/>
      <c r="UTM11" s="111"/>
      <c r="UTN11" s="111"/>
      <c r="UTO11" s="111"/>
      <c r="UTP11" s="111"/>
      <c r="UTQ11" s="111"/>
      <c r="UTR11" s="111"/>
      <c r="UTS11" s="111"/>
      <c r="UTT11" s="111"/>
      <c r="UTU11" s="111"/>
      <c r="UTV11" s="111"/>
      <c r="UTW11" s="111"/>
      <c r="UTX11" s="111"/>
      <c r="UTY11" s="111"/>
      <c r="UTZ11" s="111"/>
      <c r="UUA11" s="111"/>
      <c r="UUB11" s="111"/>
      <c r="UUC11" s="111"/>
      <c r="UUD11" s="111"/>
      <c r="UUE11" s="111"/>
      <c r="UUF11" s="111"/>
      <c r="UUG11" s="111"/>
      <c r="UUH11" s="111"/>
      <c r="UUI11" s="111"/>
      <c r="UUJ11" s="111"/>
      <c r="UUK11" s="111"/>
      <c r="UUL11" s="111"/>
      <c r="UUM11" s="111"/>
      <c r="UUN11" s="111"/>
      <c r="UUO11" s="111"/>
      <c r="UUP11" s="111"/>
      <c r="UUQ11" s="111"/>
      <c r="UUR11" s="111"/>
      <c r="UUS11" s="111"/>
      <c r="UUT11" s="111"/>
      <c r="UUU11" s="111"/>
      <c r="UUV11" s="111"/>
      <c r="UUW11" s="111"/>
      <c r="UUX11" s="111"/>
      <c r="UUY11" s="111"/>
      <c r="UUZ11" s="111"/>
      <c r="UVA11" s="111"/>
      <c r="UVB11" s="111"/>
      <c r="UVC11" s="111"/>
      <c r="UVD11" s="111"/>
      <c r="UVE11" s="111"/>
      <c r="UVF11" s="111"/>
      <c r="UVG11" s="111"/>
      <c r="UVH11" s="111"/>
      <c r="UVI11" s="111"/>
      <c r="UVJ11" s="111"/>
      <c r="UVK11" s="111"/>
      <c r="UVL11" s="111"/>
      <c r="UVM11" s="111"/>
      <c r="UVN11" s="111"/>
      <c r="UVO11" s="111"/>
      <c r="UVP11" s="111"/>
      <c r="UVQ11" s="111"/>
      <c r="UVR11" s="111"/>
      <c r="UVS11" s="111"/>
      <c r="UVT11" s="111"/>
      <c r="UVU11" s="111"/>
      <c r="UVV11" s="111"/>
      <c r="UVW11" s="111"/>
      <c r="UVX11" s="111"/>
      <c r="UVY11" s="111"/>
      <c r="UVZ11" s="111"/>
      <c r="UWA11" s="111"/>
      <c r="UWB11" s="111"/>
      <c r="UWC11" s="111"/>
      <c r="UWD11" s="111"/>
      <c r="UWE11" s="111"/>
      <c r="UWF11" s="111"/>
      <c r="UWG11" s="111"/>
      <c r="UWH11" s="111"/>
      <c r="UWI11" s="111"/>
      <c r="UWJ11" s="111"/>
      <c r="UWK11" s="111"/>
      <c r="UWL11" s="111"/>
      <c r="UWM11" s="111"/>
      <c r="UWN11" s="111"/>
      <c r="UWO11" s="111"/>
      <c r="UWP11" s="111"/>
      <c r="UWQ11" s="111"/>
      <c r="UWR11" s="111"/>
      <c r="UWS11" s="111"/>
      <c r="UWT11" s="111"/>
      <c r="UWU11" s="111"/>
      <c r="UWV11" s="111"/>
      <c r="UWW11" s="111"/>
      <c r="UWX11" s="111"/>
      <c r="UWY11" s="111"/>
      <c r="UWZ11" s="111"/>
      <c r="UXA11" s="111"/>
      <c r="UXB11" s="111"/>
      <c r="UXC11" s="111"/>
      <c r="UXD11" s="111"/>
      <c r="UXE11" s="111"/>
      <c r="UXF11" s="111"/>
      <c r="UXG11" s="111"/>
      <c r="UXH11" s="111"/>
      <c r="UXI11" s="111"/>
      <c r="UXJ11" s="111"/>
      <c r="UXK11" s="111"/>
      <c r="UXL11" s="111"/>
      <c r="UXM11" s="111"/>
      <c r="UXN11" s="111"/>
      <c r="UXO11" s="111"/>
      <c r="UXP11" s="111"/>
      <c r="UXQ11" s="111"/>
      <c r="UXR11" s="111"/>
      <c r="UXS11" s="111"/>
      <c r="UXT11" s="111"/>
      <c r="UXU11" s="111"/>
      <c r="UXV11" s="111"/>
      <c r="UXW11" s="111"/>
      <c r="UXX11" s="111"/>
      <c r="UXY11" s="111"/>
      <c r="UXZ11" s="111"/>
      <c r="UYA11" s="111"/>
      <c r="UYB11" s="111"/>
      <c r="UYC11" s="111"/>
      <c r="UYD11" s="111"/>
      <c r="UYE11" s="111"/>
      <c r="UYF11" s="111"/>
      <c r="UYG11" s="111"/>
      <c r="UYH11" s="111"/>
      <c r="UYI11" s="111"/>
      <c r="UYJ11" s="111"/>
      <c r="UYK11" s="111"/>
      <c r="UYL11" s="111"/>
      <c r="UYM11" s="111"/>
      <c r="UYN11" s="111"/>
      <c r="UYO11" s="111"/>
      <c r="UYP11" s="111"/>
      <c r="UYQ11" s="111"/>
      <c r="UYR11" s="111"/>
      <c r="UYS11" s="111"/>
      <c r="UYT11" s="111"/>
      <c r="UYU11" s="111"/>
      <c r="UYV11" s="111"/>
      <c r="UYW11" s="111"/>
      <c r="UYX11" s="111"/>
      <c r="UYY11" s="111"/>
      <c r="UYZ11" s="111"/>
      <c r="UZA11" s="111"/>
      <c r="UZB11" s="111"/>
      <c r="UZC11" s="111"/>
      <c r="UZD11" s="111"/>
      <c r="UZE11" s="111"/>
      <c r="UZF11" s="111"/>
      <c r="UZG11" s="111"/>
      <c r="UZH11" s="111"/>
      <c r="UZI11" s="111"/>
      <c r="UZJ11" s="111"/>
      <c r="UZK11" s="111"/>
      <c r="UZL11" s="111"/>
      <c r="UZM11" s="111"/>
      <c r="UZN11" s="111"/>
      <c r="UZO11" s="111"/>
      <c r="UZP11" s="111"/>
      <c r="UZQ11" s="111"/>
      <c r="UZR11" s="111"/>
      <c r="UZS11" s="111"/>
      <c r="UZT11" s="111"/>
      <c r="UZU11" s="111"/>
      <c r="UZV11" s="111"/>
      <c r="UZW11" s="111"/>
      <c r="UZX11" s="111"/>
      <c r="UZY11" s="111"/>
      <c r="UZZ11" s="111"/>
      <c r="VAA11" s="111"/>
      <c r="VAB11" s="111"/>
      <c r="VAC11" s="111"/>
      <c r="VAD11" s="111"/>
      <c r="VAE11" s="111"/>
      <c r="VAF11" s="111"/>
      <c r="VAG11" s="111"/>
      <c r="VAH11" s="111"/>
      <c r="VAI11" s="111"/>
      <c r="VAJ11" s="111"/>
      <c r="VAK11" s="111"/>
      <c r="VAL11" s="111"/>
      <c r="VAM11" s="111"/>
      <c r="VAN11" s="111"/>
      <c r="VAO11" s="111"/>
      <c r="VAP11" s="111"/>
      <c r="VAQ11" s="111"/>
      <c r="VAR11" s="111"/>
      <c r="VAS11" s="111"/>
      <c r="VAT11" s="111"/>
      <c r="VAU11" s="111"/>
      <c r="VAV11" s="111"/>
      <c r="VAW11" s="111"/>
      <c r="VAX11" s="111"/>
      <c r="VAY11" s="111"/>
      <c r="VAZ11" s="111"/>
      <c r="VBA11" s="111"/>
      <c r="VBB11" s="111"/>
      <c r="VBC11" s="111"/>
      <c r="VBD11" s="111"/>
      <c r="VBE11" s="111"/>
      <c r="VBF11" s="111"/>
      <c r="VBG11" s="111"/>
      <c r="VBH11" s="111"/>
      <c r="VBI11" s="111"/>
      <c r="VBJ11" s="111"/>
      <c r="VBK11" s="111"/>
      <c r="VBL11" s="111"/>
      <c r="VBM11" s="111"/>
      <c r="VBN11" s="111"/>
      <c r="VBO11" s="111"/>
      <c r="VBP11" s="111"/>
      <c r="VBQ11" s="111"/>
      <c r="VBR11" s="111"/>
      <c r="VBS11" s="111"/>
      <c r="VBT11" s="111"/>
      <c r="VBU11" s="111"/>
      <c r="VBV11" s="111"/>
      <c r="VBW11" s="111"/>
      <c r="VBX11" s="111"/>
      <c r="VBY11" s="111"/>
      <c r="VBZ11" s="111"/>
      <c r="VCA11" s="111"/>
      <c r="VCB11" s="111"/>
      <c r="VCC11" s="111"/>
      <c r="VCD11" s="111"/>
      <c r="VCE11" s="111"/>
      <c r="VCF11" s="111"/>
      <c r="VCG11" s="111"/>
      <c r="VCH11" s="111"/>
      <c r="VCI11" s="111"/>
      <c r="VCJ11" s="111"/>
      <c r="VCK11" s="111"/>
      <c r="VCL11" s="111"/>
      <c r="VCM11" s="111"/>
      <c r="VCN11" s="111"/>
      <c r="VCO11" s="111"/>
      <c r="VCP11" s="111"/>
      <c r="VCQ11" s="111"/>
      <c r="VCR11" s="111"/>
      <c r="VCS11" s="111"/>
      <c r="VCT11" s="111"/>
      <c r="VCU11" s="111"/>
      <c r="VCV11" s="111"/>
      <c r="VCW11" s="111"/>
      <c r="VCX11" s="111"/>
      <c r="VCY11" s="111"/>
      <c r="VCZ11" s="111"/>
      <c r="VDA11" s="111"/>
      <c r="VDB11" s="111"/>
      <c r="VDC11" s="111"/>
      <c r="VDD11" s="111"/>
      <c r="VDE11" s="111"/>
      <c r="VDF11" s="111"/>
      <c r="VDG11" s="111"/>
      <c r="VDH11" s="111"/>
      <c r="VDI11" s="111"/>
      <c r="VDJ11" s="111"/>
      <c r="VDK11" s="111"/>
      <c r="VDL11" s="111"/>
      <c r="VDM11" s="111"/>
      <c r="VDN11" s="111"/>
      <c r="VDO11" s="111"/>
      <c r="VDP11" s="111"/>
      <c r="VDQ11" s="111"/>
      <c r="VDR11" s="111"/>
      <c r="VDS11" s="111"/>
      <c r="VDT11" s="111"/>
      <c r="VDU11" s="111"/>
      <c r="VDV11" s="111"/>
      <c r="VDW11" s="111"/>
      <c r="VDX11" s="111"/>
      <c r="VDY11" s="111"/>
      <c r="VDZ11" s="111"/>
      <c r="VEA11" s="111"/>
      <c r="VEB11" s="111"/>
      <c r="VEC11" s="111"/>
      <c r="VED11" s="111"/>
      <c r="VEE11" s="111"/>
      <c r="VEF11" s="111"/>
      <c r="VEG11" s="111"/>
      <c r="VEH11" s="111"/>
      <c r="VEI11" s="111"/>
      <c r="VEJ11" s="111"/>
      <c r="VEK11" s="111"/>
      <c r="VEL11" s="111"/>
      <c r="VEM11" s="111"/>
      <c r="VEN11" s="111"/>
      <c r="VEO11" s="111"/>
      <c r="VEP11" s="111"/>
      <c r="VEQ11" s="111"/>
      <c r="VER11" s="111"/>
      <c r="VES11" s="111"/>
      <c r="VET11" s="111"/>
      <c r="VEU11" s="111"/>
      <c r="VEV11" s="111"/>
      <c r="VEW11" s="111"/>
      <c r="VEX11" s="111"/>
      <c r="VEY11" s="111"/>
      <c r="VEZ11" s="111"/>
      <c r="VFA11" s="111"/>
      <c r="VFB11" s="111"/>
      <c r="VFC11" s="111"/>
      <c r="VFD11" s="111"/>
      <c r="VFE11" s="111"/>
      <c r="VFF11" s="111"/>
      <c r="VFG11" s="111"/>
      <c r="VFH11" s="111"/>
      <c r="VFI11" s="111"/>
      <c r="VFJ11" s="111"/>
      <c r="VFK11" s="111"/>
      <c r="VFL11" s="111"/>
      <c r="VFM11" s="111"/>
      <c r="VFN11" s="111"/>
      <c r="VFO11" s="111"/>
      <c r="VFP11" s="111"/>
      <c r="VFQ11" s="111"/>
      <c r="VFR11" s="111"/>
      <c r="VFS11" s="111"/>
      <c r="VFT11" s="111"/>
      <c r="VFU11" s="111"/>
      <c r="VFV11" s="111"/>
      <c r="VFW11" s="111"/>
      <c r="VFX11" s="111"/>
      <c r="VFY11" s="111"/>
      <c r="VFZ11" s="111"/>
      <c r="VGA11" s="111"/>
      <c r="VGB11" s="111"/>
      <c r="VGC11" s="111"/>
      <c r="VGD11" s="111"/>
      <c r="VGE11" s="111"/>
      <c r="VGF11" s="111"/>
      <c r="VGG11" s="111"/>
      <c r="VGH11" s="111"/>
      <c r="VGI11" s="111"/>
      <c r="VGJ11" s="111"/>
      <c r="VGK11" s="111"/>
      <c r="VGL11" s="111"/>
      <c r="VGM11" s="111"/>
      <c r="VGN11" s="111"/>
      <c r="VGO11" s="111"/>
      <c r="VGP11" s="111"/>
      <c r="VGQ11" s="111"/>
      <c r="VGR11" s="111"/>
      <c r="VGS11" s="111"/>
      <c r="VGT11" s="111"/>
      <c r="VGU11" s="111"/>
      <c r="VGV11" s="111"/>
      <c r="VGW11" s="111"/>
      <c r="VGX11" s="111"/>
      <c r="VGY11" s="111"/>
      <c r="VGZ11" s="111"/>
      <c r="VHA11" s="111"/>
      <c r="VHB11" s="111"/>
      <c r="VHC11" s="111"/>
      <c r="VHD11" s="111"/>
      <c r="VHE11" s="111"/>
      <c r="VHF11" s="111"/>
      <c r="VHG11" s="111"/>
      <c r="VHH11" s="111"/>
      <c r="VHI11" s="111"/>
      <c r="VHJ11" s="111"/>
      <c r="VHK11" s="111"/>
      <c r="VHL11" s="111"/>
      <c r="VHM11" s="111"/>
      <c r="VHN11" s="111"/>
      <c r="VHO11" s="111"/>
      <c r="VHP11" s="111"/>
      <c r="VHQ11" s="111"/>
      <c r="VHR11" s="111"/>
      <c r="VHS11" s="111"/>
      <c r="VHT11" s="111"/>
      <c r="VHU11" s="111"/>
      <c r="VHV11" s="111"/>
      <c r="VHW11" s="111"/>
      <c r="VHX11" s="111"/>
      <c r="VHY11" s="111"/>
      <c r="VHZ11" s="111"/>
      <c r="VIA11" s="111"/>
      <c r="VIB11" s="111"/>
      <c r="VIC11" s="111"/>
      <c r="VID11" s="111"/>
      <c r="VIE11" s="111"/>
      <c r="VIF11" s="111"/>
      <c r="VIG11" s="111"/>
      <c r="VIH11" s="111"/>
      <c r="VII11" s="111"/>
      <c r="VIJ11" s="111"/>
      <c r="VIK11" s="111"/>
      <c r="VIL11" s="111"/>
      <c r="VIM11" s="111"/>
      <c r="VIN11" s="111"/>
      <c r="VIO11" s="111"/>
      <c r="VIP11" s="111"/>
      <c r="VIQ11" s="111"/>
      <c r="VIR11" s="111"/>
      <c r="VIS11" s="111"/>
      <c r="VIT11" s="111"/>
      <c r="VIU11" s="111"/>
      <c r="VIV11" s="111"/>
      <c r="VIW11" s="111"/>
      <c r="VIX11" s="111"/>
      <c r="VIY11" s="111"/>
      <c r="VIZ11" s="111"/>
      <c r="VJA11" s="111"/>
      <c r="VJB11" s="111"/>
      <c r="VJC11" s="111"/>
      <c r="VJD11" s="111"/>
      <c r="VJE11" s="111"/>
      <c r="VJF11" s="111"/>
      <c r="VJG11" s="111"/>
      <c r="VJH11" s="111"/>
      <c r="VJI11" s="111"/>
      <c r="VJJ11" s="111"/>
      <c r="VJK11" s="111"/>
      <c r="VJL11" s="111"/>
      <c r="VJM11" s="111"/>
      <c r="VJN11" s="111"/>
      <c r="VJO11" s="111"/>
      <c r="VJP11" s="111"/>
      <c r="VJQ11" s="111"/>
      <c r="VJR11" s="111"/>
      <c r="VJS11" s="111"/>
      <c r="VJT11" s="111"/>
      <c r="VJU11" s="111"/>
      <c r="VJV11" s="111"/>
      <c r="VJW11" s="111"/>
      <c r="VJX11" s="111"/>
      <c r="VJY11" s="111"/>
      <c r="VJZ11" s="111"/>
      <c r="VKA11" s="111"/>
      <c r="VKB11" s="111"/>
      <c r="VKC11" s="111"/>
      <c r="VKD11" s="111"/>
      <c r="VKE11" s="111"/>
      <c r="VKF11" s="111"/>
      <c r="VKG11" s="111"/>
      <c r="VKH11" s="111"/>
      <c r="VKI11" s="111"/>
      <c r="VKJ11" s="111"/>
      <c r="VKK11" s="111"/>
      <c r="VKL11" s="111"/>
      <c r="VKM11" s="111"/>
      <c r="VKN11" s="111"/>
      <c r="VKO11" s="111"/>
      <c r="VKP11" s="111"/>
      <c r="VKQ11" s="111"/>
      <c r="VKR11" s="111"/>
      <c r="VKS11" s="111"/>
      <c r="VKT11" s="111"/>
      <c r="VKU11" s="111"/>
      <c r="VKV11" s="111"/>
      <c r="VKW11" s="111"/>
      <c r="VKX11" s="111"/>
      <c r="VKY11" s="111"/>
      <c r="VKZ11" s="111"/>
      <c r="VLA11" s="111"/>
      <c r="VLB11" s="111"/>
      <c r="VLC11" s="111"/>
      <c r="VLD11" s="111"/>
      <c r="VLE11" s="111"/>
      <c r="VLF11" s="111"/>
      <c r="VLG11" s="111"/>
      <c r="VLH11" s="111"/>
      <c r="VLI11" s="111"/>
      <c r="VLJ11" s="111"/>
      <c r="VLK11" s="111"/>
      <c r="VLL11" s="111"/>
      <c r="VLM11" s="111"/>
      <c r="VLN11" s="111"/>
      <c r="VLO11" s="111"/>
      <c r="VLP11" s="111"/>
      <c r="VLQ11" s="111"/>
      <c r="VLR11" s="111"/>
      <c r="VLS11" s="111"/>
      <c r="VLT11" s="111"/>
      <c r="VLU11" s="111"/>
      <c r="VLV11" s="111"/>
      <c r="VLW11" s="111"/>
      <c r="VLX11" s="111"/>
      <c r="VLY11" s="111"/>
      <c r="VLZ11" s="111"/>
      <c r="VMA11" s="111"/>
      <c r="VMB11" s="111"/>
      <c r="VMC11" s="111"/>
      <c r="VMD11" s="111"/>
      <c r="VME11" s="111"/>
      <c r="VMF11" s="111"/>
      <c r="VMG11" s="111"/>
      <c r="VMH11" s="111"/>
      <c r="VMI11" s="111"/>
      <c r="VMJ11" s="111"/>
      <c r="VMK11" s="111"/>
      <c r="VML11" s="111"/>
      <c r="VMM11" s="111"/>
      <c r="VMN11" s="111"/>
      <c r="VMO11" s="111"/>
      <c r="VMP11" s="111"/>
      <c r="VMQ11" s="111"/>
      <c r="VMR11" s="111"/>
      <c r="VMS11" s="111"/>
      <c r="VMT11" s="111"/>
      <c r="VMU11" s="111"/>
      <c r="VMV11" s="111"/>
      <c r="VMW11" s="111"/>
      <c r="VMX11" s="111"/>
      <c r="VMY11" s="111"/>
      <c r="VMZ11" s="111"/>
      <c r="VNA11" s="111"/>
      <c r="VNB11" s="111"/>
      <c r="VNC11" s="111"/>
      <c r="VND11" s="111"/>
      <c r="VNE11" s="111"/>
      <c r="VNF11" s="111"/>
      <c r="VNG11" s="111"/>
      <c r="VNH11" s="111"/>
      <c r="VNI11" s="111"/>
      <c r="VNJ11" s="111"/>
      <c r="VNK11" s="111"/>
      <c r="VNL11" s="111"/>
      <c r="VNM11" s="111"/>
      <c r="VNN11" s="111"/>
      <c r="VNO11" s="111"/>
      <c r="VNP11" s="111"/>
      <c r="VNQ11" s="111"/>
      <c r="VNR11" s="111"/>
      <c r="VNS11" s="111"/>
      <c r="VNT11" s="111"/>
      <c r="VNU11" s="111"/>
      <c r="VNV11" s="111"/>
      <c r="VNW11" s="111"/>
      <c r="VNX11" s="111"/>
      <c r="VNY11" s="111"/>
      <c r="VNZ11" s="111"/>
      <c r="VOA11" s="111"/>
      <c r="VOB11" s="111"/>
      <c r="VOC11" s="111"/>
      <c r="VOD11" s="111"/>
      <c r="VOE11" s="111"/>
      <c r="VOF11" s="111"/>
      <c r="VOG11" s="111"/>
      <c r="VOH11" s="111"/>
      <c r="VOI11" s="111"/>
      <c r="VOJ11" s="111"/>
      <c r="VOK11" s="111"/>
      <c r="VOL11" s="111"/>
      <c r="VOM11" s="111"/>
      <c r="VON11" s="111"/>
      <c r="VOO11" s="111"/>
      <c r="VOP11" s="111"/>
      <c r="VOQ11" s="111"/>
      <c r="VOR11" s="111"/>
      <c r="VOS11" s="111"/>
      <c r="VOT11" s="111"/>
      <c r="VOU11" s="111"/>
      <c r="VOV11" s="111"/>
      <c r="VOW11" s="111"/>
      <c r="VOX11" s="111"/>
      <c r="VOY11" s="111"/>
      <c r="VOZ11" s="111"/>
      <c r="VPA11" s="111"/>
      <c r="VPB11" s="111"/>
      <c r="VPC11" s="111"/>
      <c r="VPD11" s="111"/>
      <c r="VPE11" s="111"/>
      <c r="VPF11" s="111"/>
      <c r="VPG11" s="111"/>
      <c r="VPH11" s="111"/>
      <c r="VPI11" s="111"/>
      <c r="VPJ11" s="111"/>
      <c r="VPK11" s="111"/>
      <c r="VPL11" s="111"/>
      <c r="VPM11" s="111"/>
      <c r="VPN11" s="111"/>
      <c r="VPO11" s="111"/>
      <c r="VPP11" s="111"/>
      <c r="VPQ11" s="111"/>
      <c r="VPR11" s="111"/>
      <c r="VPS11" s="111"/>
      <c r="VPT11" s="111"/>
      <c r="VPU11" s="111"/>
      <c r="VPV11" s="111"/>
      <c r="VPW11" s="111"/>
      <c r="VPX11" s="111"/>
      <c r="VPY11" s="111"/>
      <c r="VPZ11" s="111"/>
      <c r="VQA11" s="111"/>
      <c r="VQB11" s="111"/>
      <c r="VQC11" s="111"/>
      <c r="VQD11" s="111"/>
      <c r="VQE11" s="111"/>
      <c r="VQF11" s="111"/>
      <c r="VQG11" s="111"/>
      <c r="VQH11" s="111"/>
      <c r="VQI11" s="111"/>
      <c r="VQJ11" s="111"/>
      <c r="VQK11" s="111"/>
      <c r="VQL11" s="111"/>
      <c r="VQM11" s="111"/>
      <c r="VQN11" s="111"/>
      <c r="VQO11" s="111"/>
      <c r="VQP11" s="111"/>
      <c r="VQQ11" s="111"/>
      <c r="VQR11" s="111"/>
      <c r="VQS11" s="111"/>
      <c r="VQT11" s="111"/>
      <c r="VQU11" s="111"/>
      <c r="VQV11" s="111"/>
      <c r="VQW11" s="111"/>
      <c r="VQX11" s="111"/>
      <c r="VQY11" s="111"/>
      <c r="VQZ11" s="111"/>
      <c r="VRA11" s="111"/>
      <c r="VRB11" s="111"/>
      <c r="VRC11" s="111"/>
      <c r="VRD11" s="111"/>
      <c r="VRE11" s="111"/>
      <c r="VRF11" s="111"/>
      <c r="VRG11" s="111"/>
      <c r="VRH11" s="111"/>
      <c r="VRI11" s="111"/>
      <c r="VRJ11" s="111"/>
      <c r="VRK11" s="111"/>
      <c r="VRL11" s="111"/>
      <c r="VRM11" s="111"/>
      <c r="VRN11" s="111"/>
      <c r="VRO11" s="111"/>
      <c r="VRP11" s="111"/>
      <c r="VRQ11" s="111"/>
      <c r="VRR11" s="111"/>
      <c r="VRS11" s="111"/>
      <c r="VRT11" s="111"/>
      <c r="VRU11" s="111"/>
      <c r="VRV11" s="111"/>
      <c r="VRW11" s="111"/>
      <c r="VRX11" s="111"/>
      <c r="VRY11" s="111"/>
      <c r="VRZ11" s="111"/>
      <c r="VSA11" s="111"/>
      <c r="VSB11" s="111"/>
      <c r="VSC11" s="111"/>
      <c r="VSD11" s="111"/>
      <c r="VSE11" s="111"/>
      <c r="VSF11" s="111"/>
      <c r="VSG11" s="111"/>
      <c r="VSH11" s="111"/>
      <c r="VSI11" s="111"/>
      <c r="VSJ11" s="111"/>
      <c r="VSK11" s="111"/>
      <c r="VSL11" s="111"/>
      <c r="VSM11" s="111"/>
      <c r="VSN11" s="111"/>
      <c r="VSO11" s="111"/>
      <c r="VSP11" s="111"/>
      <c r="VSQ11" s="111"/>
      <c r="VSR11" s="111"/>
      <c r="VSS11" s="111"/>
      <c r="VST11" s="111"/>
      <c r="VSU11" s="111"/>
      <c r="VSV11" s="111"/>
      <c r="VSW11" s="111"/>
      <c r="VSX11" s="111"/>
      <c r="VSY11" s="111"/>
      <c r="VSZ11" s="111"/>
      <c r="VTA11" s="111"/>
      <c r="VTB11" s="111"/>
      <c r="VTC11" s="111"/>
      <c r="VTD11" s="111"/>
      <c r="VTE11" s="111"/>
      <c r="VTF11" s="111"/>
      <c r="VTG11" s="111"/>
      <c r="VTH11" s="111"/>
      <c r="VTI11" s="111"/>
      <c r="VTJ11" s="111"/>
      <c r="VTK11" s="111"/>
      <c r="VTL11" s="111"/>
      <c r="VTM11" s="111"/>
      <c r="VTN11" s="111"/>
      <c r="VTO11" s="111"/>
      <c r="VTP11" s="111"/>
      <c r="VTQ11" s="111"/>
      <c r="VTR11" s="111"/>
      <c r="VTS11" s="111"/>
      <c r="VTT11" s="111"/>
      <c r="VTU11" s="111"/>
      <c r="VTV11" s="111"/>
      <c r="VTW11" s="111"/>
      <c r="VTX11" s="111"/>
      <c r="VTY11" s="111"/>
      <c r="VTZ11" s="111"/>
      <c r="VUA11" s="111"/>
      <c r="VUB11" s="111"/>
      <c r="VUC11" s="111"/>
      <c r="VUD11" s="111"/>
      <c r="VUE11" s="111"/>
      <c r="VUF11" s="111"/>
      <c r="VUG11" s="111"/>
      <c r="VUH11" s="111"/>
      <c r="VUI11" s="111"/>
      <c r="VUJ11" s="111"/>
      <c r="VUK11" s="111"/>
      <c r="VUL11" s="111"/>
      <c r="VUM11" s="111"/>
      <c r="VUN11" s="111"/>
      <c r="VUO11" s="111"/>
      <c r="VUP11" s="111"/>
      <c r="VUQ11" s="111"/>
      <c r="VUR11" s="111"/>
      <c r="VUS11" s="111"/>
      <c r="VUT11" s="111"/>
      <c r="VUU11" s="111"/>
      <c r="VUV11" s="111"/>
      <c r="VUW11" s="111"/>
      <c r="VUX11" s="111"/>
      <c r="VUY11" s="111"/>
      <c r="VUZ11" s="111"/>
      <c r="VVA11" s="111"/>
      <c r="VVB11" s="111"/>
      <c r="VVC11" s="111"/>
      <c r="VVD11" s="111"/>
      <c r="VVE11" s="111"/>
      <c r="VVF11" s="111"/>
      <c r="VVG11" s="111"/>
      <c r="VVH11" s="111"/>
      <c r="VVI11" s="111"/>
      <c r="VVJ11" s="111"/>
      <c r="VVK11" s="111"/>
      <c r="VVL11" s="111"/>
      <c r="VVM11" s="111"/>
      <c r="VVN11" s="111"/>
      <c r="VVO11" s="111"/>
      <c r="VVP11" s="111"/>
      <c r="VVQ11" s="111"/>
      <c r="VVR11" s="111"/>
      <c r="VVS11" s="111"/>
      <c r="VVT11" s="111"/>
      <c r="VVU11" s="111"/>
      <c r="VVV11" s="111"/>
      <c r="VVW11" s="111"/>
      <c r="VVX11" s="111"/>
      <c r="VVY11" s="111"/>
      <c r="VVZ11" s="111"/>
      <c r="VWA11" s="111"/>
      <c r="VWB11" s="111"/>
      <c r="VWC11" s="111"/>
      <c r="VWD11" s="111"/>
      <c r="VWE11" s="111"/>
      <c r="VWF11" s="111"/>
      <c r="VWG11" s="111"/>
      <c r="VWH11" s="111"/>
      <c r="VWI11" s="111"/>
      <c r="VWJ11" s="111"/>
      <c r="VWK11" s="111"/>
      <c r="VWL11" s="111"/>
      <c r="VWM11" s="111"/>
      <c r="VWN11" s="111"/>
      <c r="VWO11" s="111"/>
      <c r="VWP11" s="111"/>
      <c r="VWQ11" s="111"/>
      <c r="VWR11" s="111"/>
      <c r="VWS11" s="111"/>
      <c r="VWT11" s="111"/>
      <c r="VWU11" s="111"/>
      <c r="VWV11" s="111"/>
      <c r="VWW11" s="111"/>
      <c r="VWX11" s="111"/>
      <c r="VWY11" s="111"/>
      <c r="VWZ11" s="111"/>
      <c r="VXA11" s="111"/>
      <c r="VXB11" s="111"/>
      <c r="VXC11" s="111"/>
      <c r="VXD11" s="111"/>
      <c r="VXE11" s="111"/>
      <c r="VXF11" s="111"/>
      <c r="VXG11" s="111"/>
      <c r="VXH11" s="111"/>
      <c r="VXI11" s="111"/>
      <c r="VXJ11" s="111"/>
      <c r="VXK11" s="111"/>
      <c r="VXL11" s="111"/>
      <c r="VXM11" s="111"/>
      <c r="VXN11" s="111"/>
      <c r="VXO11" s="111"/>
      <c r="VXP11" s="111"/>
      <c r="VXQ11" s="111"/>
      <c r="VXR11" s="111"/>
      <c r="VXS11" s="111"/>
      <c r="VXT11" s="111"/>
      <c r="VXU11" s="111"/>
      <c r="VXV11" s="111"/>
      <c r="VXW11" s="111"/>
      <c r="VXX11" s="111"/>
      <c r="VXY11" s="111"/>
      <c r="VXZ11" s="111"/>
      <c r="VYA11" s="111"/>
      <c r="VYB11" s="111"/>
      <c r="VYC11" s="111"/>
      <c r="VYD11" s="111"/>
      <c r="VYE11" s="111"/>
      <c r="VYF11" s="111"/>
      <c r="VYG11" s="111"/>
      <c r="VYH11" s="111"/>
      <c r="VYI11" s="111"/>
      <c r="VYJ11" s="111"/>
      <c r="VYK11" s="111"/>
      <c r="VYL11" s="111"/>
      <c r="VYM11" s="111"/>
      <c r="VYN11" s="111"/>
      <c r="VYO11" s="111"/>
      <c r="VYP11" s="111"/>
      <c r="VYQ11" s="111"/>
      <c r="VYR11" s="111"/>
      <c r="VYS11" s="111"/>
      <c r="VYT11" s="111"/>
      <c r="VYU11" s="111"/>
      <c r="VYV11" s="111"/>
      <c r="VYW11" s="111"/>
      <c r="VYX11" s="111"/>
      <c r="VYY11" s="111"/>
      <c r="VYZ11" s="111"/>
      <c r="VZA11" s="111"/>
      <c r="VZB11" s="111"/>
      <c r="VZC11" s="111"/>
      <c r="VZD11" s="111"/>
      <c r="VZE11" s="111"/>
      <c r="VZF11" s="111"/>
      <c r="VZG11" s="111"/>
      <c r="VZH11" s="111"/>
      <c r="VZI11" s="111"/>
      <c r="VZJ11" s="111"/>
      <c r="VZK11" s="111"/>
      <c r="VZL11" s="111"/>
      <c r="VZM11" s="111"/>
      <c r="VZN11" s="111"/>
      <c r="VZO11" s="111"/>
      <c r="VZP11" s="111"/>
      <c r="VZQ11" s="111"/>
      <c r="VZR11" s="111"/>
      <c r="VZS11" s="111"/>
      <c r="VZT11" s="111"/>
      <c r="VZU11" s="111"/>
      <c r="VZV11" s="111"/>
      <c r="VZW11" s="111"/>
      <c r="VZX11" s="111"/>
      <c r="VZY11" s="111"/>
      <c r="VZZ11" s="111"/>
      <c r="WAA11" s="111"/>
      <c r="WAB11" s="111"/>
      <c r="WAC11" s="111"/>
      <c r="WAD11" s="111"/>
      <c r="WAE11" s="111"/>
      <c r="WAF11" s="111"/>
      <c r="WAG11" s="111"/>
      <c r="WAH11" s="111"/>
      <c r="WAI11" s="111"/>
      <c r="WAJ11" s="111"/>
      <c r="WAK11" s="111"/>
      <c r="WAL11" s="111"/>
      <c r="WAM11" s="111"/>
      <c r="WAN11" s="111"/>
      <c r="WAO11" s="111"/>
      <c r="WAP11" s="111"/>
      <c r="WAQ11" s="111"/>
      <c r="WAR11" s="111"/>
      <c r="WAS11" s="111"/>
      <c r="WAT11" s="111"/>
      <c r="WAU11" s="111"/>
      <c r="WAV11" s="111"/>
      <c r="WAW11" s="111"/>
      <c r="WAX11" s="111"/>
      <c r="WAY11" s="111"/>
      <c r="WAZ11" s="111"/>
      <c r="WBA11" s="111"/>
      <c r="WBB11" s="111"/>
      <c r="WBC11" s="111"/>
      <c r="WBD11" s="111"/>
      <c r="WBE11" s="111"/>
      <c r="WBF11" s="111"/>
      <c r="WBG11" s="111"/>
      <c r="WBH11" s="111"/>
      <c r="WBI11" s="111"/>
      <c r="WBJ11" s="111"/>
      <c r="WBK11" s="111"/>
      <c r="WBL11" s="111"/>
      <c r="WBM11" s="111"/>
      <c r="WBN11" s="111"/>
      <c r="WBO11" s="111"/>
      <c r="WBP11" s="111"/>
      <c r="WBQ11" s="111"/>
      <c r="WBR11" s="111"/>
      <c r="WBS11" s="111"/>
      <c r="WBT11" s="111"/>
      <c r="WBU11" s="111"/>
      <c r="WBV11" s="111"/>
      <c r="WBW11" s="111"/>
      <c r="WBX11" s="111"/>
      <c r="WBY11" s="111"/>
      <c r="WBZ11" s="111"/>
      <c r="WCA11" s="111"/>
      <c r="WCB11" s="111"/>
      <c r="WCC11" s="111"/>
      <c r="WCD11" s="111"/>
      <c r="WCE11" s="111"/>
      <c r="WCF11" s="111"/>
      <c r="WCG11" s="111"/>
      <c r="WCH11" s="111"/>
      <c r="WCI11" s="111"/>
      <c r="WCJ11" s="111"/>
      <c r="WCK11" s="111"/>
      <c r="WCL11" s="111"/>
      <c r="WCM11" s="111"/>
      <c r="WCN11" s="111"/>
      <c r="WCO11" s="111"/>
      <c r="WCP11" s="111"/>
      <c r="WCQ11" s="111"/>
      <c r="WCR11" s="111"/>
      <c r="WCS11" s="111"/>
      <c r="WCT11" s="111"/>
      <c r="WCU11" s="111"/>
      <c r="WCV11" s="111"/>
      <c r="WCW11" s="111"/>
      <c r="WCX11" s="111"/>
      <c r="WCY11" s="111"/>
      <c r="WCZ11" s="111"/>
      <c r="WDA11" s="111"/>
      <c r="WDB11" s="111"/>
      <c r="WDC11" s="111"/>
      <c r="WDD11" s="111"/>
      <c r="WDE11" s="111"/>
      <c r="WDF11" s="111"/>
      <c r="WDG11" s="111"/>
      <c r="WDH11" s="111"/>
      <c r="WDI11" s="111"/>
      <c r="WDJ11" s="111"/>
      <c r="WDK11" s="111"/>
      <c r="WDL11" s="111"/>
      <c r="WDM11" s="111"/>
      <c r="WDN11" s="111"/>
      <c r="WDO11" s="111"/>
      <c r="WDP11" s="111"/>
      <c r="WDQ11" s="111"/>
      <c r="WDR11" s="111"/>
      <c r="WDS11" s="111"/>
      <c r="WDT11" s="111"/>
      <c r="WDU11" s="111"/>
      <c r="WDV11" s="111"/>
      <c r="WDW11" s="111"/>
      <c r="WDX11" s="111"/>
      <c r="WDY11" s="111"/>
      <c r="WDZ11" s="111"/>
      <c r="WEA11" s="111"/>
      <c r="WEB11" s="111"/>
      <c r="WEC11" s="111"/>
      <c r="WED11" s="111"/>
      <c r="WEE11" s="111"/>
      <c r="WEF11" s="111"/>
      <c r="WEG11" s="111"/>
      <c r="WEH11" s="111"/>
      <c r="WEI11" s="111"/>
      <c r="WEJ11" s="111"/>
      <c r="WEK11" s="111"/>
      <c r="WEL11" s="111"/>
      <c r="WEM11" s="111"/>
      <c r="WEN11" s="111"/>
      <c r="WEO11" s="111"/>
      <c r="WEP11" s="111"/>
      <c r="WEQ11" s="111"/>
      <c r="WER11" s="111"/>
      <c r="WES11" s="111"/>
      <c r="WET11" s="111"/>
      <c r="WEU11" s="111"/>
      <c r="WEV11" s="111"/>
      <c r="WEW11" s="111"/>
      <c r="WEX11" s="111"/>
      <c r="WEY11" s="111"/>
      <c r="WEZ11" s="111"/>
      <c r="WFA11" s="111"/>
      <c r="WFB11" s="111"/>
      <c r="WFC11" s="111"/>
      <c r="WFD11" s="111"/>
      <c r="WFE11" s="111"/>
      <c r="WFF11" s="111"/>
      <c r="WFG11" s="111"/>
      <c r="WFH11" s="111"/>
      <c r="WFI11" s="111"/>
      <c r="WFJ11" s="111"/>
      <c r="WFK11" s="111"/>
      <c r="WFL11" s="111"/>
      <c r="WFM11" s="111"/>
      <c r="WFN11" s="111"/>
      <c r="WFO11" s="111"/>
      <c r="WFP11" s="111"/>
      <c r="WFQ11" s="111"/>
      <c r="WFR11" s="111"/>
      <c r="WFS11" s="111"/>
      <c r="WFT11" s="111"/>
      <c r="WFU11" s="111"/>
      <c r="WFV11" s="111"/>
      <c r="WFW11" s="111"/>
      <c r="WFX11" s="111"/>
      <c r="WFY11" s="111"/>
      <c r="WFZ11" s="111"/>
      <c r="WGA11" s="111"/>
      <c r="WGB11" s="111"/>
      <c r="WGC11" s="111"/>
      <c r="WGD11" s="111"/>
      <c r="WGE11" s="111"/>
      <c r="WGF11" s="111"/>
      <c r="WGG11" s="111"/>
      <c r="WGH11" s="111"/>
      <c r="WGI11" s="111"/>
      <c r="WGJ11" s="111"/>
      <c r="WGK11" s="111"/>
      <c r="WGL11" s="111"/>
      <c r="WGM11" s="111"/>
      <c r="WGN11" s="111"/>
      <c r="WGO11" s="111"/>
      <c r="WGP11" s="111"/>
      <c r="WGQ11" s="111"/>
      <c r="WGR11" s="111"/>
      <c r="WGS11" s="111"/>
      <c r="WGT11" s="111"/>
      <c r="WGU11" s="111"/>
      <c r="WGV11" s="111"/>
      <c r="WGW11" s="111"/>
      <c r="WGX11" s="111"/>
      <c r="WGY11" s="111"/>
      <c r="WGZ11" s="111"/>
      <c r="WHA11" s="111"/>
      <c r="WHB11" s="111"/>
      <c r="WHC11" s="111"/>
      <c r="WHD11" s="111"/>
      <c r="WHE11" s="111"/>
      <c r="WHF11" s="111"/>
      <c r="WHG11" s="111"/>
      <c r="WHH11" s="111"/>
      <c r="WHI11" s="111"/>
      <c r="WHJ11" s="111"/>
      <c r="WHK11" s="111"/>
      <c r="WHL11" s="111"/>
      <c r="WHM11" s="111"/>
      <c r="WHN11" s="111"/>
      <c r="WHO11" s="111"/>
      <c r="WHP11" s="111"/>
      <c r="WHQ11" s="111"/>
      <c r="WHR11" s="111"/>
      <c r="WHS11" s="111"/>
      <c r="WHT11" s="111"/>
      <c r="WHU11" s="111"/>
      <c r="WHV11" s="111"/>
      <c r="WHW11" s="111"/>
      <c r="WHX11" s="111"/>
      <c r="WHY11" s="111"/>
      <c r="WHZ11" s="111"/>
      <c r="WIA11" s="111"/>
      <c r="WIB11" s="111"/>
      <c r="WIC11" s="111"/>
      <c r="WID11" s="111"/>
      <c r="WIE11" s="111"/>
      <c r="WIF11" s="111"/>
      <c r="WIG11" s="111"/>
      <c r="WIH11" s="111"/>
      <c r="WII11" s="111"/>
      <c r="WIJ11" s="111"/>
      <c r="WIK11" s="111"/>
      <c r="WIL11" s="111"/>
      <c r="WIM11" s="111"/>
      <c r="WIN11" s="111"/>
      <c r="WIO11" s="111"/>
      <c r="WIP11" s="111"/>
      <c r="WIQ11" s="111"/>
      <c r="WIR11" s="111"/>
      <c r="WIS11" s="111"/>
      <c r="WIT11" s="111"/>
      <c r="WIU11" s="111"/>
      <c r="WIV11" s="111"/>
      <c r="WIW11" s="111"/>
      <c r="WIX11" s="111"/>
      <c r="WIY11" s="111"/>
      <c r="WIZ11" s="111"/>
      <c r="WJA11" s="111"/>
      <c r="WJB11" s="111"/>
      <c r="WJC11" s="111"/>
      <c r="WJD11" s="111"/>
      <c r="WJE11" s="111"/>
      <c r="WJF11" s="111"/>
      <c r="WJG11" s="111"/>
      <c r="WJH11" s="111"/>
      <c r="WJI11" s="111"/>
      <c r="WJJ11" s="111"/>
      <c r="WJK11" s="111"/>
      <c r="WJL11" s="111"/>
      <c r="WJM11" s="111"/>
      <c r="WJN11" s="111"/>
      <c r="WJO11" s="111"/>
      <c r="WJP11" s="111"/>
      <c r="WJQ11" s="111"/>
      <c r="WJR11" s="111"/>
      <c r="WJS11" s="111"/>
      <c r="WJT11" s="111"/>
      <c r="WJU11" s="111"/>
      <c r="WJV11" s="111"/>
      <c r="WJW11" s="111"/>
      <c r="WJX11" s="111"/>
      <c r="WJY11" s="111"/>
      <c r="WJZ11" s="111"/>
      <c r="WKA11" s="111"/>
      <c r="WKB11" s="111"/>
      <c r="WKC11" s="111"/>
      <c r="WKD11" s="111"/>
      <c r="WKE11" s="111"/>
      <c r="WKF11" s="111"/>
      <c r="WKG11" s="111"/>
      <c r="WKH11" s="111"/>
      <c r="WKI11" s="111"/>
      <c r="WKJ11" s="111"/>
      <c r="WKK11" s="111"/>
      <c r="WKL11" s="111"/>
      <c r="WKM11" s="111"/>
      <c r="WKN11" s="111"/>
      <c r="WKO11" s="111"/>
      <c r="WKP11" s="111"/>
      <c r="WKQ11" s="111"/>
      <c r="WKR11" s="111"/>
      <c r="WKS11" s="111"/>
      <c r="WKT11" s="111"/>
      <c r="WKU11" s="111"/>
      <c r="WKV11" s="111"/>
      <c r="WKW11" s="111"/>
      <c r="WKX11" s="111"/>
      <c r="WKY11" s="111"/>
      <c r="WKZ11" s="111"/>
      <c r="WLA11" s="111"/>
      <c r="WLB11" s="111"/>
      <c r="WLC11" s="111"/>
      <c r="WLD11" s="111"/>
      <c r="WLE11" s="111"/>
      <c r="WLF11" s="111"/>
      <c r="WLG11" s="111"/>
      <c r="WLH11" s="111"/>
      <c r="WLI11" s="111"/>
      <c r="WLJ11" s="111"/>
      <c r="WLK11" s="111"/>
      <c r="WLL11" s="111"/>
      <c r="WLM11" s="111"/>
      <c r="WLN11" s="111"/>
      <c r="WLO11" s="111"/>
      <c r="WLP11" s="111"/>
      <c r="WLQ11" s="111"/>
      <c r="WLR11" s="111"/>
      <c r="WLS11" s="111"/>
      <c r="WLT11" s="111"/>
      <c r="WLU11" s="111"/>
      <c r="WLV11" s="111"/>
      <c r="WLW11" s="111"/>
      <c r="WLX11" s="111"/>
      <c r="WLY11" s="111"/>
      <c r="WLZ11" s="111"/>
      <c r="WMA11" s="111"/>
      <c r="WMB11" s="111"/>
      <c r="WMC11" s="111"/>
      <c r="WMD11" s="111"/>
      <c r="WME11" s="111"/>
      <c r="WMF11" s="111"/>
      <c r="WMG11" s="111"/>
      <c r="WMH11" s="111"/>
      <c r="WMI11" s="111"/>
      <c r="WMJ11" s="111"/>
      <c r="WMK11" s="111"/>
      <c r="WML11" s="111"/>
      <c r="WMM11" s="111"/>
      <c r="WMN11" s="111"/>
      <c r="WMO11" s="111"/>
      <c r="WMP11" s="111"/>
      <c r="WMQ11" s="111"/>
      <c r="WMR11" s="111"/>
      <c r="WMS11" s="111"/>
      <c r="WMT11" s="111"/>
      <c r="WMU11" s="111"/>
      <c r="WMV11" s="111"/>
      <c r="WMW11" s="111"/>
      <c r="WMX11" s="111"/>
      <c r="WMY11" s="111"/>
      <c r="WMZ11" s="111"/>
      <c r="WNA11" s="111"/>
      <c r="WNB11" s="111"/>
      <c r="WNC11" s="111"/>
      <c r="WND11" s="111"/>
      <c r="WNE11" s="111"/>
      <c r="WNF11" s="111"/>
      <c r="WNG11" s="111"/>
      <c r="WNH11" s="111"/>
      <c r="WNI11" s="111"/>
      <c r="WNJ11" s="111"/>
      <c r="WNK11" s="111"/>
      <c r="WNL11" s="111"/>
      <c r="WNM11" s="111"/>
      <c r="WNN11" s="111"/>
      <c r="WNO11" s="111"/>
      <c r="WNP11" s="111"/>
      <c r="WNQ11" s="111"/>
      <c r="WNR11" s="111"/>
      <c r="WNS11" s="111"/>
      <c r="WNT11" s="111"/>
      <c r="WNU11" s="111"/>
      <c r="WNV11" s="111"/>
      <c r="WNW11" s="111"/>
      <c r="WNX11" s="111"/>
      <c r="WNY11" s="111"/>
      <c r="WNZ11" s="111"/>
      <c r="WOA11" s="111"/>
      <c r="WOB11" s="111"/>
      <c r="WOC11" s="111"/>
      <c r="WOD11" s="111"/>
      <c r="WOE11" s="111"/>
      <c r="WOF11" s="111"/>
      <c r="WOG11" s="111"/>
      <c r="WOH11" s="111"/>
      <c r="WOI11" s="111"/>
      <c r="WOJ11" s="111"/>
      <c r="WOK11" s="111"/>
      <c r="WOL11" s="111"/>
      <c r="WOM11" s="111"/>
      <c r="WON11" s="111"/>
      <c r="WOO11" s="111"/>
      <c r="WOP11" s="111"/>
      <c r="WOQ11" s="111"/>
      <c r="WOR11" s="111"/>
      <c r="WOS11" s="111"/>
      <c r="WOT11" s="111"/>
      <c r="WOU11" s="111"/>
      <c r="WOV11" s="111"/>
      <c r="WOW11" s="111"/>
      <c r="WOX11" s="111"/>
      <c r="WOY11" s="111"/>
      <c r="WOZ11" s="111"/>
      <c r="WPA11" s="111"/>
      <c r="WPB11" s="111"/>
      <c r="WPC11" s="111"/>
      <c r="WPD11" s="111"/>
      <c r="WPE11" s="111"/>
      <c r="WPF11" s="111"/>
      <c r="WPG11" s="111"/>
      <c r="WPH11" s="111"/>
      <c r="WPI11" s="111"/>
      <c r="WPJ11" s="111"/>
      <c r="WPK11" s="111"/>
      <c r="WPL11" s="111"/>
      <c r="WPM11" s="111"/>
      <c r="WPN11" s="111"/>
      <c r="WPO11" s="111"/>
      <c r="WPP11" s="111"/>
      <c r="WPQ11" s="111"/>
      <c r="WPR11" s="111"/>
      <c r="WPS11" s="111"/>
      <c r="WPT11" s="111"/>
      <c r="WPU11" s="111"/>
      <c r="WPV11" s="111"/>
      <c r="WPW11" s="111"/>
      <c r="WPX11" s="111"/>
      <c r="WPY11" s="111"/>
      <c r="WPZ11" s="111"/>
      <c r="WQA11" s="111"/>
      <c r="WQB11" s="111"/>
      <c r="WQC11" s="111"/>
      <c r="WQD11" s="111"/>
      <c r="WQE11" s="111"/>
      <c r="WQF11" s="111"/>
      <c r="WQG11" s="111"/>
      <c r="WQH11" s="111"/>
      <c r="WQI11" s="111"/>
      <c r="WQJ11" s="111"/>
      <c r="WQK11" s="111"/>
      <c r="WQL11" s="111"/>
      <c r="WQM11" s="111"/>
      <c r="WQN11" s="111"/>
      <c r="WQO11" s="111"/>
      <c r="WQP11" s="111"/>
      <c r="WQQ11" s="111"/>
      <c r="WQR11" s="111"/>
      <c r="WQS11" s="111"/>
      <c r="WQT11" s="111"/>
      <c r="WQU11" s="111"/>
      <c r="WQV11" s="111"/>
      <c r="WQW11" s="111"/>
      <c r="WQX11" s="111"/>
      <c r="WQY11" s="111"/>
      <c r="WQZ11" s="111"/>
      <c r="WRA11" s="111"/>
      <c r="WRB11" s="111"/>
      <c r="WRC11" s="111"/>
      <c r="WRD11" s="111"/>
      <c r="WRE11" s="111"/>
      <c r="WRF11" s="111"/>
      <c r="WRG11" s="111"/>
      <c r="WRH11" s="111"/>
      <c r="WRI11" s="111"/>
      <c r="WRJ11" s="111"/>
      <c r="WRK11" s="111"/>
      <c r="WRL11" s="111"/>
      <c r="WRM11" s="111"/>
      <c r="WRN11" s="111"/>
      <c r="WRO11" s="111"/>
      <c r="WRP11" s="111"/>
      <c r="WRQ11" s="111"/>
      <c r="WRR11" s="111"/>
      <c r="WRS11" s="111"/>
      <c r="WRT11" s="111"/>
      <c r="WRU11" s="111"/>
      <c r="WRV11" s="111"/>
      <c r="WRW11" s="111"/>
      <c r="WRX11" s="111"/>
      <c r="WRY11" s="111"/>
      <c r="WRZ11" s="111"/>
      <c r="WSA11" s="111"/>
      <c r="WSB11" s="111"/>
      <c r="WSC11" s="111"/>
      <c r="WSD11" s="111"/>
      <c r="WSE11" s="111"/>
      <c r="WSF11" s="111"/>
      <c r="WSG11" s="111"/>
      <c r="WSH11" s="111"/>
      <c r="WSI11" s="111"/>
      <c r="WSJ11" s="111"/>
      <c r="WSK11" s="111"/>
      <c r="WSL11" s="111"/>
      <c r="WSM11" s="111"/>
      <c r="WSN11" s="111"/>
      <c r="WSO11" s="111"/>
      <c r="WSP11" s="111"/>
      <c r="WSQ11" s="111"/>
      <c r="WSR11" s="111"/>
      <c r="WSS11" s="111"/>
      <c r="WST11" s="111"/>
      <c r="WSU11" s="111"/>
      <c r="WSV11" s="111"/>
      <c r="WSW11" s="111"/>
      <c r="WSX11" s="111"/>
      <c r="WSY11" s="111"/>
      <c r="WSZ11" s="111"/>
      <c r="WTA11" s="111"/>
      <c r="WTB11" s="111"/>
      <c r="WTC11" s="111"/>
      <c r="WTD11" s="111"/>
      <c r="WTE11" s="111"/>
      <c r="WTF11" s="111"/>
      <c r="WTG11" s="111"/>
      <c r="WTH11" s="111"/>
      <c r="WTI11" s="111"/>
      <c r="WTJ11" s="111"/>
      <c r="WTK11" s="111"/>
      <c r="WTL11" s="111"/>
      <c r="WTM11" s="111"/>
      <c r="WTN11" s="111"/>
      <c r="WTO11" s="111"/>
      <c r="WTP11" s="111"/>
      <c r="WTQ11" s="111"/>
      <c r="WTR11" s="111"/>
      <c r="WTS11" s="111"/>
      <c r="WTT11" s="111"/>
      <c r="WTU11" s="111"/>
      <c r="WTV11" s="111"/>
      <c r="WTW11" s="111"/>
      <c r="WTX11" s="111"/>
      <c r="WTY11" s="111"/>
      <c r="WTZ11" s="111"/>
      <c r="WUA11" s="111"/>
      <c r="WUB11" s="111"/>
      <c r="WUC11" s="111"/>
      <c r="WUD11" s="111"/>
      <c r="WUE11" s="111"/>
      <c r="WUF11" s="111"/>
      <c r="WUG11" s="111"/>
      <c r="WUH11" s="111"/>
      <c r="WUI11" s="111"/>
      <c r="WUJ11" s="111"/>
      <c r="WUK11" s="111"/>
      <c r="WUL11" s="111"/>
      <c r="WUM11" s="111"/>
      <c r="WUN11" s="111"/>
      <c r="WUO11" s="111"/>
      <c r="WUP11" s="111"/>
      <c r="WUQ11" s="111"/>
      <c r="WUR11" s="111"/>
      <c r="WUS11" s="111"/>
      <c r="WUT11" s="111"/>
      <c r="WUU11" s="111"/>
      <c r="WUV11" s="111"/>
      <c r="WUW11" s="111"/>
      <c r="WUX11" s="111"/>
      <c r="WUY11" s="111"/>
      <c r="WUZ11" s="111"/>
      <c r="WVA11" s="111"/>
      <c r="WVB11" s="111"/>
      <c r="WVC11" s="111"/>
      <c r="WVD11" s="111"/>
      <c r="WVE11" s="111"/>
      <c r="WVF11" s="111"/>
      <c r="WVG11" s="111"/>
      <c r="WVH11" s="111"/>
      <c r="WVI11" s="111"/>
      <c r="WVJ11" s="111"/>
      <c r="WVK11" s="111"/>
      <c r="WVL11" s="111"/>
      <c r="WVM11" s="111"/>
      <c r="WVN11" s="111"/>
      <c r="WVO11" s="111"/>
      <c r="WVP11" s="111"/>
      <c r="WVQ11" s="111"/>
      <c r="WVR11" s="111"/>
      <c r="WVS11" s="111"/>
      <c r="WVT11" s="111"/>
      <c r="WVU11" s="111"/>
      <c r="WVV11" s="111"/>
      <c r="WVW11" s="111"/>
      <c r="WVX11" s="111"/>
      <c r="WVY11" s="111"/>
      <c r="WVZ11" s="111"/>
      <c r="WWA11" s="111"/>
      <c r="WWB11" s="111"/>
      <c r="WWC11" s="111"/>
      <c r="WWD11" s="111"/>
      <c r="WWE11" s="111"/>
      <c r="WWF11" s="111"/>
      <c r="WWG11" s="111"/>
      <c r="WWH11" s="111"/>
      <c r="WWI11" s="111"/>
      <c r="WWJ11" s="111"/>
      <c r="WWK11" s="111"/>
      <c r="WWL11" s="111"/>
      <c r="WWM11" s="111"/>
      <c r="WWN11" s="111"/>
      <c r="WWO11" s="111"/>
      <c r="WWP11" s="111"/>
      <c r="WWQ11" s="111"/>
      <c r="WWR11" s="111"/>
      <c r="WWS11" s="111"/>
      <c r="WWT11" s="111"/>
      <c r="WWU11" s="111"/>
      <c r="WWV11" s="111"/>
      <c r="WWW11" s="111"/>
      <c r="WWX11" s="111"/>
      <c r="WWY11" s="111"/>
      <c r="WWZ11" s="111"/>
      <c r="WXA11" s="111"/>
      <c r="WXB11" s="111"/>
      <c r="WXC11" s="111"/>
      <c r="WXD11" s="111"/>
      <c r="WXE11" s="111"/>
      <c r="WXF11" s="111"/>
      <c r="WXG11" s="111"/>
      <c r="WXH11" s="111"/>
      <c r="WXI11" s="111"/>
      <c r="WXJ11" s="111"/>
      <c r="WXK11" s="111"/>
      <c r="WXL11" s="111"/>
      <c r="WXM11" s="111"/>
      <c r="WXN11" s="111"/>
      <c r="WXO11" s="111"/>
      <c r="WXP11" s="111"/>
      <c r="WXQ11" s="111"/>
      <c r="WXR11" s="111"/>
      <c r="WXS11" s="111"/>
      <c r="WXT11" s="111"/>
      <c r="WXU11" s="111"/>
      <c r="WXV11" s="111"/>
      <c r="WXW11" s="111"/>
      <c r="WXX11" s="111"/>
      <c r="WXY11" s="111"/>
      <c r="WXZ11" s="111"/>
      <c r="WYA11" s="111"/>
      <c r="WYB11" s="111"/>
      <c r="WYC11" s="111"/>
      <c r="WYD11" s="111"/>
      <c r="WYE11" s="111"/>
      <c r="WYF11" s="111"/>
      <c r="WYG11" s="111"/>
      <c r="WYH11" s="111"/>
      <c r="WYI11" s="111"/>
      <c r="WYJ11" s="111"/>
      <c r="WYK11" s="111"/>
      <c r="WYL11" s="111"/>
      <c r="WYM11" s="111"/>
      <c r="WYN11" s="111"/>
      <c r="WYO11" s="111"/>
      <c r="WYP11" s="111"/>
      <c r="WYQ11" s="111"/>
      <c r="WYR11" s="111"/>
      <c r="WYS11" s="111"/>
      <c r="WYT11" s="111"/>
      <c r="WYU11" s="111"/>
      <c r="WYV11" s="111"/>
      <c r="WYW11" s="111"/>
      <c r="WYX11" s="111"/>
      <c r="WYY11" s="111"/>
      <c r="WYZ11" s="111"/>
      <c r="WZA11" s="111"/>
      <c r="WZB11" s="111"/>
      <c r="WZC11" s="111"/>
      <c r="WZD11" s="111"/>
      <c r="WZE11" s="111"/>
      <c r="WZF11" s="111"/>
      <c r="WZG11" s="111"/>
      <c r="WZH11" s="111"/>
      <c r="WZI11" s="111"/>
      <c r="WZJ11" s="111"/>
      <c r="WZK11" s="111"/>
      <c r="WZL11" s="111"/>
      <c r="WZM11" s="111"/>
      <c r="WZN11" s="111"/>
      <c r="WZO11" s="111"/>
      <c r="WZP11" s="111"/>
      <c r="WZQ11" s="111"/>
      <c r="WZR11" s="111"/>
      <c r="WZS11" s="111"/>
      <c r="WZT11" s="111"/>
      <c r="WZU11" s="111"/>
      <c r="WZV11" s="111"/>
      <c r="WZW11" s="111"/>
      <c r="WZX11" s="111"/>
      <c r="WZY11" s="111"/>
      <c r="WZZ11" s="111"/>
      <c r="XAA11" s="111"/>
      <c r="XAB11" s="111"/>
      <c r="XAC11" s="111"/>
      <c r="XAD11" s="111"/>
      <c r="XAE11" s="111"/>
      <c r="XAF11" s="111"/>
      <c r="XAG11" s="111"/>
      <c r="XAH11" s="111"/>
      <c r="XAI11" s="111"/>
      <c r="XAJ11" s="111"/>
      <c r="XAK11" s="111"/>
      <c r="XAL11" s="111"/>
      <c r="XAM11" s="111"/>
      <c r="XAN11" s="111"/>
      <c r="XAO11" s="111"/>
      <c r="XAP11" s="111"/>
      <c r="XAQ11" s="111"/>
      <c r="XAR11" s="111"/>
      <c r="XAS11" s="111"/>
      <c r="XAT11" s="111"/>
      <c r="XAU11" s="111"/>
      <c r="XAV11" s="111"/>
      <c r="XAW11" s="111"/>
      <c r="XAX11" s="111"/>
      <c r="XAY11" s="111"/>
      <c r="XAZ11" s="111"/>
      <c r="XBA11" s="111"/>
      <c r="XBB11" s="111"/>
      <c r="XBC11" s="111"/>
      <c r="XBD11" s="111"/>
      <c r="XBE11" s="111"/>
      <c r="XBF11" s="111"/>
      <c r="XBG11" s="111"/>
      <c r="XBH11" s="111"/>
      <c r="XBI11" s="111"/>
      <c r="XBJ11" s="111"/>
      <c r="XBK11" s="111"/>
      <c r="XBL11" s="111"/>
      <c r="XBM11" s="111"/>
      <c r="XBN11" s="111"/>
      <c r="XBO11" s="111"/>
      <c r="XBP11" s="111"/>
      <c r="XBQ11" s="111"/>
      <c r="XBR11" s="111"/>
      <c r="XBS11" s="111"/>
      <c r="XBT11" s="111"/>
      <c r="XBU11" s="111"/>
      <c r="XBV11" s="111"/>
      <c r="XBW11" s="111"/>
      <c r="XBX11" s="111"/>
      <c r="XBY11" s="111"/>
      <c r="XBZ11" s="111"/>
      <c r="XCA11" s="111"/>
      <c r="XCB11" s="111"/>
      <c r="XCC11" s="111"/>
      <c r="XCD11" s="111"/>
      <c r="XCE11" s="111"/>
      <c r="XCF11" s="111"/>
      <c r="XCG11" s="111"/>
      <c r="XCH11" s="111"/>
      <c r="XCI11" s="111"/>
      <c r="XCJ11" s="111"/>
      <c r="XCK11" s="111"/>
      <c r="XCL11" s="111"/>
      <c r="XCM11" s="111"/>
      <c r="XCN11" s="111"/>
      <c r="XCO11" s="111"/>
      <c r="XCP11" s="111"/>
      <c r="XCQ11" s="111"/>
      <c r="XCR11" s="111"/>
      <c r="XCS11" s="111"/>
      <c r="XCT11" s="111"/>
      <c r="XCU11" s="111"/>
      <c r="XCV11" s="111"/>
      <c r="XCW11" s="111"/>
      <c r="XCX11" s="111"/>
      <c r="XCY11" s="111"/>
      <c r="XCZ11" s="111"/>
      <c r="XDA11" s="111"/>
      <c r="XDB11" s="111"/>
      <c r="XDC11" s="111"/>
      <c r="XDD11" s="111"/>
      <c r="XDE11" s="111"/>
      <c r="XDF11" s="111"/>
      <c r="XDG11" s="111"/>
      <c r="XDH11" s="111"/>
      <c r="XDI11" s="111"/>
      <c r="XDJ11" s="111"/>
      <c r="XDK11" s="111"/>
      <c r="XDL11" s="111"/>
      <c r="XDM11" s="111"/>
      <c r="XDN11" s="111"/>
      <c r="XDO11" s="111"/>
      <c r="XDP11" s="111"/>
      <c r="XDQ11" s="111"/>
      <c r="XDR11" s="111"/>
      <c r="XDS11" s="111"/>
      <c r="XDT11" s="111"/>
      <c r="XDU11" s="111"/>
      <c r="XDV11" s="111"/>
      <c r="XDW11" s="111"/>
      <c r="XDX11" s="111"/>
      <c r="XDY11" s="111"/>
      <c r="XDZ11" s="111"/>
      <c r="XEA11" s="111"/>
      <c r="XEB11" s="111"/>
      <c r="XEC11" s="111"/>
      <c r="XED11" s="111"/>
      <c r="XEE11" s="111"/>
      <c r="XEF11" s="111"/>
      <c r="XEG11" s="111"/>
      <c r="XEH11" s="111"/>
      <c r="XEI11" s="111"/>
      <c r="XEJ11" s="111"/>
      <c r="XEK11" s="111"/>
      <c r="XEL11" s="111"/>
      <c r="XEM11" s="111"/>
      <c r="XEN11" s="111"/>
      <c r="XEO11" s="111"/>
      <c r="XEP11" s="111"/>
      <c r="XEQ11" s="111"/>
      <c r="XER11" s="111"/>
      <c r="XES11" s="111"/>
      <c r="XET11" s="111"/>
      <c r="XEU11" s="111"/>
      <c r="XEV11" s="111"/>
      <c r="XEW11" s="111"/>
      <c r="XEX11" s="111"/>
      <c r="XEY11" s="111"/>
      <c r="XEZ11" s="111"/>
      <c r="XFA11" s="111"/>
      <c r="XFB11" s="111"/>
      <c r="XFC11" s="111"/>
      <c r="XFD11" s="111"/>
    </row>
    <row r="12" spans="1:16384" ht="21.9" customHeight="1">
      <c r="B12" s="265" t="s">
        <v>2752</v>
      </c>
      <c r="C12" s="11">
        <f ca="1">COUNTIFS(EXPEDIENTES!G:G,B12,EXPEDIENTES!O:O,"NO")</f>
        <v>5</v>
      </c>
      <c r="F12" s="265" t="s">
        <v>2751</v>
      </c>
      <c r="G12" s="11">
        <f>COUNTIF(EXPEDIENTES!G:G,F12)</f>
        <v>26</v>
      </c>
      <c r="J12" s="265" t="s">
        <v>2751</v>
      </c>
      <c r="K12" s="11">
        <f ca="1">COUNTIFS(EXPEDIENTES!G:G,J12,EXPEDIENTES!O:O,"SI")</f>
        <v>26</v>
      </c>
      <c r="M12" s="3"/>
    </row>
    <row r="13" spans="1:16384" ht="21.9" customHeight="1">
      <c r="B13" s="265" t="s">
        <v>2753</v>
      </c>
      <c r="C13" s="11">
        <f ca="1">COUNTIFS(EXPEDIENTES!G:G,B13,EXPEDIENTES!O:O,"NO")</f>
        <v>0</v>
      </c>
      <c r="F13" s="265" t="s">
        <v>2752</v>
      </c>
      <c r="G13" s="11">
        <f>COUNTIF(EXPEDIENTES!G:G,F13)</f>
        <v>91</v>
      </c>
      <c r="J13" s="265" t="s">
        <v>2752</v>
      </c>
      <c r="K13" s="11">
        <f ca="1">COUNTIFS(EXPEDIENTES!G:G,J13,EXPEDIENTES!O:O,"SI")</f>
        <v>86</v>
      </c>
      <c r="M13" s="262"/>
    </row>
    <row r="14" spans="1:16384" ht="21.9" customHeight="1">
      <c r="B14" s="265" t="s">
        <v>2766</v>
      </c>
      <c r="C14" s="11">
        <f ca="1">COUNTIFS(EXPEDIENTES!G:G,B14,EXPEDIENTES!O:O,"NO")</f>
        <v>7</v>
      </c>
      <c r="F14" s="265" t="s">
        <v>2753</v>
      </c>
      <c r="G14" s="11">
        <f>COUNTIF(EXPEDIENTES!G:G,F14)</f>
        <v>36</v>
      </c>
      <c r="J14" s="265" t="s">
        <v>2753</v>
      </c>
      <c r="K14" s="11">
        <f ca="1">COUNTIFS(EXPEDIENTES!G:G,J14,EXPEDIENTES!O:O,"SI")</f>
        <v>36</v>
      </c>
      <c r="M14" s="262"/>
    </row>
    <row r="15" spans="1:16384" ht="27" customHeight="1">
      <c r="B15" s="265" t="s">
        <v>2815</v>
      </c>
      <c r="C15" s="11">
        <f ca="1">COUNTIFS(EXPEDIENTES!G:G,B15,EXPEDIENTES!O:O,"NO")</f>
        <v>0</v>
      </c>
      <c r="F15" s="265" t="s">
        <v>2766</v>
      </c>
      <c r="G15" s="11">
        <f>COUNTIF(EXPEDIENTES!G:G,F15)</f>
        <v>109</v>
      </c>
      <c r="J15" s="265" t="s">
        <v>2766</v>
      </c>
      <c r="K15" s="11">
        <f ca="1">COUNTIFS(EXPEDIENTES!G:G,J15,EXPEDIENTES!O:O,"SI")</f>
        <v>102</v>
      </c>
      <c r="M15" s="1"/>
    </row>
    <row r="16" spans="1:16384" ht="21.9" customHeight="1">
      <c r="B16" s="265" t="s">
        <v>3323</v>
      </c>
      <c r="C16" s="11">
        <f ca="1">COUNTIFS(EXPEDIENTES!G:G,B16,EXPEDIENTES!O:O,"NO")</f>
        <v>7</v>
      </c>
      <c r="F16" s="265" t="s">
        <v>2815</v>
      </c>
      <c r="G16" s="11">
        <f>COUNTIF(EXPEDIENTES!G:G,F16)</f>
        <v>107</v>
      </c>
      <c r="J16" s="265" t="s">
        <v>2815</v>
      </c>
      <c r="K16" s="11">
        <f ca="1">COUNTIFS(EXPEDIENTES!G:G,J16,EXPEDIENTES!O:O,"SI")</f>
        <v>107</v>
      </c>
      <c r="M16" s="1"/>
    </row>
    <row r="17" spans="2:13" ht="21.9" customHeight="1">
      <c r="B17" s="265" t="s">
        <v>3324</v>
      </c>
      <c r="C17" s="11">
        <f ca="1">COUNTIFS(EXPEDIENTES!G:G,B17,EXPEDIENTES!O:O,"NO")</f>
        <v>8</v>
      </c>
      <c r="F17" s="265" t="s">
        <v>3323</v>
      </c>
      <c r="G17" s="11">
        <f>COUNTIF(EXPEDIENTES!G:G,F17)</f>
        <v>95</v>
      </c>
      <c r="J17" s="265" t="s">
        <v>3323</v>
      </c>
      <c r="K17" s="11">
        <f ca="1">COUNTIFS(EXPEDIENTES!G:G,J17,EXPEDIENTES!O:O,"SI")</f>
        <v>88</v>
      </c>
      <c r="M17" s="262"/>
    </row>
    <row r="18" spans="2:13" ht="21.9" customHeight="1">
      <c r="B18" s="265" t="s">
        <v>3639</v>
      </c>
      <c r="C18" s="11">
        <f ca="1">COUNTIFS(EXPEDIENTES!G:G,B18,EXPEDIENTES!O:O,"NO")</f>
        <v>0</v>
      </c>
      <c r="F18" s="265" t="s">
        <v>3324</v>
      </c>
      <c r="G18" s="11">
        <f>COUNTIF(EXPEDIENTES!G:G,F18)</f>
        <v>101</v>
      </c>
      <c r="J18" s="265" t="s">
        <v>3324</v>
      </c>
      <c r="K18" s="11">
        <f ca="1">COUNTIFS(EXPEDIENTES!G:G,J18,EXPEDIENTES!O:O,"SI")</f>
        <v>93</v>
      </c>
      <c r="M18" s="3"/>
    </row>
    <row r="19" spans="2:13" ht="21.9" customHeight="1">
      <c r="B19" s="11" t="s">
        <v>3791</v>
      </c>
      <c r="C19" s="11">
        <f ca="1">COUNTIFS(EXPEDIENTES!G:G,B19,EXPEDIENTES!O:O,"NO")</f>
        <v>7</v>
      </c>
      <c r="F19" s="265" t="s">
        <v>3639</v>
      </c>
      <c r="G19" s="11">
        <f>COUNTIF(EXPEDIENTES!G:G,F19)</f>
        <v>17</v>
      </c>
      <c r="J19" s="265" t="s">
        <v>3639</v>
      </c>
      <c r="K19" s="11">
        <f ca="1">COUNTIFS(EXPEDIENTES!G:G,J19,EXPEDIENTES!O:O,"SI")</f>
        <v>17</v>
      </c>
      <c r="M19" s="262"/>
    </row>
    <row r="20" spans="2:13" ht="21.9" customHeight="1">
      <c r="B20" s="11" t="s">
        <v>2271</v>
      </c>
      <c r="C20" s="11">
        <f ca="1">H36+'Exp por Encargado - Alvaro'!C5</f>
        <v>0</v>
      </c>
      <c r="F20" s="11" t="s">
        <v>3791</v>
      </c>
      <c r="G20" s="11">
        <f>COUNTIF(EXPEDIENTES!G:G,F20)</f>
        <v>94</v>
      </c>
      <c r="J20" s="642" t="s">
        <v>3791</v>
      </c>
      <c r="K20" s="11">
        <f ca="1">COUNTIFS(EXPEDIENTES!G:G,J20,EXPEDIENTES!O:O,"SI")</f>
        <v>87</v>
      </c>
      <c r="M20" s="3"/>
    </row>
    <row r="21" spans="2:13" ht="21.9" customHeight="1">
      <c r="B21" s="25" t="s">
        <v>372</v>
      </c>
      <c r="C21" s="216">
        <f ca="1">SUM(C4:C20)</f>
        <v>76</v>
      </c>
      <c r="F21" s="265" t="s">
        <v>3871</v>
      </c>
      <c r="G21" s="642">
        <f>COUNTIF(EXPEDIENTES!G:G,F21)</f>
        <v>3</v>
      </c>
      <c r="H21" s="218"/>
      <c r="I21" s="218"/>
      <c r="J21" s="265" t="s">
        <v>3871</v>
      </c>
      <c r="K21" s="642">
        <f ca="1">COUNTIFS(EXPEDIENTES!G:G,J21,EXPEDIENTES!O:O,"SI")</f>
        <v>3</v>
      </c>
      <c r="L21" s="218"/>
      <c r="M21" s="3"/>
    </row>
    <row r="22" spans="2:13" ht="21.9" customHeight="1">
      <c r="B22" s="11" t="s">
        <v>628</v>
      </c>
      <c r="C22" s="11">
        <f>'no realizadas'!R10</f>
        <v>0</v>
      </c>
      <c r="F22" s="265" t="s">
        <v>7327</v>
      </c>
      <c r="G22" s="642">
        <f>COUNTIF(EXPEDIENTES!G:G,"Dra. Marquèz")</f>
        <v>12</v>
      </c>
      <c r="H22" s="218"/>
      <c r="I22" s="218"/>
      <c r="J22" s="265" t="s">
        <v>5709</v>
      </c>
      <c r="K22" s="642">
        <f ca="1">COUNTIFS(EXPEDIENTES!G:G,J22,EXPEDIENTES!O:O,"SI")</f>
        <v>17</v>
      </c>
      <c r="L22" s="218"/>
      <c r="M22" s="3"/>
    </row>
    <row r="23" spans="2:13" ht="21.9" customHeight="1">
      <c r="F23" s="265" t="s">
        <v>5709</v>
      </c>
      <c r="G23" s="642">
        <f>COUNTIF(EXPEDIENTES!G:G,F23)</f>
        <v>18</v>
      </c>
      <c r="H23" s="218"/>
      <c r="I23" s="218"/>
      <c r="J23" s="265" t="s">
        <v>5710</v>
      </c>
      <c r="K23" s="642">
        <f ca="1">COUNTIFS(EXPEDIENTES!G:G,J23,EXPEDIENTES!O:O,"SI")</f>
        <v>38</v>
      </c>
      <c r="L23" s="218"/>
    </row>
    <row r="24" spans="2:13" ht="21.9" customHeight="1">
      <c r="F24" s="265" t="s">
        <v>5710</v>
      </c>
      <c r="G24" s="642">
        <f>COUNTIF(EXPEDIENTES!G:G,F24)</f>
        <v>44</v>
      </c>
      <c r="H24" s="218"/>
      <c r="I24" s="218"/>
      <c r="J24" s="74" t="s">
        <v>2271</v>
      </c>
      <c r="K24" s="11">
        <f ca="1">'Graficos Estadisticos'!AP15-SUM(K4:K23)</f>
        <v>81</v>
      </c>
      <c r="L24" s="218"/>
    </row>
    <row r="25" spans="2:13" ht="21.9" customHeight="1">
      <c r="F25" s="11" t="s">
        <v>2271</v>
      </c>
      <c r="G25" s="11">
        <f>H29+'Exp por Encargado - Alvaro'!C17</f>
        <v>34</v>
      </c>
      <c r="H25" s="215">
        <f>COUNTIF(EXPEDIENTES!G:G,#REF!)</f>
        <v>0</v>
      </c>
      <c r="I25" s="218"/>
      <c r="J25" s="263" t="s">
        <v>371</v>
      </c>
      <c r="K25" s="28">
        <f ca="1">SUM(K4:K24)</f>
        <v>1970</v>
      </c>
      <c r="L25" s="218"/>
    </row>
    <row r="26" spans="2:13" ht="21.9" customHeight="1">
      <c r="F26" s="263" t="s">
        <v>370</v>
      </c>
      <c r="G26" s="28">
        <f>SUM(G4:G25)</f>
        <v>2018</v>
      </c>
      <c r="H26" s="215">
        <f>COUNTIF(EXPEDIENTES!G:G,#REF!)</f>
        <v>0</v>
      </c>
      <c r="I26" s="218"/>
      <c r="J26" s="218"/>
      <c r="K26" s="218"/>
      <c r="L26" s="218"/>
    </row>
    <row r="27" spans="2:13" ht="21.9" customHeight="1">
      <c r="H27" s="215">
        <f>COUNTIF(EXPEDIENTES!G:G,#REF!)</f>
        <v>0</v>
      </c>
      <c r="I27" s="218"/>
      <c r="J27" s="218"/>
      <c r="K27" s="218"/>
      <c r="L27" s="218"/>
    </row>
    <row r="28" spans="2:13" ht="21.9" customHeight="1">
      <c r="F28" s="218"/>
      <c r="G28" s="24" t="s">
        <v>2270</v>
      </c>
      <c r="H28" s="215">
        <f>COUNTIF(EXPEDIENTES!G:G,G28)</f>
        <v>0</v>
      </c>
      <c r="I28" s="218"/>
      <c r="J28" s="218"/>
      <c r="K28" s="218"/>
      <c r="L28" s="218"/>
    </row>
    <row r="29" spans="2:13" ht="24.9" customHeight="1">
      <c r="F29" s="218"/>
      <c r="G29" s="218"/>
      <c r="H29" s="215">
        <f>SUM(H25:H28)</f>
        <v>0</v>
      </c>
      <c r="I29" s="218"/>
      <c r="J29" s="218"/>
      <c r="K29" s="218"/>
      <c r="L29" s="218"/>
    </row>
    <row r="30" spans="2:13" ht="24.9" customHeight="1">
      <c r="F30" s="218"/>
      <c r="G30" s="218"/>
      <c r="H30" s="218"/>
      <c r="I30" s="218"/>
      <c r="J30" s="218"/>
      <c r="K30" s="218"/>
      <c r="L30" s="218"/>
    </row>
    <row r="31" spans="2:13" ht="24.9" customHeight="1">
      <c r="F31" s="218"/>
      <c r="G31" s="218" t="s">
        <v>2273</v>
      </c>
      <c r="H31" s="218"/>
      <c r="I31" s="218"/>
      <c r="J31" s="218"/>
      <c r="K31" s="218"/>
      <c r="L31" s="218"/>
    </row>
    <row r="32" spans="2:13" ht="21.9" customHeight="1">
      <c r="D32" s="10"/>
      <c r="F32" s="218"/>
      <c r="G32" s="24" t="s">
        <v>1652</v>
      </c>
      <c r="H32" s="215">
        <f ca="1">COUNTIFS(EXPEDIENTES!G:G,G32,EXPEDIENTES!O:O,"NO")</f>
        <v>0</v>
      </c>
      <c r="I32" s="218"/>
      <c r="J32" s="218"/>
      <c r="K32" s="218"/>
      <c r="L32" s="218"/>
    </row>
    <row r="33" spans="4:12" ht="21.9" customHeight="1">
      <c r="D33" s="10"/>
      <c r="F33" s="218"/>
      <c r="G33" s="24" t="s">
        <v>1654</v>
      </c>
      <c r="H33" s="215">
        <f ca="1">COUNTIFS(EXPEDIENTES!G:G,G33,EXPEDIENTES!O:O,"NO")</f>
        <v>0</v>
      </c>
      <c r="I33" s="218"/>
      <c r="J33" s="218"/>
      <c r="K33" s="218"/>
      <c r="L33" s="218"/>
    </row>
    <row r="34" spans="4:12" ht="21.9" customHeight="1">
      <c r="D34" s="10"/>
      <c r="F34" s="218"/>
      <c r="G34" s="24" t="s">
        <v>1733</v>
      </c>
      <c r="H34" s="215">
        <f ca="1">COUNTIFS(EXPEDIENTES!G:G,G34,EXPEDIENTES!O:O,"NO")</f>
        <v>0</v>
      </c>
      <c r="I34" s="218"/>
      <c r="J34" s="218"/>
      <c r="K34" s="218"/>
      <c r="L34" s="218"/>
    </row>
    <row r="35" spans="4:12" ht="21.9" customHeight="1">
      <c r="D35" s="10"/>
      <c r="F35" s="218"/>
      <c r="G35" s="24" t="s">
        <v>2270</v>
      </c>
      <c r="H35" s="215">
        <f>COUNTIFS(EXPEDIENTES!G:G,G35,EXPEDIENTES!O:O,"NO")</f>
        <v>0</v>
      </c>
      <c r="I35" s="218"/>
      <c r="J35" s="218"/>
      <c r="K35" s="218"/>
      <c r="L35" s="218"/>
    </row>
    <row r="36" spans="4:12" ht="21.9" customHeight="1">
      <c r="F36" s="218"/>
      <c r="G36" s="218"/>
      <c r="H36" s="215">
        <f ca="1">SUM(H32:H35)</f>
        <v>0</v>
      </c>
      <c r="I36" s="218"/>
      <c r="J36" s="218"/>
      <c r="K36" s="218"/>
      <c r="L36" s="218"/>
    </row>
    <row r="37" spans="4:12" ht="21.9" customHeight="1">
      <c r="F37" s="218"/>
      <c r="G37" s="218"/>
      <c r="H37" s="218"/>
      <c r="I37" s="218"/>
      <c r="J37" s="218"/>
      <c r="K37" s="218"/>
      <c r="L37" s="218"/>
    </row>
    <row r="38" spans="4:12" ht="21.9" customHeight="1">
      <c r="F38" s="218"/>
      <c r="G38" s="218" t="s">
        <v>2272</v>
      </c>
      <c r="H38" s="218"/>
      <c r="I38" s="218"/>
      <c r="J38" s="218"/>
      <c r="K38" s="218"/>
      <c r="L38" s="218"/>
    </row>
    <row r="39" spans="4:12" ht="21.9" customHeight="1">
      <c r="F39" s="218"/>
      <c r="G39" s="24" t="s">
        <v>1652</v>
      </c>
      <c r="H39" s="215">
        <f ca="1">COUNTIFS(EXPEDIENTES!G:G,G39,EXPEDIENTES!O:O,"SI")</f>
        <v>5</v>
      </c>
      <c r="I39" s="218"/>
      <c r="J39" s="218"/>
      <c r="K39" s="218"/>
      <c r="L39" s="218"/>
    </row>
    <row r="40" spans="4:12" ht="21.9" customHeight="1">
      <c r="F40" s="218"/>
      <c r="G40" s="24" t="s">
        <v>1654</v>
      </c>
      <c r="H40" s="215">
        <f ca="1">COUNTIFS(EXPEDIENTES!G:G,G40,EXPEDIENTES!O:O,"SI")</f>
        <v>6</v>
      </c>
      <c r="I40" s="218"/>
      <c r="J40" s="218"/>
      <c r="K40" s="218"/>
      <c r="L40" s="218"/>
    </row>
    <row r="41" spans="4:12" ht="21.9" customHeight="1">
      <c r="F41" s="218"/>
      <c r="G41" s="24" t="s">
        <v>1733</v>
      </c>
      <c r="H41" s="215">
        <f ca="1">COUNTIFS(EXPEDIENTES!G:G,G41,EXPEDIENTES!O:O,"SI")</f>
        <v>3</v>
      </c>
      <c r="I41" s="218"/>
      <c r="J41" s="218"/>
      <c r="K41" s="218"/>
      <c r="L41" s="218"/>
    </row>
    <row r="42" spans="4:12" ht="18.75" customHeight="1">
      <c r="F42" s="218"/>
      <c r="G42" s="24" t="s">
        <v>2270</v>
      </c>
      <c r="H42" s="215">
        <f>COUNTIFS(EXPEDIENTES!G:G,G42,EXPEDIENTES!O:O,"SI")</f>
        <v>0</v>
      </c>
      <c r="I42" s="218"/>
      <c r="J42" s="218"/>
      <c r="K42" s="218"/>
      <c r="L42" s="218"/>
    </row>
    <row r="43" spans="4:12" ht="24.75" customHeight="1">
      <c r="F43" s="218"/>
      <c r="G43" s="218"/>
      <c r="H43" s="215">
        <f ca="1">SUM(H39:H42)</f>
        <v>14</v>
      </c>
      <c r="I43" s="218"/>
      <c r="J43" s="218"/>
      <c r="K43" s="218"/>
      <c r="L43" s="218"/>
    </row>
    <row r="44" spans="4:12" ht="18.75" customHeight="1">
      <c r="F44" s="218"/>
      <c r="G44" s="218"/>
      <c r="H44" s="218"/>
      <c r="I44" s="218"/>
      <c r="J44" s="218"/>
      <c r="K44" s="218"/>
      <c r="L44" s="218"/>
    </row>
    <row r="45" spans="4:12" ht="28.5" customHeight="1">
      <c r="F45" s="218"/>
      <c r="G45" s="218"/>
      <c r="H45" s="218"/>
      <c r="I45" s="218"/>
      <c r="J45" s="218"/>
      <c r="K45" s="218"/>
      <c r="L45" s="218"/>
    </row>
    <row r="46" spans="4:12" ht="28.5" customHeight="1">
      <c r="F46" s="218"/>
      <c r="G46" s="218"/>
      <c r="H46" s="218"/>
      <c r="I46" s="218"/>
      <c r="J46" s="218"/>
      <c r="K46" s="218"/>
      <c r="L46" s="218"/>
    </row>
    <row r="47" spans="4:12" ht="34.5" customHeight="1">
      <c r="F47" s="218"/>
      <c r="G47" s="218"/>
      <c r="H47" s="218"/>
      <c r="I47" s="218"/>
      <c r="J47" s="218"/>
      <c r="K47" s="218"/>
      <c r="L47" s="218"/>
    </row>
    <row r="48" spans="4:12">
      <c r="F48" s="218"/>
      <c r="G48" s="218"/>
      <c r="H48" s="218"/>
      <c r="I48" s="218"/>
      <c r="J48" s="218"/>
      <c r="K48" s="218"/>
      <c r="L48" s="218"/>
    </row>
    <row r="49" spans="6:12">
      <c r="F49" s="218"/>
      <c r="G49" s="218"/>
      <c r="H49" s="218"/>
      <c r="I49" s="218"/>
      <c r="J49" s="218"/>
      <c r="K49" s="218"/>
      <c r="L49" s="218"/>
    </row>
    <row r="50" spans="6:12">
      <c r="F50" s="218"/>
      <c r="G50" s="218"/>
      <c r="H50" s="218"/>
      <c r="I50" s="218"/>
      <c r="J50" s="218"/>
      <c r="K50" s="218"/>
      <c r="L50" s="218"/>
    </row>
    <row r="51" spans="6:12">
      <c r="F51" s="218"/>
      <c r="G51" s="218"/>
      <c r="H51" s="218"/>
      <c r="I51" s="218"/>
      <c r="J51" s="218"/>
      <c r="K51" s="218"/>
      <c r="L51" s="218"/>
    </row>
    <row r="52" spans="6:12">
      <c r="F52" s="218"/>
      <c r="G52" s="218"/>
      <c r="H52" s="218"/>
      <c r="I52" s="218"/>
      <c r="J52" s="218"/>
      <c r="K52" s="218"/>
      <c r="L52" s="218"/>
    </row>
    <row r="53" spans="6:12">
      <c r="F53" s="218"/>
      <c r="G53" s="218"/>
      <c r="H53" s="218"/>
      <c r="I53" s="218"/>
      <c r="J53" s="218"/>
      <c r="K53" s="218"/>
      <c r="L53" s="218"/>
    </row>
    <row r="54" spans="6:12">
      <c r="F54" s="218"/>
      <c r="G54" s="218"/>
      <c r="H54" s="218"/>
      <c r="I54" s="218"/>
      <c r="J54" s="218"/>
      <c r="K54" s="218"/>
      <c r="L54" s="218"/>
    </row>
    <row r="55" spans="6:12">
      <c r="F55" s="218"/>
      <c r="G55" s="218"/>
      <c r="H55" s="218"/>
      <c r="I55" s="218"/>
      <c r="J55" s="218"/>
      <c r="K55" s="218"/>
      <c r="L55" s="218"/>
    </row>
    <row r="56" spans="6:12">
      <c r="F56" s="218"/>
      <c r="G56" s="218"/>
      <c r="H56" s="218"/>
      <c r="I56" s="218"/>
      <c r="J56" s="218"/>
      <c r="K56" s="218"/>
      <c r="L56" s="218"/>
    </row>
    <row r="57" spans="6:12">
      <c r="F57" s="218"/>
      <c r="G57" s="218"/>
      <c r="H57" s="218"/>
      <c r="I57" s="218"/>
      <c r="J57" s="218"/>
      <c r="K57" s="218"/>
      <c r="L57" s="218"/>
    </row>
    <row r="58" spans="6:12">
      <c r="F58" s="218"/>
      <c r="G58" s="218"/>
      <c r="H58" s="218"/>
      <c r="I58" s="218"/>
      <c r="J58" s="218"/>
      <c r="K58" s="218"/>
      <c r="L58" s="218"/>
    </row>
    <row r="59" spans="6:12">
      <c r="F59" s="218"/>
      <c r="G59" s="218"/>
      <c r="H59" s="218"/>
      <c r="I59" s="218"/>
      <c r="J59" s="218"/>
      <c r="K59" s="218"/>
      <c r="L59" s="218"/>
    </row>
    <row r="60" spans="6:12">
      <c r="F60" s="218"/>
      <c r="G60" s="218"/>
      <c r="H60" s="218"/>
      <c r="I60" s="218"/>
      <c r="J60" s="218"/>
      <c r="K60" s="218"/>
      <c r="L60" s="218"/>
    </row>
    <row r="61" spans="6:12">
      <c r="F61" s="218"/>
      <c r="G61" s="218"/>
      <c r="H61" s="218"/>
      <c r="I61" s="218"/>
      <c r="J61" s="218"/>
      <c r="K61" s="218"/>
      <c r="L61" s="218"/>
    </row>
    <row r="62" spans="6:12">
      <c r="F62" s="218"/>
      <c r="G62" s="218"/>
      <c r="H62" s="218"/>
      <c r="I62" s="218"/>
      <c r="J62" s="218"/>
      <c r="K62" s="218"/>
      <c r="L62" s="218"/>
    </row>
    <row r="63" spans="6:12">
      <c r="F63" s="218"/>
      <c r="G63" s="218"/>
      <c r="H63" s="218"/>
      <c r="I63" s="218"/>
      <c r="J63" s="218"/>
      <c r="K63" s="218"/>
      <c r="L63" s="218"/>
    </row>
    <row r="64" spans="6:12">
      <c r="F64" s="218"/>
      <c r="G64" s="218"/>
      <c r="H64" s="218"/>
      <c r="I64" s="218"/>
      <c r="J64" s="218"/>
      <c r="K64" s="218"/>
      <c r="L64" s="218"/>
    </row>
    <row r="65" spans="6:12">
      <c r="F65" s="218"/>
      <c r="G65" s="218"/>
      <c r="H65" s="218"/>
      <c r="I65" s="218"/>
      <c r="J65" s="218"/>
      <c r="K65" s="218"/>
      <c r="L65" s="218"/>
    </row>
    <row r="66" spans="6:12">
      <c r="F66" s="218"/>
      <c r="G66" s="218"/>
      <c r="H66" s="218"/>
      <c r="I66" s="218"/>
      <c r="J66" s="218"/>
      <c r="K66" s="218"/>
      <c r="L66" s="218"/>
    </row>
    <row r="67" spans="6:12">
      <c r="F67" s="218"/>
      <c r="G67" s="218"/>
      <c r="H67" s="218"/>
      <c r="I67" s="218"/>
      <c r="J67" s="218"/>
      <c r="K67" s="218"/>
      <c r="L67" s="218"/>
    </row>
    <row r="68" spans="6:12">
      <c r="F68" s="218"/>
      <c r="G68" s="218"/>
      <c r="H68" s="218"/>
      <c r="I68" s="218"/>
      <c r="J68" s="218"/>
      <c r="K68" s="218"/>
      <c r="L68" s="218"/>
    </row>
    <row r="69" spans="6:12">
      <c r="F69" s="218"/>
      <c r="G69" s="218"/>
      <c r="H69" s="218"/>
      <c r="I69" s="218"/>
      <c r="J69" s="218"/>
      <c r="K69" s="218"/>
      <c r="L69" s="218"/>
    </row>
    <row r="70" spans="6:12">
      <c r="F70" s="218"/>
      <c r="G70" s="218"/>
      <c r="H70" s="218"/>
      <c r="I70" s="218"/>
      <c r="J70" s="218"/>
      <c r="K70" s="218"/>
      <c r="L70" s="218"/>
    </row>
    <row r="71" spans="6:12">
      <c r="F71" s="218"/>
      <c r="G71" s="218"/>
      <c r="H71" s="218"/>
      <c r="I71" s="218"/>
      <c r="J71" s="218"/>
      <c r="K71" s="218"/>
      <c r="L71" s="218"/>
    </row>
    <row r="72" spans="6:12">
      <c r="F72" s="218"/>
      <c r="G72" s="218"/>
      <c r="H72" s="218"/>
      <c r="I72" s="218"/>
      <c r="J72" s="218"/>
      <c r="K72" s="218"/>
      <c r="L72" s="218"/>
    </row>
    <row r="73" spans="6:12">
      <c r="F73" s="218"/>
      <c r="G73" s="218"/>
      <c r="H73" s="218"/>
      <c r="I73" s="218"/>
      <c r="J73" s="218"/>
      <c r="K73" s="218"/>
      <c r="L73" s="218"/>
    </row>
    <row r="74" spans="6:12">
      <c r="F74" s="218"/>
      <c r="G74" s="218"/>
      <c r="H74" s="218"/>
      <c r="I74" s="218"/>
      <c r="J74" s="218"/>
      <c r="K74" s="218"/>
      <c r="L74" s="218"/>
    </row>
    <row r="75" spans="6:12">
      <c r="F75" s="218"/>
      <c r="G75" s="218"/>
      <c r="H75" s="218"/>
      <c r="I75" s="218"/>
      <c r="J75" s="218"/>
      <c r="K75" s="218"/>
      <c r="L75" s="218"/>
    </row>
    <row r="76" spans="6:12">
      <c r="F76" s="218"/>
      <c r="G76" s="218"/>
      <c r="H76" s="218"/>
      <c r="I76" s="218"/>
      <c r="J76" s="218"/>
      <c r="K76" s="218"/>
      <c r="L76" s="218"/>
    </row>
    <row r="77" spans="6:12">
      <c r="F77" s="218"/>
      <c r="G77" s="218"/>
      <c r="H77" s="218"/>
      <c r="I77" s="218"/>
      <c r="J77" s="218"/>
      <c r="K77" s="218"/>
      <c r="L77" s="218"/>
    </row>
    <row r="78" spans="6:12">
      <c r="F78" s="218"/>
      <c r="G78" s="218"/>
      <c r="H78" s="218"/>
      <c r="I78" s="218"/>
      <c r="J78" s="218"/>
      <c r="K78" s="218"/>
      <c r="L78" s="218"/>
    </row>
    <row r="79" spans="6:12">
      <c r="F79" s="218"/>
      <c r="G79" s="218"/>
      <c r="H79" s="218"/>
      <c r="I79" s="218"/>
      <c r="J79" s="218"/>
      <c r="K79" s="218"/>
      <c r="L79" s="218"/>
    </row>
    <row r="80" spans="6:12">
      <c r="F80" s="218"/>
      <c r="G80" s="218"/>
      <c r="H80" s="218"/>
      <c r="I80" s="218"/>
      <c r="J80" s="218"/>
      <c r="K80" s="218"/>
      <c r="L80" s="218"/>
    </row>
    <row r="81" spans="6:12">
      <c r="F81" s="218"/>
      <c r="G81" s="218"/>
      <c r="H81" s="218"/>
      <c r="I81" s="218"/>
      <c r="J81" s="218"/>
      <c r="K81" s="218"/>
      <c r="L81" s="218"/>
    </row>
    <row r="82" spans="6:12">
      <c r="F82" s="218"/>
      <c r="G82" s="218"/>
      <c r="H82" s="218"/>
      <c r="I82" s="218"/>
      <c r="J82" s="218"/>
      <c r="K82" s="218"/>
      <c r="L82" s="218"/>
    </row>
    <row r="83" spans="6:12">
      <c r="F83" s="218"/>
      <c r="G83" s="218"/>
      <c r="H83" s="218"/>
      <c r="I83" s="218"/>
      <c r="J83" s="218"/>
      <c r="K83" s="218"/>
      <c r="L83" s="218"/>
    </row>
    <row r="84" spans="6:12">
      <c r="F84" s="218"/>
      <c r="G84" s="218"/>
      <c r="H84" s="218"/>
      <c r="I84" s="218"/>
      <c r="J84" s="218"/>
      <c r="K84" s="218"/>
      <c r="L84" s="218"/>
    </row>
    <row r="85" spans="6:12">
      <c r="F85" s="218"/>
      <c r="G85" s="218"/>
      <c r="H85" s="218"/>
      <c r="I85" s="218"/>
      <c r="J85" s="218"/>
      <c r="K85" s="218"/>
      <c r="L85" s="218"/>
    </row>
    <row r="86" spans="6:12">
      <c r="F86" s="218"/>
      <c r="G86" s="218"/>
      <c r="H86" s="218"/>
      <c r="I86" s="218"/>
      <c r="J86" s="218"/>
      <c r="K86" s="218"/>
      <c r="L86" s="218"/>
    </row>
    <row r="87" spans="6:12">
      <c r="F87" s="218"/>
      <c r="G87" s="218"/>
      <c r="H87" s="218"/>
      <c r="I87" s="218"/>
      <c r="J87" s="218"/>
      <c r="K87" s="218"/>
      <c r="L87" s="218"/>
    </row>
    <row r="88" spans="6:12">
      <c r="F88" s="218"/>
      <c r="G88" s="218"/>
      <c r="H88" s="218"/>
      <c r="I88" s="218"/>
      <c r="J88" s="218"/>
      <c r="K88" s="218"/>
      <c r="L88" s="218"/>
    </row>
    <row r="89" spans="6:12">
      <c r="F89" s="218"/>
      <c r="G89" s="218"/>
      <c r="H89" s="218"/>
      <c r="I89" s="218"/>
      <c r="J89" s="218"/>
      <c r="K89" s="218"/>
      <c r="L89" s="218"/>
    </row>
    <row r="90" spans="6:12">
      <c r="F90" s="218"/>
      <c r="G90" s="218"/>
      <c r="H90" s="218"/>
      <c r="I90" s="218"/>
      <c r="J90" s="218"/>
      <c r="K90" s="218"/>
      <c r="L90" s="218"/>
    </row>
    <row r="91" spans="6:12">
      <c r="F91" s="218"/>
      <c r="G91" s="218"/>
      <c r="H91" s="218"/>
      <c r="I91" s="218"/>
      <c r="J91" s="218"/>
      <c r="K91" s="218"/>
      <c r="L91" s="218"/>
    </row>
    <row r="92" spans="6:12">
      <c r="F92" s="218"/>
      <c r="G92" s="218"/>
      <c r="H92" s="218"/>
      <c r="I92" s="218"/>
      <c r="J92" s="218"/>
      <c r="K92" s="218"/>
      <c r="L92" s="218"/>
    </row>
    <row r="93" spans="6:12">
      <c r="F93" s="218"/>
      <c r="G93" s="218"/>
      <c r="H93" s="218"/>
      <c r="I93" s="218"/>
      <c r="J93" s="218"/>
      <c r="K93" s="218"/>
      <c r="L93" s="218"/>
    </row>
    <row r="94" spans="6:12">
      <c r="F94" s="218"/>
      <c r="G94" s="218"/>
      <c r="H94" s="218"/>
      <c r="I94" s="218"/>
      <c r="J94" s="218"/>
      <c r="K94" s="218"/>
      <c r="L94" s="218"/>
    </row>
    <row r="95" spans="6:12">
      <c r="F95" s="218"/>
      <c r="G95" s="218"/>
      <c r="H95" s="218"/>
      <c r="I95" s="218"/>
      <c r="J95" s="218"/>
      <c r="K95" s="218"/>
      <c r="L95" s="218"/>
    </row>
    <row r="96" spans="6:12">
      <c r="F96" s="218"/>
      <c r="G96" s="218"/>
      <c r="H96" s="218"/>
      <c r="I96" s="218"/>
      <c r="J96" s="218"/>
      <c r="K96" s="218"/>
      <c r="L96" s="218"/>
    </row>
    <row r="97" spans="6:12">
      <c r="F97" s="218"/>
      <c r="G97" s="218"/>
      <c r="H97" s="218"/>
      <c r="I97" s="218"/>
      <c r="J97" s="218"/>
      <c r="K97" s="218"/>
      <c r="L97" s="218"/>
    </row>
    <row r="98" spans="6:12">
      <c r="F98" s="218"/>
      <c r="G98" s="218"/>
      <c r="H98" s="218"/>
      <c r="I98" s="218"/>
      <c r="J98" s="218"/>
      <c r="K98" s="218"/>
      <c r="L98" s="218"/>
    </row>
    <row r="99" spans="6:12">
      <c r="F99" s="218"/>
      <c r="G99" s="218"/>
      <c r="H99" s="218"/>
      <c r="I99" s="218"/>
      <c r="J99" s="218"/>
      <c r="K99" s="218"/>
      <c r="L99" s="218"/>
    </row>
    <row r="100" spans="6:12">
      <c r="F100" s="218"/>
      <c r="G100" s="218"/>
      <c r="H100" s="218"/>
      <c r="I100" s="218"/>
      <c r="J100" s="218"/>
      <c r="K100" s="218"/>
      <c r="L100" s="218"/>
    </row>
    <row r="101" spans="6:12">
      <c r="F101" s="218"/>
      <c r="G101" s="218"/>
      <c r="H101" s="218"/>
      <c r="I101" s="218"/>
      <c r="J101" s="218"/>
      <c r="K101" s="218"/>
      <c r="L101" s="218"/>
    </row>
    <row r="102" spans="6:12">
      <c r="F102" s="218"/>
      <c r="G102" s="218"/>
      <c r="H102" s="218"/>
      <c r="I102" s="218"/>
      <c r="J102" s="218"/>
      <c r="K102" s="218"/>
      <c r="L102" s="218"/>
    </row>
    <row r="103" spans="6:12">
      <c r="F103" s="218"/>
      <c r="G103" s="218"/>
      <c r="H103" s="218"/>
      <c r="I103" s="218"/>
      <c r="J103" s="218"/>
      <c r="K103" s="218"/>
      <c r="L103" s="218"/>
    </row>
    <row r="104" spans="6:12">
      <c r="F104" s="218"/>
      <c r="G104" s="218"/>
      <c r="H104" s="218"/>
      <c r="I104" s="218"/>
      <c r="J104" s="218"/>
      <c r="K104" s="218"/>
      <c r="L104" s="218"/>
    </row>
    <row r="105" spans="6:12">
      <c r="F105" s="218"/>
      <c r="G105" s="218"/>
      <c r="H105" s="218"/>
      <c r="I105" s="218"/>
      <c r="J105" s="218"/>
      <c r="K105" s="218"/>
      <c r="L105" s="218"/>
    </row>
    <row r="106" spans="6:12">
      <c r="F106" s="218"/>
      <c r="G106" s="218"/>
      <c r="H106" s="218"/>
      <c r="I106" s="218"/>
      <c r="J106" s="218"/>
      <c r="K106" s="218"/>
      <c r="L106" s="218"/>
    </row>
    <row r="107" spans="6:12">
      <c r="F107" s="218"/>
      <c r="G107" s="218"/>
      <c r="H107" s="218"/>
      <c r="I107" s="218"/>
      <c r="J107" s="218"/>
      <c r="K107" s="218"/>
      <c r="L107" s="218"/>
    </row>
    <row r="108" spans="6:12">
      <c r="F108" s="218"/>
      <c r="G108" s="218"/>
      <c r="H108" s="218"/>
      <c r="I108" s="218"/>
      <c r="J108" s="218"/>
      <c r="K108" s="218"/>
      <c r="L108" s="218"/>
    </row>
    <row r="109" spans="6:12">
      <c r="F109" s="218"/>
      <c r="G109" s="218"/>
      <c r="H109" s="218"/>
      <c r="I109" s="218"/>
      <c r="J109" s="218"/>
      <c r="K109" s="218"/>
      <c r="L109" s="218"/>
    </row>
    <row r="110" spans="6:12">
      <c r="F110" s="218"/>
      <c r="G110" s="218"/>
      <c r="H110" s="218"/>
      <c r="I110" s="218"/>
      <c r="J110" s="218"/>
      <c r="K110" s="218"/>
      <c r="L110" s="218"/>
    </row>
    <row r="111" spans="6:12">
      <c r="F111" s="218"/>
      <c r="G111" s="218"/>
      <c r="H111" s="218"/>
      <c r="I111" s="218"/>
      <c r="J111" s="218"/>
      <c r="K111" s="218"/>
      <c r="L111" s="218"/>
    </row>
    <row r="112" spans="6:12">
      <c r="F112" s="218"/>
      <c r="G112" s="218"/>
      <c r="H112" s="218"/>
      <c r="I112" s="218"/>
      <c r="J112" s="218"/>
      <c r="K112" s="218"/>
      <c r="L112" s="218"/>
    </row>
    <row r="113" spans="6:12">
      <c r="F113" s="218"/>
      <c r="G113" s="218"/>
      <c r="H113" s="218"/>
      <c r="I113" s="218"/>
      <c r="J113" s="218"/>
      <c r="K113" s="218"/>
      <c r="L113" s="218"/>
    </row>
    <row r="114" spans="6:12">
      <c r="F114" s="218"/>
      <c r="G114" s="218"/>
      <c r="H114" s="218"/>
      <c r="I114" s="218"/>
      <c r="J114" s="218"/>
      <c r="K114" s="218"/>
      <c r="L114" s="218"/>
    </row>
    <row r="115" spans="6:12">
      <c r="F115" s="218"/>
      <c r="G115" s="218"/>
      <c r="H115" s="218"/>
      <c r="I115" s="218"/>
      <c r="J115" s="218"/>
      <c r="K115" s="218"/>
      <c r="L115" s="218"/>
    </row>
    <row r="116" spans="6:12">
      <c r="F116" s="218"/>
      <c r="G116" s="218"/>
      <c r="H116" s="218"/>
      <c r="I116" s="218"/>
      <c r="J116" s="218"/>
      <c r="K116" s="218"/>
      <c r="L116" s="218"/>
    </row>
    <row r="117" spans="6:12">
      <c r="F117" s="218"/>
      <c r="G117" s="218"/>
      <c r="H117" s="218"/>
      <c r="I117" s="218"/>
      <c r="J117" s="218"/>
      <c r="K117" s="218"/>
      <c r="L117" s="218"/>
    </row>
    <row r="118" spans="6:12">
      <c r="F118" s="218"/>
      <c r="G118" s="218"/>
      <c r="H118" s="218"/>
      <c r="I118" s="218"/>
      <c r="J118" s="218"/>
      <c r="K118" s="218"/>
      <c r="L118" s="218"/>
    </row>
    <row r="119" spans="6:12">
      <c r="F119" s="218"/>
      <c r="G119" s="218"/>
      <c r="H119" s="218"/>
      <c r="I119" s="218"/>
      <c r="J119" s="218"/>
      <c r="K119" s="218"/>
      <c r="L119" s="218"/>
    </row>
    <row r="120" spans="6:12">
      <c r="F120" s="218"/>
      <c r="G120" s="218"/>
      <c r="H120" s="218"/>
      <c r="I120" s="218"/>
      <c r="J120" s="218"/>
      <c r="K120" s="218"/>
      <c r="L120" s="218"/>
    </row>
    <row r="121" spans="6:12">
      <c r="F121" s="218"/>
      <c r="G121" s="218"/>
      <c r="H121" s="218"/>
      <c r="I121" s="218"/>
      <c r="J121" s="218"/>
      <c r="K121" s="218"/>
      <c r="L121" s="218"/>
    </row>
    <row r="122" spans="6:12">
      <c r="F122" s="218"/>
      <c r="G122" s="218"/>
      <c r="H122" s="218"/>
      <c r="I122" s="218"/>
      <c r="J122" s="218"/>
      <c r="K122" s="218"/>
      <c r="L122" s="218"/>
    </row>
    <row r="123" spans="6:12">
      <c r="F123" s="218"/>
      <c r="G123" s="218"/>
      <c r="H123" s="218"/>
      <c r="I123" s="218"/>
      <c r="J123" s="218"/>
      <c r="K123" s="218"/>
      <c r="L123" s="218"/>
    </row>
    <row r="124" spans="6:12">
      <c r="F124" s="218"/>
      <c r="G124" s="218"/>
      <c r="H124" s="218"/>
      <c r="I124" s="218"/>
      <c r="J124" s="218"/>
      <c r="K124" s="218"/>
      <c r="L124" s="218"/>
    </row>
    <row r="125" spans="6:12">
      <c r="F125" s="218"/>
      <c r="G125" s="218"/>
      <c r="H125" s="218"/>
      <c r="I125" s="218"/>
      <c r="J125" s="218"/>
      <c r="K125" s="218"/>
      <c r="L125" s="218"/>
    </row>
    <row r="126" spans="6:12">
      <c r="F126" s="218"/>
      <c r="G126" s="218"/>
      <c r="H126" s="218"/>
      <c r="I126" s="218"/>
      <c r="J126" s="218"/>
      <c r="K126" s="218"/>
      <c r="L126" s="218"/>
    </row>
    <row r="127" spans="6:12">
      <c r="F127" s="218"/>
      <c r="G127" s="218"/>
      <c r="H127" s="218"/>
      <c r="I127" s="218"/>
      <c r="J127" s="218"/>
      <c r="K127" s="218"/>
      <c r="L127" s="218"/>
    </row>
    <row r="128" spans="6:12">
      <c r="F128" s="218"/>
      <c r="G128" s="218"/>
      <c r="H128" s="218"/>
      <c r="I128" s="218"/>
      <c r="J128" s="218"/>
      <c r="K128" s="218"/>
      <c r="L128" s="218"/>
    </row>
    <row r="129" spans="6:12">
      <c r="F129" s="218"/>
      <c r="G129" s="218"/>
      <c r="H129" s="218"/>
      <c r="I129" s="218"/>
      <c r="J129" s="218"/>
      <c r="K129" s="218"/>
      <c r="L129" s="218"/>
    </row>
    <row r="130" spans="6:12">
      <c r="F130" s="218"/>
      <c r="G130" s="218"/>
      <c r="H130" s="218"/>
      <c r="I130" s="218"/>
      <c r="J130" s="218"/>
      <c r="K130" s="218"/>
      <c r="L130" s="218"/>
    </row>
    <row r="131" spans="6:12">
      <c r="F131" s="218"/>
      <c r="G131" s="218"/>
      <c r="H131" s="218"/>
      <c r="I131" s="218"/>
      <c r="J131" s="218"/>
      <c r="K131" s="218"/>
      <c r="L131" s="218"/>
    </row>
    <row r="132" spans="6:12">
      <c r="F132" s="218"/>
      <c r="G132" s="218"/>
      <c r="H132" s="218"/>
      <c r="I132" s="218"/>
      <c r="J132" s="218"/>
      <c r="K132" s="218"/>
      <c r="L132" s="218"/>
    </row>
    <row r="133" spans="6:12">
      <c r="F133" s="218"/>
      <c r="G133" s="218"/>
      <c r="H133" s="218"/>
      <c r="I133" s="218"/>
      <c r="J133" s="218"/>
      <c r="K133" s="218"/>
      <c r="L133" s="218"/>
    </row>
    <row r="134" spans="6:12">
      <c r="F134" s="218"/>
      <c r="G134" s="218"/>
      <c r="H134" s="218"/>
      <c r="I134" s="218"/>
      <c r="J134" s="218"/>
      <c r="K134" s="218"/>
      <c r="L134" s="218"/>
    </row>
    <row r="135" spans="6:12">
      <c r="F135" s="218"/>
      <c r="G135" s="218"/>
      <c r="H135" s="218"/>
      <c r="I135" s="218"/>
      <c r="J135" s="218"/>
      <c r="K135" s="218"/>
      <c r="L135" s="218"/>
    </row>
    <row r="136" spans="6:12">
      <c r="F136" s="218"/>
      <c r="G136" s="218"/>
      <c r="H136" s="218"/>
      <c r="I136" s="218"/>
      <c r="J136" s="218"/>
      <c r="K136" s="218"/>
      <c r="L136" s="218"/>
    </row>
    <row r="137" spans="6:12">
      <c r="F137" s="218"/>
      <c r="G137" s="218"/>
      <c r="H137" s="218"/>
      <c r="I137" s="218"/>
      <c r="J137" s="218"/>
      <c r="K137" s="218"/>
      <c r="L137" s="218"/>
    </row>
    <row r="138" spans="6:12">
      <c r="F138" s="218"/>
      <c r="G138" s="218"/>
      <c r="H138" s="218"/>
      <c r="I138" s="218"/>
      <c r="J138" s="218"/>
      <c r="K138" s="218"/>
      <c r="L138" s="218"/>
    </row>
    <row r="139" spans="6:12">
      <c r="F139" s="218"/>
      <c r="G139" s="218"/>
      <c r="H139" s="218"/>
      <c r="I139" s="218"/>
      <c r="J139" s="218"/>
      <c r="K139" s="218"/>
      <c r="L139" s="218"/>
    </row>
    <row r="140" spans="6:12">
      <c r="F140" s="218"/>
      <c r="G140" s="218"/>
      <c r="H140" s="218"/>
      <c r="I140" s="218"/>
      <c r="J140" s="218"/>
      <c r="K140" s="218"/>
      <c r="L140" s="218"/>
    </row>
    <row r="141" spans="6:12">
      <c r="F141" s="218"/>
      <c r="G141" s="218"/>
      <c r="H141" s="218"/>
      <c r="I141" s="218"/>
      <c r="J141" s="218"/>
      <c r="K141" s="218"/>
      <c r="L141" s="218"/>
    </row>
    <row r="142" spans="6:12">
      <c r="F142" s="218"/>
      <c r="G142" s="218"/>
      <c r="H142" s="218"/>
      <c r="I142" s="218"/>
      <c r="J142" s="218"/>
      <c r="K142" s="218"/>
      <c r="L142" s="218"/>
    </row>
    <row r="143" spans="6:12">
      <c r="F143" s="218"/>
      <c r="G143" s="218"/>
      <c r="H143" s="218"/>
      <c r="I143" s="218"/>
      <c r="J143" s="218"/>
      <c r="K143" s="218"/>
      <c r="L143" s="218"/>
    </row>
    <row r="144" spans="6:12">
      <c r="F144" s="218"/>
      <c r="G144" s="218"/>
      <c r="H144" s="218"/>
      <c r="I144" s="218"/>
      <c r="J144" s="218"/>
      <c r="K144" s="218"/>
      <c r="L144" s="218"/>
    </row>
    <row r="145" spans="6:12">
      <c r="F145" s="218"/>
      <c r="G145" s="218"/>
      <c r="H145" s="218"/>
      <c r="I145" s="218"/>
      <c r="J145" s="218"/>
      <c r="K145" s="218"/>
      <c r="L145" s="218"/>
    </row>
    <row r="146" spans="6:12">
      <c r="F146" s="218"/>
      <c r="G146" s="218"/>
      <c r="H146" s="218"/>
      <c r="I146" s="218"/>
      <c r="J146" s="218"/>
      <c r="K146" s="218"/>
      <c r="L146" s="218"/>
    </row>
    <row r="147" spans="6:12">
      <c r="F147" s="218"/>
      <c r="G147" s="218"/>
      <c r="H147" s="218"/>
      <c r="I147" s="218"/>
      <c r="J147" s="218"/>
      <c r="K147" s="218"/>
      <c r="L147" s="218"/>
    </row>
    <row r="148" spans="6:12">
      <c r="F148" s="218"/>
      <c r="G148" s="218"/>
      <c r="H148" s="218"/>
      <c r="I148" s="218"/>
      <c r="J148" s="218"/>
      <c r="K148" s="218"/>
      <c r="L148" s="218"/>
    </row>
    <row r="149" spans="6:12">
      <c r="F149" s="218"/>
      <c r="G149" s="218"/>
      <c r="H149" s="218"/>
      <c r="I149" s="218"/>
      <c r="J149" s="218"/>
      <c r="K149" s="218"/>
      <c r="L149" s="218"/>
    </row>
    <row r="150" spans="6:12">
      <c r="F150" s="218"/>
      <c r="G150" s="218"/>
      <c r="H150" s="218"/>
      <c r="I150" s="218"/>
      <c r="J150" s="218"/>
      <c r="K150" s="218"/>
      <c r="L150" s="218"/>
    </row>
    <row r="151" spans="6:12">
      <c r="F151" s="218"/>
      <c r="G151" s="218"/>
      <c r="H151" s="218"/>
      <c r="I151" s="218"/>
      <c r="J151" s="218"/>
      <c r="K151" s="218"/>
      <c r="L151" s="218"/>
    </row>
    <row r="152" spans="6:12">
      <c r="F152" s="218"/>
      <c r="G152" s="218"/>
      <c r="H152" s="218"/>
      <c r="I152" s="218"/>
      <c r="J152" s="218"/>
      <c r="K152" s="218"/>
      <c r="L152" s="218"/>
    </row>
    <row r="153" spans="6:12">
      <c r="F153" s="218"/>
      <c r="G153" s="218"/>
      <c r="H153" s="218"/>
      <c r="I153" s="218"/>
      <c r="J153" s="218"/>
      <c r="K153" s="218"/>
      <c r="L153" s="218"/>
    </row>
    <row r="154" spans="6:12">
      <c r="F154" s="218"/>
      <c r="G154" s="218"/>
      <c r="H154" s="218"/>
      <c r="I154" s="218"/>
      <c r="J154" s="218"/>
      <c r="K154" s="218"/>
      <c r="L154" s="218"/>
    </row>
    <row r="155" spans="6:12">
      <c r="F155" s="218"/>
      <c r="G155" s="218"/>
      <c r="H155" s="218"/>
      <c r="I155" s="218"/>
      <c r="J155" s="218"/>
      <c r="K155" s="218"/>
      <c r="L155" s="218"/>
    </row>
    <row r="156" spans="6:12">
      <c r="F156" s="218"/>
      <c r="G156" s="218"/>
      <c r="H156" s="218"/>
      <c r="I156" s="218"/>
      <c r="J156" s="218"/>
      <c r="K156" s="218"/>
      <c r="L156" s="218"/>
    </row>
    <row r="157" spans="6:12">
      <c r="F157" s="218"/>
      <c r="G157" s="218"/>
      <c r="H157" s="218"/>
      <c r="I157" s="218"/>
      <c r="J157" s="218"/>
      <c r="K157" s="218"/>
      <c r="L157" s="218"/>
    </row>
    <row r="158" spans="6:12">
      <c r="F158" s="218"/>
      <c r="G158" s="218"/>
      <c r="H158" s="218"/>
      <c r="I158" s="218"/>
      <c r="J158" s="218"/>
      <c r="K158" s="218"/>
      <c r="L158" s="218"/>
    </row>
    <row r="159" spans="6:12">
      <c r="F159" s="218"/>
      <c r="G159" s="218"/>
      <c r="H159" s="218"/>
      <c r="I159" s="218"/>
      <c r="J159" s="218"/>
      <c r="K159" s="218"/>
      <c r="L159" s="218"/>
    </row>
    <row r="160" spans="6:12">
      <c r="F160" s="218"/>
      <c r="G160" s="218"/>
      <c r="H160" s="218"/>
      <c r="I160" s="218"/>
      <c r="J160" s="218"/>
      <c r="K160" s="218"/>
      <c r="L160" s="218"/>
    </row>
    <row r="161" spans="6:12">
      <c r="F161" s="218"/>
      <c r="G161" s="218"/>
      <c r="H161" s="218"/>
      <c r="I161" s="218"/>
      <c r="J161" s="218"/>
      <c r="K161" s="218"/>
      <c r="L161" s="218"/>
    </row>
    <row r="162" spans="6:12">
      <c r="F162" s="218"/>
      <c r="G162" s="218"/>
      <c r="H162" s="218"/>
      <c r="I162" s="218"/>
      <c r="J162" s="218"/>
      <c r="K162" s="218"/>
      <c r="L162" s="218"/>
    </row>
    <row r="163" spans="6:12">
      <c r="F163" s="218"/>
      <c r="G163" s="218"/>
      <c r="H163" s="218"/>
      <c r="I163" s="218"/>
      <c r="J163" s="218"/>
      <c r="K163" s="218"/>
      <c r="L163" s="218"/>
    </row>
    <row r="164" spans="6:12">
      <c r="F164" s="218"/>
      <c r="G164" s="218"/>
      <c r="H164" s="218"/>
      <c r="I164" s="218"/>
      <c r="J164" s="218"/>
      <c r="K164" s="218"/>
      <c r="L164" s="218"/>
    </row>
    <row r="165" spans="6:12">
      <c r="F165" s="218"/>
      <c r="G165" s="218"/>
      <c r="H165" s="218"/>
      <c r="I165" s="218"/>
      <c r="J165" s="218"/>
      <c r="K165" s="218"/>
      <c r="L165" s="218"/>
    </row>
    <row r="166" spans="6:12">
      <c r="F166" s="218"/>
      <c r="G166" s="218"/>
      <c r="H166" s="218"/>
      <c r="I166" s="218"/>
      <c r="J166" s="218"/>
      <c r="K166" s="218"/>
      <c r="L166" s="218"/>
    </row>
    <row r="167" spans="6:12">
      <c r="F167" s="218"/>
      <c r="G167" s="218"/>
      <c r="H167" s="218"/>
      <c r="I167" s="218"/>
      <c r="J167" s="218"/>
      <c r="K167" s="218"/>
      <c r="L167" s="218"/>
    </row>
    <row r="168" spans="6:12">
      <c r="F168" s="218"/>
      <c r="G168" s="218"/>
      <c r="H168" s="218"/>
      <c r="I168" s="218"/>
      <c r="J168" s="218"/>
      <c r="K168" s="218"/>
      <c r="L168" s="218"/>
    </row>
    <row r="169" spans="6:12">
      <c r="F169" s="218"/>
      <c r="G169" s="218"/>
      <c r="H169" s="218"/>
      <c r="I169" s="218"/>
      <c r="J169" s="218"/>
      <c r="K169" s="218"/>
      <c r="L169" s="218"/>
    </row>
    <row r="170" spans="6:12">
      <c r="F170" s="218"/>
      <c r="G170" s="218"/>
      <c r="H170" s="218"/>
      <c r="I170" s="218"/>
      <c r="J170" s="218"/>
      <c r="K170" s="218"/>
      <c r="L170" s="218"/>
    </row>
    <row r="171" spans="6:12">
      <c r="F171" s="218"/>
      <c r="G171" s="218"/>
      <c r="H171" s="218"/>
      <c r="I171" s="218"/>
      <c r="J171" s="218"/>
      <c r="K171" s="218"/>
      <c r="L171" s="218"/>
    </row>
    <row r="172" spans="6:12">
      <c r="F172" s="218"/>
      <c r="G172" s="218"/>
      <c r="H172" s="218"/>
      <c r="I172" s="218"/>
      <c r="J172" s="218"/>
      <c r="K172" s="218"/>
      <c r="L172" s="218"/>
    </row>
    <row r="173" spans="6:12">
      <c r="F173" s="218"/>
      <c r="G173" s="218"/>
      <c r="H173" s="218"/>
      <c r="I173" s="218"/>
      <c r="J173" s="218"/>
      <c r="K173" s="218"/>
      <c r="L173" s="218"/>
    </row>
    <row r="174" spans="6:12">
      <c r="F174" s="218"/>
      <c r="G174" s="218"/>
      <c r="H174" s="218"/>
      <c r="I174" s="218"/>
      <c r="J174" s="218"/>
      <c r="K174" s="218"/>
      <c r="L174" s="218"/>
    </row>
    <row r="175" spans="6:12">
      <c r="F175" s="218"/>
      <c r="G175" s="218"/>
      <c r="H175" s="218"/>
      <c r="I175" s="218"/>
      <c r="J175" s="218"/>
      <c r="K175" s="218"/>
      <c r="L175" s="218"/>
    </row>
    <row r="176" spans="6:12">
      <c r="F176" s="218"/>
      <c r="G176" s="218"/>
      <c r="H176" s="218"/>
      <c r="I176" s="218"/>
      <c r="J176" s="218"/>
      <c r="K176" s="218"/>
      <c r="L176" s="218"/>
    </row>
    <row r="177" spans="6:12">
      <c r="F177" s="218"/>
      <c r="G177" s="218"/>
      <c r="H177" s="218"/>
      <c r="I177" s="218"/>
      <c r="J177" s="218"/>
      <c r="K177" s="218"/>
      <c r="L177" s="218"/>
    </row>
    <row r="178" spans="6:12">
      <c r="F178" s="218"/>
      <c r="G178" s="218"/>
      <c r="H178" s="218"/>
      <c r="I178" s="218"/>
      <c r="J178" s="218"/>
      <c r="K178" s="218"/>
      <c r="L178" s="218"/>
    </row>
    <row r="179" spans="6:12">
      <c r="F179" s="218"/>
      <c r="G179" s="218"/>
      <c r="H179" s="218"/>
      <c r="I179" s="218"/>
      <c r="J179" s="218"/>
      <c r="K179" s="218"/>
      <c r="L179" s="218"/>
    </row>
    <row r="180" spans="6:12">
      <c r="F180" s="218"/>
      <c r="G180" s="218"/>
      <c r="H180" s="218"/>
      <c r="I180" s="218"/>
      <c r="J180" s="218"/>
      <c r="K180" s="218"/>
      <c r="L180" s="218"/>
    </row>
    <row r="181" spans="6:12">
      <c r="F181" s="218"/>
      <c r="G181" s="218"/>
      <c r="H181" s="218"/>
      <c r="I181" s="218"/>
      <c r="J181" s="218"/>
      <c r="K181" s="218"/>
      <c r="L181" s="218"/>
    </row>
    <row r="182" spans="6:12">
      <c r="F182" s="218"/>
      <c r="G182" s="218"/>
      <c r="H182" s="218"/>
      <c r="I182" s="218"/>
      <c r="J182" s="218"/>
      <c r="K182" s="218"/>
      <c r="L182" s="218"/>
    </row>
    <row r="183" spans="6:12">
      <c r="F183" s="218"/>
      <c r="G183" s="218"/>
      <c r="H183" s="218"/>
      <c r="I183" s="218"/>
      <c r="J183" s="218"/>
      <c r="K183" s="218"/>
      <c r="L183" s="218"/>
    </row>
    <row r="184" spans="6:12">
      <c r="F184" s="218"/>
      <c r="G184" s="218"/>
      <c r="H184" s="218"/>
      <c r="I184" s="218"/>
      <c r="J184" s="218"/>
      <c r="K184" s="218"/>
      <c r="L184" s="218"/>
    </row>
    <row r="185" spans="6:12">
      <c r="F185" s="218"/>
      <c r="G185" s="218"/>
      <c r="H185" s="218"/>
      <c r="I185" s="218"/>
      <c r="J185" s="218"/>
      <c r="K185" s="218"/>
      <c r="L185" s="218"/>
    </row>
    <row r="186" spans="6:12">
      <c r="F186" s="218"/>
      <c r="G186" s="218"/>
      <c r="H186" s="218"/>
      <c r="I186" s="218"/>
      <c r="J186" s="218"/>
      <c r="K186" s="218"/>
      <c r="L186" s="218"/>
    </row>
    <row r="187" spans="6:12">
      <c r="F187" s="218"/>
      <c r="G187" s="218"/>
      <c r="H187" s="218"/>
      <c r="I187" s="218"/>
      <c r="J187" s="218"/>
      <c r="K187" s="218"/>
      <c r="L187" s="218"/>
    </row>
    <row r="188" spans="6:12">
      <c r="F188" s="218"/>
      <c r="G188" s="218"/>
      <c r="H188" s="218"/>
      <c r="I188" s="218"/>
      <c r="J188" s="218"/>
      <c r="K188" s="218"/>
      <c r="L188" s="218"/>
    </row>
    <row r="189" spans="6:12">
      <c r="F189" s="218"/>
      <c r="G189" s="218"/>
      <c r="H189" s="218"/>
      <c r="I189" s="218"/>
      <c r="J189" s="218"/>
      <c r="K189" s="218"/>
      <c r="L189" s="218"/>
    </row>
    <row r="190" spans="6:12">
      <c r="F190" s="218"/>
      <c r="G190" s="218"/>
      <c r="H190" s="218"/>
      <c r="I190" s="218"/>
      <c r="J190" s="218"/>
      <c r="K190" s="218"/>
      <c r="L190" s="218"/>
    </row>
    <row r="191" spans="6:12">
      <c r="F191" s="218"/>
      <c r="G191" s="218"/>
      <c r="H191" s="218"/>
      <c r="I191" s="218"/>
      <c r="J191" s="218"/>
      <c r="K191" s="218"/>
      <c r="L191" s="218"/>
    </row>
    <row r="192" spans="6:12">
      <c r="F192" s="218"/>
      <c r="G192" s="218"/>
      <c r="H192" s="218"/>
      <c r="I192" s="218"/>
      <c r="J192" s="218"/>
      <c r="K192" s="218"/>
      <c r="L192" s="218"/>
    </row>
    <row r="193" spans="6:12">
      <c r="F193" s="218"/>
      <c r="G193" s="218"/>
      <c r="H193" s="218"/>
      <c r="I193" s="218"/>
      <c r="J193" s="218"/>
      <c r="K193" s="218"/>
      <c r="L193" s="218"/>
    </row>
    <row r="194" spans="6:12">
      <c r="F194" s="218"/>
      <c r="G194" s="218"/>
      <c r="H194" s="218"/>
      <c r="I194" s="218"/>
      <c r="J194" s="218"/>
      <c r="K194" s="218"/>
      <c r="L194" s="218"/>
    </row>
    <row r="195" spans="6:12">
      <c r="F195" s="218"/>
      <c r="G195" s="218"/>
      <c r="H195" s="218"/>
      <c r="I195" s="218"/>
      <c r="J195" s="218"/>
      <c r="K195" s="218"/>
      <c r="L195" s="218"/>
    </row>
    <row r="196" spans="6:12">
      <c r="F196" s="218"/>
      <c r="G196" s="218"/>
      <c r="H196" s="218"/>
      <c r="I196" s="218"/>
      <c r="J196" s="218"/>
      <c r="K196" s="218"/>
      <c r="L196" s="218"/>
    </row>
    <row r="197" spans="6:12">
      <c r="F197" s="218"/>
      <c r="G197" s="218"/>
      <c r="H197" s="218"/>
      <c r="I197" s="218"/>
      <c r="J197" s="218"/>
      <c r="K197" s="218"/>
      <c r="L197" s="218"/>
    </row>
    <row r="198" spans="6:12">
      <c r="F198" s="218"/>
      <c r="G198" s="218"/>
      <c r="H198" s="218"/>
      <c r="I198" s="218"/>
      <c r="J198" s="218"/>
      <c r="K198" s="218"/>
      <c r="L198" s="218"/>
    </row>
    <row r="199" spans="6:12">
      <c r="F199" s="218"/>
      <c r="G199" s="218"/>
      <c r="H199" s="218"/>
      <c r="I199" s="218"/>
      <c r="J199" s="218"/>
      <c r="K199" s="218"/>
      <c r="L199" s="218"/>
    </row>
    <row r="200" spans="6:12">
      <c r="F200" s="218"/>
      <c r="G200" s="218"/>
      <c r="H200" s="218"/>
      <c r="I200" s="218"/>
      <c r="J200" s="218"/>
      <c r="K200" s="218"/>
      <c r="L200" s="218"/>
    </row>
    <row r="201" spans="6:12">
      <c r="F201" s="218"/>
      <c r="G201" s="218"/>
      <c r="H201" s="218"/>
      <c r="I201" s="218"/>
      <c r="J201" s="218"/>
      <c r="K201" s="218"/>
      <c r="L201" s="218"/>
    </row>
    <row r="202" spans="6:12">
      <c r="F202" s="218"/>
      <c r="G202" s="218"/>
      <c r="H202" s="218"/>
      <c r="I202" s="218"/>
      <c r="J202" s="218"/>
      <c r="K202" s="218"/>
      <c r="L202" s="218"/>
    </row>
    <row r="203" spans="6:12">
      <c r="F203" s="218"/>
      <c r="G203" s="218"/>
      <c r="H203" s="218"/>
      <c r="I203" s="218"/>
      <c r="J203" s="218"/>
      <c r="K203" s="218"/>
      <c r="L203" s="218"/>
    </row>
    <row r="204" spans="6:12">
      <c r="F204" s="218"/>
      <c r="G204" s="218"/>
      <c r="H204" s="218"/>
      <c r="I204" s="218"/>
      <c r="J204" s="218"/>
      <c r="K204" s="218"/>
      <c r="L204" s="218"/>
    </row>
    <row r="205" spans="6:12">
      <c r="F205" s="218"/>
      <c r="G205" s="218"/>
      <c r="H205" s="218"/>
      <c r="I205" s="218"/>
      <c r="J205" s="218"/>
      <c r="K205" s="218"/>
      <c r="L205" s="218"/>
    </row>
    <row r="206" spans="6:12">
      <c r="F206" s="218"/>
      <c r="G206" s="218"/>
      <c r="H206" s="218"/>
      <c r="I206" s="218"/>
      <c r="J206" s="218"/>
      <c r="K206" s="218"/>
      <c r="L206" s="218"/>
    </row>
    <row r="207" spans="6:12">
      <c r="F207" s="218"/>
      <c r="G207" s="218"/>
      <c r="H207" s="218"/>
      <c r="I207" s="218"/>
      <c r="J207" s="218"/>
      <c r="K207" s="218"/>
      <c r="L207" s="218"/>
    </row>
    <row r="208" spans="6:12">
      <c r="F208" s="218"/>
      <c r="G208" s="218"/>
      <c r="H208" s="218"/>
      <c r="I208" s="218"/>
      <c r="J208" s="218"/>
      <c r="K208" s="218"/>
      <c r="L208" s="218"/>
    </row>
    <row r="209" spans="6:12">
      <c r="F209" s="218"/>
      <c r="G209" s="218"/>
      <c r="H209" s="218"/>
      <c r="I209" s="218"/>
      <c r="J209" s="218"/>
      <c r="K209" s="218"/>
      <c r="L209" s="218"/>
    </row>
    <row r="210" spans="6:12">
      <c r="F210" s="218"/>
      <c r="G210" s="218"/>
      <c r="H210" s="218"/>
      <c r="I210" s="218"/>
      <c r="J210" s="218"/>
      <c r="K210" s="218"/>
      <c r="L210" s="218"/>
    </row>
    <row r="211" spans="6:12">
      <c r="F211" s="218"/>
      <c r="G211" s="218"/>
      <c r="H211" s="218"/>
      <c r="I211" s="218"/>
      <c r="J211" s="218"/>
      <c r="K211" s="218"/>
      <c r="L211" s="218"/>
    </row>
    <row r="212" spans="6:12">
      <c r="F212" s="218"/>
      <c r="G212" s="218"/>
      <c r="H212" s="218"/>
      <c r="I212" s="218"/>
      <c r="J212" s="218"/>
      <c r="K212" s="218"/>
      <c r="L212" s="218"/>
    </row>
    <row r="213" spans="6:12">
      <c r="F213" s="218"/>
      <c r="G213" s="218"/>
      <c r="H213" s="218"/>
      <c r="I213" s="218"/>
      <c r="J213" s="218"/>
      <c r="K213" s="218"/>
      <c r="L213" s="218"/>
    </row>
    <row r="214" spans="6:12">
      <c r="F214" s="218"/>
      <c r="G214" s="218"/>
      <c r="H214" s="218"/>
      <c r="I214" s="218"/>
      <c r="J214" s="218"/>
      <c r="K214" s="218"/>
      <c r="L214" s="218"/>
    </row>
    <row r="215" spans="6:12">
      <c r="F215" s="218"/>
      <c r="G215" s="218"/>
      <c r="H215" s="218"/>
      <c r="I215" s="218"/>
      <c r="J215" s="218"/>
      <c r="K215" s="218"/>
      <c r="L215" s="218"/>
    </row>
    <row r="216" spans="6:12">
      <c r="F216" s="218"/>
      <c r="G216" s="218"/>
      <c r="H216" s="218"/>
      <c r="I216" s="218"/>
      <c r="J216" s="218"/>
      <c r="K216" s="218"/>
      <c r="L216" s="218"/>
    </row>
    <row r="217" spans="6:12">
      <c r="F217" s="218"/>
      <c r="G217" s="218"/>
      <c r="H217" s="218"/>
      <c r="I217" s="218"/>
      <c r="J217" s="218"/>
      <c r="K217" s="218"/>
      <c r="L217" s="218"/>
    </row>
    <row r="218" spans="6:12">
      <c r="F218" s="218"/>
      <c r="G218" s="218"/>
      <c r="H218" s="218"/>
      <c r="I218" s="218"/>
      <c r="J218" s="218"/>
      <c r="K218" s="218"/>
      <c r="L218" s="218"/>
    </row>
    <row r="219" spans="6:12">
      <c r="F219" s="218"/>
      <c r="G219" s="218"/>
      <c r="H219" s="218"/>
      <c r="I219" s="218"/>
      <c r="J219" s="218"/>
      <c r="K219" s="218"/>
      <c r="L219" s="218"/>
    </row>
    <row r="220" spans="6:12">
      <c r="F220" s="218"/>
      <c r="G220" s="218"/>
      <c r="H220" s="218"/>
      <c r="I220" s="218"/>
      <c r="J220" s="218"/>
      <c r="K220" s="218"/>
      <c r="L220" s="218"/>
    </row>
    <row r="221" spans="6:12">
      <c r="F221" s="218"/>
      <c r="G221" s="218"/>
      <c r="H221" s="218"/>
      <c r="I221" s="218"/>
      <c r="J221" s="218"/>
      <c r="K221" s="218"/>
      <c r="L221" s="218"/>
    </row>
    <row r="222" spans="6:12">
      <c r="F222" s="218"/>
      <c r="G222" s="218"/>
      <c r="H222" s="218"/>
      <c r="I222" s="218"/>
      <c r="J222" s="218"/>
      <c r="K222" s="218"/>
      <c r="L222" s="218"/>
    </row>
    <row r="223" spans="6:12">
      <c r="F223" s="218"/>
      <c r="G223" s="218"/>
      <c r="H223" s="218"/>
      <c r="I223" s="218"/>
      <c r="J223" s="218"/>
      <c r="K223" s="218"/>
      <c r="L223" s="218"/>
    </row>
    <row r="224" spans="6:12">
      <c r="F224" s="218"/>
      <c r="G224" s="218"/>
      <c r="H224" s="218"/>
      <c r="I224" s="218"/>
      <c r="J224" s="218"/>
      <c r="K224" s="218"/>
      <c r="L224" s="218"/>
    </row>
    <row r="225" spans="6:12">
      <c r="F225" s="218"/>
      <c r="G225" s="218"/>
      <c r="H225" s="218"/>
      <c r="I225" s="218"/>
      <c r="J225" s="218"/>
      <c r="K225" s="218"/>
      <c r="L225" s="218"/>
    </row>
    <row r="226" spans="6:12">
      <c r="F226" s="218"/>
      <c r="G226" s="218"/>
      <c r="H226" s="218"/>
      <c r="I226" s="218"/>
      <c r="J226" s="218"/>
      <c r="K226" s="218"/>
      <c r="L226" s="218"/>
    </row>
    <row r="227" spans="6:12">
      <c r="F227" s="218"/>
      <c r="G227" s="218"/>
      <c r="H227" s="218"/>
      <c r="I227" s="218"/>
      <c r="J227" s="218"/>
      <c r="K227" s="218"/>
      <c r="L227" s="218"/>
    </row>
    <row r="228" spans="6:12">
      <c r="F228" s="218"/>
      <c r="G228" s="218"/>
      <c r="H228" s="218"/>
      <c r="I228" s="218"/>
      <c r="J228" s="218"/>
      <c r="K228" s="218"/>
      <c r="L228" s="218"/>
    </row>
    <row r="229" spans="6:12">
      <c r="F229" s="218"/>
      <c r="G229" s="218"/>
      <c r="H229" s="218"/>
      <c r="I229" s="218"/>
      <c r="J229" s="218"/>
      <c r="K229" s="218"/>
      <c r="L229" s="218"/>
    </row>
    <row r="230" spans="6:12">
      <c r="F230" s="218"/>
      <c r="G230" s="218"/>
      <c r="H230" s="218"/>
      <c r="I230" s="218"/>
      <c r="J230" s="218"/>
      <c r="K230" s="218"/>
      <c r="L230" s="218"/>
    </row>
    <row r="231" spans="6:12">
      <c r="F231" s="218"/>
      <c r="G231" s="218"/>
      <c r="H231" s="218"/>
      <c r="I231" s="218"/>
      <c r="J231" s="218"/>
      <c r="K231" s="218"/>
      <c r="L231" s="218"/>
    </row>
    <row r="232" spans="6:12">
      <c r="F232" s="218"/>
      <c r="G232" s="218"/>
      <c r="H232" s="218"/>
      <c r="I232" s="218"/>
      <c r="J232" s="218"/>
      <c r="K232" s="218"/>
      <c r="L232" s="218"/>
    </row>
    <row r="233" spans="6:12">
      <c r="F233" s="218"/>
      <c r="G233" s="218"/>
      <c r="H233" s="218"/>
      <c r="I233" s="218"/>
      <c r="J233" s="218"/>
      <c r="K233" s="218"/>
      <c r="L233" s="218"/>
    </row>
    <row r="234" spans="6:12">
      <c r="F234" s="218"/>
      <c r="G234" s="218"/>
      <c r="H234" s="218"/>
      <c r="I234" s="218"/>
      <c r="J234" s="218"/>
      <c r="K234" s="218"/>
      <c r="L234" s="218"/>
    </row>
    <row r="235" spans="6:12">
      <c r="F235" s="218"/>
      <c r="G235" s="218"/>
      <c r="H235" s="218"/>
      <c r="I235" s="218"/>
      <c r="J235" s="218"/>
      <c r="K235" s="218"/>
      <c r="L235" s="218"/>
    </row>
    <row r="236" spans="6:12">
      <c r="F236" s="218"/>
      <c r="G236" s="218"/>
      <c r="H236" s="218"/>
      <c r="I236" s="218"/>
      <c r="J236" s="218"/>
      <c r="K236" s="218"/>
      <c r="L236" s="218"/>
    </row>
    <row r="237" spans="6:12">
      <c r="F237" s="218"/>
      <c r="G237" s="218"/>
      <c r="H237" s="218"/>
      <c r="I237" s="218"/>
      <c r="J237" s="218"/>
      <c r="K237" s="218"/>
      <c r="L237" s="218"/>
    </row>
    <row r="238" spans="6:12">
      <c r="F238" s="218"/>
      <c r="G238" s="218"/>
      <c r="H238" s="218"/>
      <c r="I238" s="218"/>
      <c r="J238" s="218"/>
      <c r="K238" s="218"/>
      <c r="L238" s="218"/>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F2:G2"/>
  </mergeCells>
  <pageMargins left="0.39370078740157483" right="0.39370078740157483" top="0.39370078740157483" bottom="0.39370078740157483" header="0.31496062992125984" footer="0.31496062992125984"/>
  <pageSetup paperSize="5" orientation="portrait" r:id="rId7"/>
</worksheet>
</file>

<file path=xl/worksheets/sheet13.xml><?xml version="1.0" encoding="utf-8"?>
<worksheet xmlns="http://schemas.openxmlformats.org/spreadsheetml/2006/main" xmlns:r="http://schemas.openxmlformats.org/officeDocument/2006/relationships">
  <sheetPr codeName="Hoja22"/>
  <dimension ref="A1:M94"/>
  <sheetViews>
    <sheetView workbookViewId="0">
      <selection activeCell="G2" sqref="G2"/>
    </sheetView>
  </sheetViews>
  <sheetFormatPr baseColWidth="10" defaultRowHeight="13.2"/>
  <cols>
    <col min="4" max="4" width="22.6640625" bestFit="1" customWidth="1"/>
    <col min="5" max="5" width="11.6640625" bestFit="1" customWidth="1"/>
  </cols>
  <sheetData>
    <row r="1" spans="1:10">
      <c r="A1" t="s">
        <v>1625</v>
      </c>
      <c r="B1" s="52">
        <v>44977</v>
      </c>
      <c r="D1" s="10" t="s">
        <v>7454</v>
      </c>
      <c r="E1" s="52">
        <v>45291</v>
      </c>
      <c r="F1" s="90">
        <f>NETWORKDAYS(I1,E1,B1:B19)</f>
        <v>209</v>
      </c>
      <c r="G1">
        <f>NETWORKDAYS(J1,E1,B1:B19)</f>
        <v>128</v>
      </c>
      <c r="I1" s="52">
        <v>44972</v>
      </c>
      <c r="J1" s="52">
        <v>45096</v>
      </c>
    </row>
    <row r="2" spans="1:10">
      <c r="A2" s="52"/>
      <c r="B2" s="52">
        <v>44978</v>
      </c>
      <c r="D2" s="10" t="s">
        <v>7453</v>
      </c>
      <c r="E2" s="52">
        <f ca="1">TODAY()</f>
        <v>45408</v>
      </c>
      <c r="F2" s="90">
        <f ca="1">NETWORKDAYS(I2,E2,B20:B37)</f>
        <v>77</v>
      </c>
      <c r="I2" s="52">
        <v>45292</v>
      </c>
    </row>
    <row r="3" spans="1:10">
      <c r="A3" s="52"/>
      <c r="B3" s="52">
        <v>45009</v>
      </c>
      <c r="E3" s="10" t="s">
        <v>7455</v>
      </c>
      <c r="F3" s="90">
        <f ca="1">SUM(F1:F2)</f>
        <v>286</v>
      </c>
    </row>
    <row r="4" spans="1:10">
      <c r="A4" s="52"/>
      <c r="B4" s="52">
        <v>45022</v>
      </c>
    </row>
    <row r="5" spans="1:10">
      <c r="A5" s="52"/>
      <c r="B5" s="52">
        <v>45023</v>
      </c>
    </row>
    <row r="6" spans="1:10">
      <c r="A6" s="52"/>
      <c r="B6" s="52">
        <v>45071</v>
      </c>
    </row>
    <row r="7" spans="1:10">
      <c r="A7" s="52"/>
      <c r="B7" s="52">
        <v>45072</v>
      </c>
    </row>
    <row r="8" spans="1:10">
      <c r="A8" s="52"/>
      <c r="B8" s="52">
        <v>45096</v>
      </c>
    </row>
    <row r="9" spans="1:10">
      <c r="A9" s="52"/>
      <c r="B9" s="52">
        <v>45097</v>
      </c>
    </row>
    <row r="10" spans="1:10">
      <c r="A10" s="52"/>
      <c r="B10" s="52">
        <v>45159</v>
      </c>
    </row>
    <row r="11" spans="1:10">
      <c r="A11" s="52"/>
      <c r="B11" s="52">
        <v>45167</v>
      </c>
    </row>
    <row r="12" spans="1:10">
      <c r="A12" s="52"/>
      <c r="B12" s="52">
        <v>45182</v>
      </c>
    </row>
    <row r="13" spans="1:10">
      <c r="A13" s="52"/>
      <c r="B13" s="52">
        <v>45183</v>
      </c>
    </row>
    <row r="14" spans="1:10">
      <c r="A14" s="52"/>
      <c r="B14" s="52">
        <v>45212</v>
      </c>
    </row>
    <row r="15" spans="1:10">
      <c r="A15" s="52"/>
      <c r="B15" s="52">
        <v>45215</v>
      </c>
    </row>
    <row r="16" spans="1:10">
      <c r="A16" s="52"/>
      <c r="B16" s="52">
        <v>45247</v>
      </c>
    </row>
    <row r="17" spans="1:2">
      <c r="A17" s="52"/>
      <c r="B17" s="52">
        <v>45250</v>
      </c>
    </row>
    <row r="18" spans="1:2">
      <c r="A18" s="52"/>
      <c r="B18" s="52">
        <v>45268</v>
      </c>
    </row>
    <row r="19" spans="1:2">
      <c r="A19" s="52"/>
      <c r="B19" s="52">
        <v>45285</v>
      </c>
    </row>
    <row r="20" spans="1:2">
      <c r="B20" s="52">
        <v>45292</v>
      </c>
    </row>
    <row r="21" spans="1:2">
      <c r="B21" s="52">
        <v>45334</v>
      </c>
    </row>
    <row r="22" spans="1:2">
      <c r="B22" s="52">
        <v>45335</v>
      </c>
    </row>
    <row r="23" spans="1:2">
      <c r="B23" s="52">
        <v>45342</v>
      </c>
    </row>
    <row r="24" spans="1:2">
      <c r="B24" s="52">
        <v>45375</v>
      </c>
    </row>
    <row r="25" spans="1:2">
      <c r="B25" s="52">
        <v>45379</v>
      </c>
    </row>
    <row r="26" spans="1:2">
      <c r="B26" s="52">
        <v>45380</v>
      </c>
    </row>
    <row r="27" spans="1:2">
      <c r="B27" s="52">
        <v>45383</v>
      </c>
    </row>
    <row r="28" spans="1:2">
      <c r="B28" s="52">
        <v>45384</v>
      </c>
    </row>
    <row r="29" spans="1:2">
      <c r="B29" s="52">
        <v>45413</v>
      </c>
    </row>
    <row r="30" spans="1:2">
      <c r="B30" s="52">
        <v>45437</v>
      </c>
    </row>
    <row r="31" spans="1:2">
      <c r="B31" s="52">
        <v>45460</v>
      </c>
    </row>
    <row r="32" spans="1:2">
      <c r="B32" s="52">
        <v>45463</v>
      </c>
    </row>
    <row r="33" spans="2:2">
      <c r="B33" s="52">
        <v>45464</v>
      </c>
    </row>
    <row r="34" spans="2:2">
      <c r="B34" s="52">
        <v>45482</v>
      </c>
    </row>
    <row r="35" spans="2:2">
      <c r="B35" s="52">
        <v>45548</v>
      </c>
    </row>
    <row r="36" spans="2:2">
      <c r="B36" s="52">
        <v>45576</v>
      </c>
    </row>
    <row r="37" spans="2:2">
      <c r="B37" s="52">
        <v>45614</v>
      </c>
    </row>
    <row r="94" spans="1:13" ht="79.2">
      <c r="A94" s="20"/>
      <c r="B94" s="20"/>
      <c r="C94" s="20"/>
      <c r="D94" s="20"/>
      <c r="E94" s="20"/>
      <c r="F94" s="20"/>
      <c r="G94" s="20"/>
      <c r="H94" s="20"/>
      <c r="I94" s="20"/>
      <c r="J94" s="20"/>
      <c r="K94" s="20"/>
      <c r="L94" s="20"/>
      <c r="M94" s="574" t="s">
        <v>7394</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2"/>
  <dimension ref="A1:E27"/>
  <sheetViews>
    <sheetView topLeftCell="A4" workbookViewId="0">
      <selection activeCell="B13" sqref="B13"/>
    </sheetView>
  </sheetViews>
  <sheetFormatPr baseColWidth="10" defaultRowHeight="13.2"/>
  <cols>
    <col min="1" max="1" width="36.5546875" style="89" customWidth="1"/>
    <col min="2" max="2" width="31" customWidth="1"/>
    <col min="3" max="3" width="35.44140625" customWidth="1"/>
    <col min="4" max="4" width="12.6640625" customWidth="1"/>
  </cols>
  <sheetData>
    <row r="1" spans="1:5" ht="20.100000000000001" customHeight="1">
      <c r="A1" s="88" t="s">
        <v>1216</v>
      </c>
      <c r="B1" s="90">
        <v>1</v>
      </c>
    </row>
    <row r="2" spans="1:5" ht="20.100000000000001" customHeight="1">
      <c r="A2" s="87" t="s">
        <v>31</v>
      </c>
      <c r="B2" s="90">
        <v>2</v>
      </c>
    </row>
    <row r="3" spans="1:5" ht="20.100000000000001" customHeight="1">
      <c r="A3" s="87" t="s">
        <v>35</v>
      </c>
      <c r="B3" s="90">
        <v>3</v>
      </c>
    </row>
    <row r="4" spans="1:5" ht="20.100000000000001" customHeight="1">
      <c r="A4" s="87" t="s">
        <v>33</v>
      </c>
      <c r="B4" s="90">
        <v>4</v>
      </c>
    </row>
    <row r="5" spans="1:5" ht="20.100000000000001" customHeight="1">
      <c r="A5" s="87" t="s">
        <v>755</v>
      </c>
      <c r="B5" s="90">
        <v>5</v>
      </c>
    </row>
    <row r="6" spans="1:5" ht="20.100000000000001" customHeight="1">
      <c r="A6" s="88" t="s">
        <v>1221</v>
      </c>
      <c r="B6" s="90">
        <v>6</v>
      </c>
    </row>
    <row r="7" spans="1:5" ht="20.100000000000001" customHeight="1">
      <c r="A7" s="88" t="s">
        <v>1217</v>
      </c>
      <c r="B7" s="90">
        <v>7</v>
      </c>
    </row>
    <row r="8" spans="1:5" ht="20.100000000000001" customHeight="1">
      <c r="A8" s="87" t="s">
        <v>78</v>
      </c>
      <c r="B8" s="90">
        <v>8</v>
      </c>
    </row>
    <row r="9" spans="1:5" ht="20.100000000000001" customHeight="1">
      <c r="A9" s="88" t="s">
        <v>1219</v>
      </c>
      <c r="B9" s="91" t="s">
        <v>1282</v>
      </c>
      <c r="C9" s="10" t="s">
        <v>1223</v>
      </c>
      <c r="E9" s="10" t="s">
        <v>1924</v>
      </c>
    </row>
    <row r="10" spans="1:5" ht="20.100000000000001" customHeight="1">
      <c r="A10" s="88" t="s">
        <v>1220</v>
      </c>
      <c r="B10" s="90">
        <v>10</v>
      </c>
      <c r="C10" s="10" t="s">
        <v>1224</v>
      </c>
      <c r="E10" s="10" t="s">
        <v>1486</v>
      </c>
    </row>
    <row r="11" spans="1:5" ht="20.100000000000001" customHeight="1">
      <c r="A11" s="88" t="s">
        <v>1218</v>
      </c>
      <c r="B11" s="91">
        <v>11</v>
      </c>
      <c r="C11" s="10" t="s">
        <v>1222</v>
      </c>
      <c r="E11" s="10" t="s">
        <v>1482</v>
      </c>
    </row>
    <row r="12" spans="1:5" ht="20.100000000000001" customHeight="1">
      <c r="A12" s="106" t="s">
        <v>1616</v>
      </c>
      <c r="B12" s="91" t="s">
        <v>1483</v>
      </c>
      <c r="C12" s="10" t="s">
        <v>1481</v>
      </c>
      <c r="E12" s="10" t="s">
        <v>1482</v>
      </c>
    </row>
    <row r="13" spans="1:5" ht="20.100000000000001" customHeight="1">
      <c r="A13" s="106" t="s">
        <v>1484</v>
      </c>
      <c r="B13" s="91">
        <v>13</v>
      </c>
      <c r="C13" s="10" t="s">
        <v>1485</v>
      </c>
      <c r="E13" s="10" t="s">
        <v>1486</v>
      </c>
    </row>
    <row r="14" spans="1:5" ht="20.100000000000001" customHeight="1">
      <c r="A14" s="106" t="s">
        <v>1680</v>
      </c>
      <c r="B14" s="91">
        <v>14</v>
      </c>
      <c r="C14" s="10" t="s">
        <v>1653</v>
      </c>
      <c r="E14" s="10" t="s">
        <v>1486</v>
      </c>
    </row>
    <row r="15" spans="1:5" ht="20.100000000000001" customHeight="1">
      <c r="A15" s="106" t="s">
        <v>2922</v>
      </c>
      <c r="B15" s="10" t="s">
        <v>2923</v>
      </c>
      <c r="C15" s="10" t="s">
        <v>1681</v>
      </c>
      <c r="E15" s="10" t="s">
        <v>1682</v>
      </c>
    </row>
    <row r="16" spans="1:5" ht="20.100000000000001" customHeight="1">
      <c r="A16" s="106" t="s">
        <v>1723</v>
      </c>
      <c r="B16" s="10" t="s">
        <v>2924</v>
      </c>
    </row>
    <row r="17" spans="1:2" ht="20.100000000000001" customHeight="1">
      <c r="A17" s="106" t="s">
        <v>2925</v>
      </c>
      <c r="B17" s="10" t="s">
        <v>2926</v>
      </c>
    </row>
    <row r="18" spans="1:2" ht="20.100000000000001" customHeight="1">
      <c r="A18" s="89" t="s">
        <v>4746</v>
      </c>
      <c r="B18" s="10" t="s">
        <v>4747</v>
      </c>
    </row>
    <row r="19" spans="1:2" ht="20.100000000000001" customHeight="1">
      <c r="A19" s="106" t="s">
        <v>1680</v>
      </c>
      <c r="B19" s="10" t="s">
        <v>4748</v>
      </c>
    </row>
    <row r="20" spans="1:2" ht="20.100000000000001" customHeight="1">
      <c r="A20" s="106" t="s">
        <v>4931</v>
      </c>
    </row>
    <row r="21" spans="1:2" ht="20.100000000000001" customHeight="1">
      <c r="A21" s="106" t="s">
        <v>4932</v>
      </c>
    </row>
    <row r="22" spans="1:2" ht="20.100000000000001" customHeight="1">
      <c r="A22" s="106"/>
    </row>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2" type="noConversion"/>
  <pageMargins left="0.75" right="0.75" top="1" bottom="1" header="0" footer="0"/>
  <headerFooter alignWithMargins="0"/>
</worksheet>
</file>

<file path=xl/worksheets/sheet15.xml><?xml version="1.0" encoding="utf-8"?>
<worksheet xmlns="http://schemas.openxmlformats.org/spreadsheetml/2006/main" xmlns:r="http://schemas.openxmlformats.org/officeDocument/2006/relationships">
  <sheetPr codeName="Hoja3"/>
  <dimension ref="A1:J27"/>
  <sheetViews>
    <sheetView topLeftCell="A7" workbookViewId="0">
      <selection activeCell="B21" sqref="B21"/>
    </sheetView>
  </sheetViews>
  <sheetFormatPr baseColWidth="10" defaultRowHeight="13.2"/>
  <cols>
    <col min="1" max="1" width="23.33203125" bestFit="1" customWidth="1"/>
    <col min="3" max="3" width="16.5546875" customWidth="1"/>
    <col min="10" max="10" width="21.33203125" bestFit="1" customWidth="1"/>
  </cols>
  <sheetData>
    <row r="1" spans="1:10" ht="22.5" customHeight="1">
      <c r="A1" s="3" t="s">
        <v>43</v>
      </c>
      <c r="E1" s="10" t="s">
        <v>2754</v>
      </c>
      <c r="I1" s="295" t="s">
        <v>3015</v>
      </c>
      <c r="J1" s="3" t="s">
        <v>43</v>
      </c>
    </row>
    <row r="2" spans="1:10" ht="22.5" customHeight="1">
      <c r="A2" s="3" t="s">
        <v>29</v>
      </c>
      <c r="E2" s="3" t="s">
        <v>1652</v>
      </c>
      <c r="I2" s="295" t="s">
        <v>3014</v>
      </c>
      <c r="J2" s="3" t="s">
        <v>29</v>
      </c>
    </row>
    <row r="3" spans="1:10" ht="22.5" customHeight="1">
      <c r="A3" s="3" t="s">
        <v>283</v>
      </c>
      <c r="E3" s="3" t="s">
        <v>1654</v>
      </c>
      <c r="I3" s="295" t="s">
        <v>3013</v>
      </c>
      <c r="J3" s="3" t="s">
        <v>283</v>
      </c>
    </row>
    <row r="4" spans="1:10" ht="22.5" customHeight="1">
      <c r="A4" s="3" t="s">
        <v>1433</v>
      </c>
      <c r="E4" s="3" t="s">
        <v>1733</v>
      </c>
      <c r="I4" s="295" t="s">
        <v>3012</v>
      </c>
      <c r="J4" s="3" t="s">
        <v>1433</v>
      </c>
    </row>
    <row r="5" spans="1:10" ht="22.5" customHeight="1">
      <c r="A5" s="1" t="s">
        <v>359</v>
      </c>
      <c r="E5" s="3" t="s">
        <v>2270</v>
      </c>
      <c r="I5" s="295" t="s">
        <v>3011</v>
      </c>
      <c r="J5" s="3" t="s">
        <v>568</v>
      </c>
    </row>
    <row r="6" spans="1:10" ht="22.5" customHeight="1">
      <c r="A6" s="3" t="s">
        <v>568</v>
      </c>
      <c r="B6" s="10"/>
      <c r="E6" s="3" t="s">
        <v>4749</v>
      </c>
      <c r="I6" s="295" t="s">
        <v>3016</v>
      </c>
      <c r="J6" s="3" t="s">
        <v>1434</v>
      </c>
    </row>
    <row r="7" spans="1:10" ht="22.5" customHeight="1">
      <c r="A7" s="3" t="s">
        <v>1434</v>
      </c>
      <c r="E7" s="3" t="s">
        <v>5009</v>
      </c>
      <c r="I7" s="295" t="s">
        <v>3017</v>
      </c>
      <c r="J7" s="3" t="s">
        <v>1435</v>
      </c>
    </row>
    <row r="8" spans="1:10" ht="22.5" customHeight="1">
      <c r="A8" s="3" t="s">
        <v>1435</v>
      </c>
      <c r="I8" s="295" t="s">
        <v>3018</v>
      </c>
      <c r="J8" s="3" t="s">
        <v>2751</v>
      </c>
    </row>
    <row r="9" spans="1:10" ht="22.5" customHeight="1">
      <c r="A9" s="3" t="s">
        <v>2751</v>
      </c>
      <c r="B9" s="10"/>
      <c r="C9" s="10" t="s">
        <v>1380</v>
      </c>
      <c r="I9" s="295" t="s">
        <v>3019</v>
      </c>
      <c r="J9" s="3" t="s">
        <v>2752</v>
      </c>
    </row>
    <row r="10" spans="1:10" ht="22.5" customHeight="1">
      <c r="A10" s="3" t="s">
        <v>2752</v>
      </c>
      <c r="B10" s="10"/>
      <c r="C10" s="10" t="s">
        <v>1381</v>
      </c>
      <c r="I10" s="295" t="s">
        <v>3020</v>
      </c>
      <c r="J10" s="3" t="s">
        <v>2753</v>
      </c>
    </row>
    <row r="11" spans="1:10" ht="22.5" customHeight="1">
      <c r="A11" s="3" t="s">
        <v>2753</v>
      </c>
      <c r="I11" s="295" t="s">
        <v>3021</v>
      </c>
      <c r="J11" s="262" t="s">
        <v>2766</v>
      </c>
    </row>
    <row r="12" spans="1:10" ht="22.5" customHeight="1">
      <c r="A12" s="3" t="s">
        <v>2766</v>
      </c>
      <c r="I12" s="295" t="s">
        <v>3022</v>
      </c>
      <c r="J12" s="262" t="s">
        <v>2815</v>
      </c>
    </row>
    <row r="13" spans="1:10" ht="22.5" customHeight="1">
      <c r="A13" s="3" t="s">
        <v>2815</v>
      </c>
    </row>
    <row r="14" spans="1:10" ht="22.5" customHeight="1">
      <c r="A14" s="3" t="s">
        <v>3323</v>
      </c>
      <c r="E14" s="10" t="s">
        <v>7326</v>
      </c>
    </row>
    <row r="15" spans="1:10" ht="22.5" customHeight="1">
      <c r="A15" s="3" t="s">
        <v>3324</v>
      </c>
      <c r="E15" s="3" t="s">
        <v>34</v>
      </c>
    </row>
    <row r="16" spans="1:10" ht="22.5" customHeight="1">
      <c r="A16" s="262" t="s">
        <v>3639</v>
      </c>
      <c r="E16" s="3" t="s">
        <v>32</v>
      </c>
    </row>
    <row r="17" spans="1:1" ht="22.5" customHeight="1">
      <c r="A17" s="3" t="s">
        <v>3791</v>
      </c>
    </row>
    <row r="18" spans="1:1" ht="22.5" customHeight="1">
      <c r="A18" s="262" t="s">
        <v>3871</v>
      </c>
    </row>
    <row r="19" spans="1:1" ht="22.5" customHeight="1">
      <c r="A19" s="3" t="s">
        <v>7327</v>
      </c>
    </row>
    <row r="20" spans="1:1" ht="22.5" customHeight="1">
      <c r="A20" s="3" t="s">
        <v>5709</v>
      </c>
    </row>
    <row r="21" spans="1:1" ht="22.5" customHeight="1">
      <c r="A21" s="3" t="s">
        <v>5710</v>
      </c>
    </row>
    <row r="22" spans="1:1" ht="22.5" customHeight="1"/>
    <row r="23" spans="1:1" ht="22.5" customHeight="1"/>
    <row r="24" spans="1:1" ht="22.5" customHeight="1"/>
    <row r="25" spans="1:1" ht="22.5" customHeight="1"/>
    <row r="26" spans="1:1" ht="15" customHeight="1"/>
    <row r="27" spans="1:1" ht="15" customHeight="1"/>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2" type="noConversion"/>
  <pageMargins left="0.75" right="0.75" top="1" bottom="1" header="0" footer="0"/>
  <pageSetup paperSize="5" orientation="portrait" r:id="rId7"/>
  <headerFooter alignWithMargins="0"/>
</worksheet>
</file>

<file path=xl/worksheets/sheet16.xml><?xml version="1.0" encoding="utf-8"?>
<worksheet xmlns="http://schemas.openxmlformats.org/spreadsheetml/2006/main" xmlns:r="http://schemas.openxmlformats.org/officeDocument/2006/relationships">
  <sheetPr codeName="Hoja8"/>
  <dimension ref="A1:B96"/>
  <sheetViews>
    <sheetView workbookViewId="0">
      <selection activeCell="B9" sqref="B9"/>
    </sheetView>
  </sheetViews>
  <sheetFormatPr baseColWidth="10" defaultRowHeight="13.2"/>
  <cols>
    <col min="1" max="1" width="54.33203125" style="41" customWidth="1"/>
  </cols>
  <sheetData>
    <row r="1" spans="1:2" ht="27.75" customHeight="1">
      <c r="A1" s="17" t="s">
        <v>4788</v>
      </c>
    </row>
    <row r="2" spans="1:2" ht="20.100000000000001" customHeight="1">
      <c r="A2" s="17" t="s">
        <v>805</v>
      </c>
    </row>
    <row r="3" spans="1:2" ht="20.100000000000001" customHeight="1">
      <c r="A3" s="17" t="s">
        <v>4776</v>
      </c>
    </row>
    <row r="4" spans="1:2" ht="20.100000000000001" customHeight="1">
      <c r="A4" s="17" t="s">
        <v>806</v>
      </c>
    </row>
    <row r="5" spans="1:2" ht="20.100000000000001" customHeight="1">
      <c r="A5" s="17" t="s">
        <v>4789</v>
      </c>
    </row>
    <row r="6" spans="1:2" ht="20.100000000000001" customHeight="1">
      <c r="A6" s="17" t="s">
        <v>4790</v>
      </c>
    </row>
    <row r="7" spans="1:2" ht="20.100000000000001" customHeight="1">
      <c r="A7" s="17" t="s">
        <v>4791</v>
      </c>
    </row>
    <row r="8" spans="1:2" ht="20.100000000000001" customHeight="1">
      <c r="A8" s="17" t="s">
        <v>4777</v>
      </c>
    </row>
    <row r="9" spans="1:2" ht="20.100000000000001" customHeight="1">
      <c r="A9" s="17" t="s">
        <v>7324</v>
      </c>
      <c r="B9" s="10" t="s">
        <v>7323</v>
      </c>
    </row>
    <row r="10" spans="1:2" ht="20.100000000000001" customHeight="1">
      <c r="A10" s="17" t="s">
        <v>4780</v>
      </c>
    </row>
    <row r="11" spans="1:2" ht="20.100000000000001" customHeight="1">
      <c r="A11" s="17" t="s">
        <v>4781</v>
      </c>
    </row>
    <row r="12" spans="1:2" ht="20.100000000000001" customHeight="1">
      <c r="A12" s="17" t="s">
        <v>4779</v>
      </c>
    </row>
    <row r="13" spans="1:2" ht="20.100000000000001" customHeight="1">
      <c r="A13" s="17" t="s">
        <v>4766</v>
      </c>
    </row>
    <row r="14" spans="1:2" ht="20.100000000000001" customHeight="1">
      <c r="A14" s="17" t="s">
        <v>802</v>
      </c>
    </row>
    <row r="15" spans="1:2" ht="20.100000000000001" customHeight="1">
      <c r="A15" s="17" t="s">
        <v>2077</v>
      </c>
    </row>
    <row r="16" spans="1:2" ht="20.100000000000001" customHeight="1">
      <c r="A16" s="17" t="s">
        <v>4767</v>
      </c>
    </row>
    <row r="17" spans="1:1" ht="20.100000000000001" customHeight="1">
      <c r="A17" s="17" t="s">
        <v>4782</v>
      </c>
    </row>
    <row r="18" spans="1:1" ht="20.100000000000001" customHeight="1">
      <c r="A18" s="17" t="s">
        <v>4783</v>
      </c>
    </row>
    <row r="19" spans="1:1" ht="20.100000000000001" customHeight="1">
      <c r="A19" s="17" t="s">
        <v>4784</v>
      </c>
    </row>
    <row r="20" spans="1:1" ht="20.100000000000001" customHeight="1">
      <c r="A20" s="16" t="s">
        <v>569</v>
      </c>
    </row>
    <row r="21" spans="1:1" ht="20.100000000000001" customHeight="1">
      <c r="A21" s="17" t="s">
        <v>582</v>
      </c>
    </row>
    <row r="22" spans="1:1" ht="20.100000000000001" customHeight="1">
      <c r="A22" s="16" t="s">
        <v>789</v>
      </c>
    </row>
    <row r="23" spans="1:1" ht="20.100000000000001" customHeight="1">
      <c r="A23" s="17" t="s">
        <v>790</v>
      </c>
    </row>
    <row r="24" spans="1:1" ht="20.100000000000001" customHeight="1">
      <c r="A24" s="16" t="s">
        <v>791</v>
      </c>
    </row>
    <row r="25" spans="1:1" ht="20.100000000000001" customHeight="1">
      <c r="A25" s="17" t="s">
        <v>4792</v>
      </c>
    </row>
    <row r="26" spans="1:1" ht="20.100000000000001" customHeight="1">
      <c r="A26" s="17" t="s">
        <v>788</v>
      </c>
    </row>
    <row r="27" spans="1:1" ht="20.100000000000001" customHeight="1">
      <c r="A27" s="17" t="s">
        <v>4787</v>
      </c>
    </row>
    <row r="28" spans="1:1" ht="20.100000000000001" customHeight="1">
      <c r="A28" s="17" t="s">
        <v>1693</v>
      </c>
    </row>
    <row r="29" spans="1:1" ht="20.100000000000001" customHeight="1">
      <c r="A29" s="17" t="s">
        <v>4785</v>
      </c>
    </row>
    <row r="30" spans="1:1" ht="20.100000000000001" customHeight="1">
      <c r="A30" s="17" t="s">
        <v>4786</v>
      </c>
    </row>
    <row r="31" spans="1:1" ht="20.100000000000001" customHeight="1">
      <c r="A31" s="17"/>
    </row>
    <row r="32" spans="1:1" ht="26.25" customHeight="1">
      <c r="A32" s="17" t="s">
        <v>4793</v>
      </c>
    </row>
    <row r="33" spans="1:1" ht="20.100000000000001" customHeight="1">
      <c r="A33" s="17" t="s">
        <v>4794</v>
      </c>
    </row>
    <row r="34" spans="1:1" ht="23.25" customHeight="1">
      <c r="A34" s="17" t="s">
        <v>4795</v>
      </c>
    </row>
    <row r="35" spans="1:1" ht="20.25" customHeight="1">
      <c r="A35" s="17" t="s">
        <v>4796</v>
      </c>
    </row>
    <row r="36" spans="1:1" ht="19.5" customHeight="1">
      <c r="A36" s="17" t="s">
        <v>2219</v>
      </c>
    </row>
    <row r="37" spans="1:1" ht="25.5" customHeight="1">
      <c r="A37" s="17" t="s">
        <v>1406</v>
      </c>
    </row>
    <row r="38" spans="1:1" ht="19.5" customHeight="1">
      <c r="A38" s="17" t="s">
        <v>3638</v>
      </c>
    </row>
    <row r="39" spans="1:1" ht="24" customHeight="1">
      <c r="A39" s="17" t="s">
        <v>4797</v>
      </c>
    </row>
    <row r="40" spans="1:1" ht="20.100000000000001" customHeight="1">
      <c r="A40" s="17" t="s">
        <v>1494</v>
      </c>
    </row>
    <row r="41" spans="1:1" ht="24" customHeight="1">
      <c r="A41" s="16" t="s">
        <v>3034</v>
      </c>
    </row>
    <row r="42" spans="1:1" ht="20.100000000000001" customHeight="1">
      <c r="A42" s="17" t="s">
        <v>1445</v>
      </c>
    </row>
    <row r="43" spans="1:1" ht="20.100000000000001" customHeight="1">
      <c r="A43" s="17" t="s">
        <v>1145</v>
      </c>
    </row>
    <row r="44" spans="1:1" ht="20.100000000000001" customHeight="1">
      <c r="A44" s="17" t="s">
        <v>794</v>
      </c>
    </row>
    <row r="45" spans="1:1" ht="20.100000000000001" customHeight="1">
      <c r="A45" s="17" t="s">
        <v>1963</v>
      </c>
    </row>
    <row r="46" spans="1:1" ht="20.100000000000001" customHeight="1">
      <c r="A46" s="17" t="s">
        <v>1647</v>
      </c>
    </row>
    <row r="47" spans="1:1" ht="24.75" customHeight="1">
      <c r="A47" s="17" t="s">
        <v>2988</v>
      </c>
    </row>
    <row r="48" spans="1:1" ht="21" customHeight="1">
      <c r="A48" s="17" t="s">
        <v>2092</v>
      </c>
    </row>
    <row r="49" spans="1:2" ht="20.25" customHeight="1">
      <c r="A49" s="17" t="s">
        <v>1825</v>
      </c>
    </row>
    <row r="50" spans="1:2" ht="21.75" customHeight="1">
      <c r="A50" s="17" t="s">
        <v>2412</v>
      </c>
    </row>
    <row r="51" spans="1:2" ht="20.100000000000001" customHeight="1">
      <c r="A51" s="17" t="s">
        <v>2715</v>
      </c>
    </row>
    <row r="52" spans="1:2" ht="20.100000000000001" customHeight="1">
      <c r="A52" s="17" t="s">
        <v>3081</v>
      </c>
    </row>
    <row r="53" spans="1:2" ht="20.100000000000001" customHeight="1">
      <c r="A53" s="17" t="s">
        <v>6461</v>
      </c>
    </row>
    <row r="54" spans="1:2" ht="20.100000000000001" customHeight="1">
      <c r="A54" s="17" t="s">
        <v>6623</v>
      </c>
    </row>
    <row r="55" spans="1:2" ht="20.100000000000001" customHeight="1">
      <c r="A55" s="17" t="s">
        <v>6654</v>
      </c>
    </row>
    <row r="56" spans="1:2" ht="20.100000000000001" customHeight="1">
      <c r="A56" s="17"/>
    </row>
    <row r="57" spans="1:2" ht="20.100000000000001" customHeight="1">
      <c r="A57" s="17"/>
    </row>
    <row r="58" spans="1:2" ht="20.100000000000001" customHeight="1">
      <c r="A58" s="17"/>
    </row>
    <row r="59" spans="1:2" ht="20.100000000000001" customHeight="1">
      <c r="A59" s="16"/>
    </row>
    <row r="60" spans="1:2" ht="20.100000000000001" customHeight="1">
      <c r="A60" s="16"/>
    </row>
    <row r="61" spans="1:2" ht="20.100000000000001" customHeight="1"/>
    <row r="62" spans="1:2" ht="20.100000000000001" customHeight="1"/>
    <row r="63" spans="1:2" ht="20.100000000000001" customHeight="1"/>
    <row r="64" spans="1:2" ht="20.100000000000001" customHeight="1">
      <c r="B64" s="10"/>
    </row>
    <row r="65" spans="2:2" ht="20.100000000000001" customHeight="1">
      <c r="B65" s="10"/>
    </row>
    <row r="66" spans="2:2" ht="20.100000000000001" customHeight="1">
      <c r="B66" s="10"/>
    </row>
    <row r="67" spans="2:2" ht="20.100000000000001" customHeight="1">
      <c r="B67" s="10"/>
    </row>
    <row r="68" spans="2:2" ht="21.75" customHeight="1"/>
    <row r="69" spans="2:2" ht="29.25" customHeight="1"/>
    <row r="70" spans="2:2" ht="29.25" customHeight="1"/>
    <row r="71" spans="2:2" ht="29.25" customHeight="1"/>
    <row r="72" spans="2:2" ht="29.25" customHeight="1"/>
    <row r="73" spans="2:2" ht="29.25" customHeight="1"/>
    <row r="74" spans="2:2" ht="29.25" customHeight="1"/>
    <row r="75" spans="2:2" ht="29.25" customHeight="1"/>
    <row r="76" spans="2:2" ht="29.25" customHeight="1"/>
    <row r="81" ht="20.25" customHeight="1"/>
    <row r="82" ht="20.100000000000001" customHeight="1"/>
    <row r="83" ht="20.100000000000001" customHeight="1"/>
    <row r="96" ht="20.100000000000001" customHeight="1"/>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pageSetup paperSize="5" orientation="portrait" horizontalDpi="4294967294" verticalDpi="4294967294" r:id="rId2"/>
</worksheet>
</file>

<file path=xl/worksheets/sheet17.xml><?xml version="1.0" encoding="utf-8"?>
<worksheet xmlns="http://schemas.openxmlformats.org/spreadsheetml/2006/main" xmlns:r="http://schemas.openxmlformats.org/officeDocument/2006/relationships">
  <sheetPr codeName="Hoja12"/>
  <dimension ref="A1:A8"/>
  <sheetViews>
    <sheetView workbookViewId="0">
      <selection activeCell="A8" sqref="A8"/>
    </sheetView>
  </sheetViews>
  <sheetFormatPr baseColWidth="10" defaultRowHeight="13.2"/>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11"/>
  <dimension ref="A1:F33"/>
  <sheetViews>
    <sheetView workbookViewId="0">
      <selection activeCell="A13" sqref="A13"/>
    </sheetView>
  </sheetViews>
  <sheetFormatPr baseColWidth="10" defaultRowHeight="13.2"/>
  <cols>
    <col min="1" max="2" width="45.6640625" customWidth="1"/>
  </cols>
  <sheetData>
    <row r="1" spans="1:6">
      <c r="A1" s="58" t="s">
        <v>908</v>
      </c>
      <c r="B1" s="58" t="s">
        <v>908</v>
      </c>
    </row>
    <row r="2" spans="1:6">
      <c r="A2" s="58" t="s">
        <v>1021</v>
      </c>
      <c r="B2" s="58" t="s">
        <v>905</v>
      </c>
      <c r="F2" s="10"/>
    </row>
    <row r="3" spans="1:6">
      <c r="A3" s="58" t="s">
        <v>903</v>
      </c>
      <c r="B3" s="58" t="s">
        <v>100</v>
      </c>
    </row>
    <row r="4" spans="1:6">
      <c r="A4" s="58" t="s">
        <v>902</v>
      </c>
      <c r="B4" s="58" t="s">
        <v>100</v>
      </c>
    </row>
    <row r="5" spans="1:6">
      <c r="A5" s="58" t="s">
        <v>906</v>
      </c>
      <c r="B5" s="58" t="s">
        <v>100</v>
      </c>
    </row>
    <row r="6" spans="1:6">
      <c r="A6" s="58" t="s">
        <v>900</v>
      </c>
      <c r="B6" s="58" t="s">
        <v>900</v>
      </c>
    </row>
    <row r="7" spans="1:6">
      <c r="A7" s="58" t="s">
        <v>897</v>
      </c>
      <c r="B7" s="58" t="s">
        <v>900</v>
      </c>
    </row>
    <row r="8" spans="1:6">
      <c r="A8" s="58" t="s">
        <v>911</v>
      </c>
      <c r="B8" s="58" t="s">
        <v>911</v>
      </c>
    </row>
    <row r="9" spans="1:6">
      <c r="A9" s="58" t="s">
        <v>972</v>
      </c>
      <c r="B9" s="58" t="s">
        <v>911</v>
      </c>
    </row>
    <row r="10" spans="1:6">
      <c r="A10" s="58" t="s">
        <v>151</v>
      </c>
      <c r="B10" s="58" t="s">
        <v>151</v>
      </c>
    </row>
    <row r="11" spans="1:6">
      <c r="A11" s="58" t="s">
        <v>901</v>
      </c>
      <c r="B11" s="58" t="s">
        <v>901</v>
      </c>
    </row>
    <row r="12" spans="1:6">
      <c r="A12" s="58" t="s">
        <v>910</v>
      </c>
      <c r="B12" s="58" t="s">
        <v>947</v>
      </c>
    </row>
    <row r="13" spans="1:6">
      <c r="A13" s="58" t="s">
        <v>909</v>
      </c>
      <c r="B13" s="58" t="s">
        <v>947</v>
      </c>
    </row>
    <row r="14" spans="1:6">
      <c r="A14" s="58" t="s">
        <v>907</v>
      </c>
      <c r="B14" s="58" t="s">
        <v>907</v>
      </c>
    </row>
    <row r="15" spans="1:6">
      <c r="A15" s="58" t="s">
        <v>1010</v>
      </c>
      <c r="B15" s="58" t="s">
        <v>947</v>
      </c>
    </row>
    <row r="16" spans="1:6">
      <c r="A16" s="58" t="s">
        <v>1504</v>
      </c>
      <c r="B16" s="58" t="s">
        <v>100</v>
      </c>
    </row>
    <row r="17" spans="1:2">
      <c r="A17" s="58" t="s">
        <v>1892</v>
      </c>
      <c r="B17" s="58" t="s">
        <v>1892</v>
      </c>
    </row>
    <row r="18" spans="1:2">
      <c r="A18" s="58" t="s">
        <v>4745</v>
      </c>
      <c r="B18" s="58" t="s">
        <v>4745</v>
      </c>
    </row>
    <row r="19" spans="1:2">
      <c r="A19" s="58" t="s">
        <v>645</v>
      </c>
      <c r="B19" s="58" t="s">
        <v>947</v>
      </c>
    </row>
    <row r="20" spans="1:2">
      <c r="A20" s="58" t="s">
        <v>949</v>
      </c>
      <c r="B20" s="58" t="s">
        <v>949</v>
      </c>
    </row>
    <row r="21" spans="1:2">
      <c r="A21" s="58" t="s">
        <v>949</v>
      </c>
      <c r="B21" s="58" t="s">
        <v>949</v>
      </c>
    </row>
    <row r="22" spans="1:2">
      <c r="A22" s="58" t="s">
        <v>949</v>
      </c>
      <c r="B22" s="58" t="s">
        <v>949</v>
      </c>
    </row>
    <row r="23" spans="1:2">
      <c r="A23" s="58" t="s">
        <v>949</v>
      </c>
      <c r="B23" s="58" t="s">
        <v>949</v>
      </c>
    </row>
    <row r="24" spans="1:2">
      <c r="A24" s="58" t="s">
        <v>949</v>
      </c>
      <c r="B24" s="58" t="s">
        <v>949</v>
      </c>
    </row>
    <row r="25" spans="1:2">
      <c r="A25" s="58" t="s">
        <v>949</v>
      </c>
      <c r="B25" s="58" t="s">
        <v>949</v>
      </c>
    </row>
    <row r="26" spans="1:2">
      <c r="A26" s="58" t="s">
        <v>949</v>
      </c>
      <c r="B26" s="58" t="s">
        <v>949</v>
      </c>
    </row>
    <row r="27" spans="1:2">
      <c r="A27" s="58" t="s">
        <v>949</v>
      </c>
      <c r="B27" s="58" t="s">
        <v>949</v>
      </c>
    </row>
    <row r="28" spans="1:2">
      <c r="A28" s="58" t="s">
        <v>949</v>
      </c>
      <c r="B28" s="58" t="s">
        <v>949</v>
      </c>
    </row>
    <row r="29" spans="1:2">
      <c r="A29" s="58" t="s">
        <v>949</v>
      </c>
      <c r="B29" s="58" t="s">
        <v>949</v>
      </c>
    </row>
    <row r="30" spans="1:2">
      <c r="A30" s="58" t="s">
        <v>949</v>
      </c>
      <c r="B30" s="58" t="s">
        <v>949</v>
      </c>
    </row>
    <row r="31" spans="1:2">
      <c r="A31" s="58"/>
    </row>
    <row r="32" spans="1:2">
      <c r="A32" s="58"/>
    </row>
    <row r="33" spans="1:1">
      <c r="A33" s="58"/>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6"/>
  <dimension ref="A1:A4"/>
  <sheetViews>
    <sheetView workbookViewId="0">
      <selection activeCell="D4" sqref="D4"/>
    </sheetView>
  </sheetViews>
  <sheetFormatPr baseColWidth="10" defaultRowHeight="13.2"/>
  <sheetData>
    <row r="1" spans="1:1" ht="39.6">
      <c r="A1" s="7" t="s">
        <v>996</v>
      </c>
    </row>
    <row r="2" spans="1:1" ht="39.6">
      <c r="A2" s="7" t="s">
        <v>999</v>
      </c>
    </row>
    <row r="3" spans="1:1" ht="52.8">
      <c r="A3" s="7" t="s">
        <v>1008</v>
      </c>
    </row>
    <row r="4" spans="1:1" ht="66">
      <c r="A4" s="7" t="s">
        <v>1011</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3.2"/>
  <cols>
    <col min="1" max="1" width="10.6640625" customWidth="1"/>
    <col min="2" max="2" width="12.6640625" style="44" bestFit="1" customWidth="1"/>
    <col min="3" max="3" width="22.44140625" style="44" customWidth="1"/>
    <col min="4" max="4" width="12.6640625" style="44" customWidth="1"/>
    <col min="5" max="5" width="12.44140625" bestFit="1" customWidth="1"/>
    <col min="6" max="6" width="10.33203125" style="50" customWidth="1"/>
    <col min="7" max="7" width="14" customWidth="1"/>
    <col min="8" max="8" width="15.44140625" customWidth="1"/>
    <col min="9" max="9" width="12.6640625" bestFit="1" customWidth="1"/>
    <col min="10" max="10" width="16.6640625" customWidth="1"/>
    <col min="11" max="11" width="12.6640625" bestFit="1" customWidth="1"/>
    <col min="12" max="12" width="16.44140625" customWidth="1"/>
    <col min="13" max="13" width="12.6640625" bestFit="1" customWidth="1"/>
    <col min="14" max="14" width="13.33203125" customWidth="1"/>
    <col min="15" max="15" width="12.6640625" bestFit="1" customWidth="1"/>
    <col min="16" max="16" width="22.6640625" customWidth="1"/>
    <col min="17" max="17" width="14.33203125" bestFit="1" customWidth="1"/>
  </cols>
  <sheetData>
    <row r="1" spans="1:17">
      <c r="H1" s="803" t="s">
        <v>732</v>
      </c>
      <c r="I1" s="803"/>
      <c r="J1" s="803"/>
      <c r="K1" s="803"/>
      <c r="L1" s="803"/>
      <c r="M1" s="803"/>
      <c r="N1" s="803"/>
      <c r="O1" s="803"/>
      <c r="P1" s="803"/>
      <c r="Q1" s="803"/>
    </row>
    <row r="2" spans="1:17" s="1" customFormat="1" ht="57.75" customHeight="1">
      <c r="A2" s="47" t="s">
        <v>0</v>
      </c>
      <c r="B2" s="47" t="s">
        <v>757</v>
      </c>
      <c r="C2" s="47" t="s">
        <v>382</v>
      </c>
      <c r="D2" s="47" t="s">
        <v>817</v>
      </c>
      <c r="E2" s="47" t="s">
        <v>729</v>
      </c>
      <c r="F2" s="47" t="s">
        <v>730</v>
      </c>
      <c r="G2" s="47" t="s">
        <v>733</v>
      </c>
      <c r="H2" s="47" t="s">
        <v>726</v>
      </c>
      <c r="I2" s="47" t="s">
        <v>731</v>
      </c>
      <c r="J2" s="47" t="s">
        <v>727</v>
      </c>
      <c r="K2" s="47" t="s">
        <v>731</v>
      </c>
      <c r="L2" s="47" t="s">
        <v>728</v>
      </c>
      <c r="M2" s="47" t="s">
        <v>731</v>
      </c>
      <c r="N2" s="47" t="s">
        <v>751</v>
      </c>
      <c r="O2" s="47" t="s">
        <v>731</v>
      </c>
      <c r="P2" s="47" t="s">
        <v>752</v>
      </c>
      <c r="Q2" s="47" t="s">
        <v>731</v>
      </c>
    </row>
    <row r="3" spans="1:17" s="44" customFormat="1" ht="39.9" customHeight="1">
      <c r="A3" s="42">
        <v>45055</v>
      </c>
      <c r="B3" s="43" t="s">
        <v>760</v>
      </c>
      <c r="C3" s="43" t="s">
        <v>746</v>
      </c>
      <c r="D3" s="43"/>
      <c r="E3" s="44" t="s">
        <v>708</v>
      </c>
      <c r="F3" s="43" t="s">
        <v>743</v>
      </c>
      <c r="G3" s="44">
        <v>20</v>
      </c>
      <c r="H3" s="46" t="s">
        <v>750</v>
      </c>
      <c r="I3" s="43" t="s">
        <v>744</v>
      </c>
      <c r="J3" s="45">
        <v>0.3354166666666667</v>
      </c>
      <c r="K3" s="43" t="s">
        <v>744</v>
      </c>
      <c r="L3" s="43" t="s">
        <v>745</v>
      </c>
      <c r="M3" s="43" t="s">
        <v>745</v>
      </c>
      <c r="N3" s="46" t="s">
        <v>754</v>
      </c>
      <c r="O3" s="43" t="s">
        <v>744</v>
      </c>
      <c r="P3" s="43"/>
      <c r="Q3" s="43"/>
    </row>
    <row r="4" spans="1:17" s="44" customFormat="1" ht="39.9" customHeight="1">
      <c r="A4" s="42">
        <v>45055</v>
      </c>
      <c r="B4" s="43" t="s">
        <v>747</v>
      </c>
      <c r="C4" s="43" t="s">
        <v>758</v>
      </c>
      <c r="D4" s="43"/>
      <c r="E4" s="44" t="s">
        <v>687</v>
      </c>
      <c r="F4" s="43" t="s">
        <v>748</v>
      </c>
      <c r="G4" s="44">
        <v>37</v>
      </c>
      <c r="H4" s="46" t="s">
        <v>749</v>
      </c>
      <c r="I4" s="43" t="s">
        <v>744</v>
      </c>
      <c r="J4" s="43" t="s">
        <v>755</v>
      </c>
      <c r="K4" s="43" t="s">
        <v>756</v>
      </c>
      <c r="L4" s="43" t="s">
        <v>759</v>
      </c>
      <c r="M4" s="43" t="s">
        <v>744</v>
      </c>
      <c r="N4" s="46" t="s">
        <v>73</v>
      </c>
      <c r="O4" s="43" t="s">
        <v>744</v>
      </c>
      <c r="P4" s="43" t="s">
        <v>749</v>
      </c>
      <c r="Q4" s="43" t="s">
        <v>753</v>
      </c>
    </row>
    <row r="5" spans="1:17" s="14" customFormat="1" ht="39.9" customHeight="1">
      <c r="A5" s="42">
        <v>45056</v>
      </c>
      <c r="B5" s="43" t="s">
        <v>747</v>
      </c>
      <c r="E5" s="49" t="s">
        <v>722</v>
      </c>
      <c r="F5" s="49" t="s">
        <v>770</v>
      </c>
    </row>
    <row r="6" spans="1:17" s="14" customFormat="1" ht="39.9" customHeight="1">
      <c r="A6" s="42">
        <v>45057</v>
      </c>
      <c r="B6" s="43" t="s">
        <v>815</v>
      </c>
      <c r="C6" s="43" t="s">
        <v>816</v>
      </c>
      <c r="D6" s="43"/>
      <c r="E6" s="44" t="s">
        <v>720</v>
      </c>
      <c r="F6" s="43" t="s">
        <v>748</v>
      </c>
      <c r="G6" s="44"/>
      <c r="H6" s="45">
        <v>0.33749999999999997</v>
      </c>
      <c r="I6" s="43" t="s">
        <v>744</v>
      </c>
      <c r="J6" s="45">
        <v>0.3263888888888889</v>
      </c>
      <c r="K6" s="43" t="s">
        <v>744</v>
      </c>
      <c r="L6" s="44"/>
      <c r="M6" s="43" t="s">
        <v>744</v>
      </c>
      <c r="N6" s="45">
        <v>0.3298611111111111</v>
      </c>
      <c r="O6" s="43" t="s">
        <v>744</v>
      </c>
      <c r="P6" s="44"/>
      <c r="Q6" s="44"/>
    </row>
    <row r="7" spans="1:17">
      <c r="A7" s="52">
        <v>45062</v>
      </c>
      <c r="B7" s="43" t="s">
        <v>747</v>
      </c>
      <c r="C7" s="43" t="s">
        <v>758</v>
      </c>
      <c r="E7" t="s">
        <v>765</v>
      </c>
      <c r="F7" s="51" t="s">
        <v>743</v>
      </c>
      <c r="H7" s="53">
        <v>0.33402777777777781</v>
      </c>
      <c r="I7" s="43" t="s">
        <v>744</v>
      </c>
      <c r="J7" s="53">
        <v>0.3298611111111111</v>
      </c>
      <c r="K7" s="43" t="s">
        <v>744</v>
      </c>
      <c r="L7" s="53">
        <v>0.33333333333333331</v>
      </c>
      <c r="M7" s="43" t="s">
        <v>744</v>
      </c>
      <c r="N7" s="53">
        <v>0.33333333333333331</v>
      </c>
      <c r="O7" s="43" t="s">
        <v>744</v>
      </c>
    </row>
    <row r="15" spans="1:17">
      <c r="A15" s="52">
        <v>45068</v>
      </c>
      <c r="B15" s="43" t="s">
        <v>932</v>
      </c>
      <c r="C15" s="43" t="s">
        <v>746</v>
      </c>
      <c r="E15" s="10" t="s">
        <v>838</v>
      </c>
      <c r="F15" s="51" t="s">
        <v>743</v>
      </c>
      <c r="H15" s="56">
        <v>0.34722222222222227</v>
      </c>
      <c r="I15" s="10" t="s">
        <v>744</v>
      </c>
      <c r="J15" s="56">
        <v>0.3263888888888889</v>
      </c>
      <c r="K15" s="10" t="s">
        <v>744</v>
      </c>
      <c r="N15" s="56">
        <v>0.34375</v>
      </c>
      <c r="O15" s="10" t="s">
        <v>744</v>
      </c>
    </row>
    <row r="16" spans="1:17">
      <c r="A16" s="52">
        <v>45068</v>
      </c>
      <c r="B16" s="43" t="s">
        <v>932</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3.2"/>
  <sheetData>
    <row r="1" spans="1:4" ht="30" customHeight="1">
      <c r="A1" s="67">
        <v>1</v>
      </c>
      <c r="B1" s="17" t="s">
        <v>1038</v>
      </c>
      <c r="C1" s="10" t="s">
        <v>770</v>
      </c>
      <c r="D1" s="10" t="s">
        <v>1136</v>
      </c>
    </row>
    <row r="2" spans="1:4" ht="30" customHeight="1">
      <c r="A2" s="67">
        <v>2</v>
      </c>
      <c r="B2" s="17" t="s">
        <v>1039</v>
      </c>
      <c r="C2" s="10">
        <f>MATCH(C1,B1:B5,0)</f>
        <v>5</v>
      </c>
      <c r="D2" s="10" t="s">
        <v>1250</v>
      </c>
    </row>
    <row r="3" spans="1:4" ht="30" customHeight="1">
      <c r="A3" s="67">
        <v>3</v>
      </c>
      <c r="B3" s="17" t="s">
        <v>748</v>
      </c>
    </row>
    <row r="4" spans="1:4" ht="30" customHeight="1">
      <c r="A4" s="67">
        <v>4</v>
      </c>
      <c r="B4" s="17" t="s">
        <v>743</v>
      </c>
    </row>
    <row r="5" spans="1:4" ht="30" customHeight="1">
      <c r="A5" s="67">
        <v>5</v>
      </c>
      <c r="B5" s="17" t="s">
        <v>770</v>
      </c>
    </row>
    <row r="6" spans="1:4" ht="30" customHeight="1">
      <c r="A6" s="67"/>
      <c r="B6" s="17"/>
    </row>
    <row r="7" spans="1:4" ht="30" customHeight="1">
      <c r="A7" s="67"/>
      <c r="B7" s="17"/>
    </row>
    <row r="8" spans="1:4" ht="30" customHeight="1">
      <c r="A8" s="67"/>
      <c r="B8" s="17"/>
    </row>
    <row r="9" spans="1:4" ht="30" customHeight="1">
      <c r="A9" s="67"/>
      <c r="B9" s="17"/>
    </row>
    <row r="10" spans="1:4" ht="30" customHeight="1">
      <c r="A10" s="67"/>
      <c r="B10" s="17"/>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16"/>
  <dimension ref="B1:C35"/>
  <sheetViews>
    <sheetView topLeftCell="A11" workbookViewId="0">
      <selection activeCell="C5" sqref="C5"/>
    </sheetView>
  </sheetViews>
  <sheetFormatPr baseColWidth="10" defaultRowHeight="13.2"/>
  <cols>
    <col min="1" max="1" width="6.33203125" customWidth="1"/>
    <col min="2" max="2" width="42.44140625" customWidth="1"/>
    <col min="3" max="3" width="49.33203125" customWidth="1"/>
  </cols>
  <sheetData>
    <row r="1" spans="2:3" ht="21">
      <c r="B1" s="27" t="s">
        <v>514</v>
      </c>
      <c r="C1" s="21">
        <f ca="1">TODAY()</f>
        <v>45408</v>
      </c>
    </row>
    <row r="2" spans="2:3" ht="24.9" customHeight="1">
      <c r="B2" s="801" t="s">
        <v>393</v>
      </c>
      <c r="C2" s="801"/>
    </row>
    <row r="3" spans="2:3" ht="24.9" customHeight="1">
      <c r="B3" s="13" t="s">
        <v>3</v>
      </c>
      <c r="C3" s="13" t="s">
        <v>362</v>
      </c>
    </row>
    <row r="4" spans="2:3" ht="24.9" customHeight="1">
      <c r="B4" s="11" t="s">
        <v>43</v>
      </c>
      <c r="C4" s="11">
        <f ca="1">COUNTIFS(EXPEDIENTES!G:G,B4,EXPEDIENTES!O:O,"NO")</f>
        <v>0</v>
      </c>
    </row>
    <row r="5" spans="2:3" ht="24.9" customHeight="1">
      <c r="B5" s="11" t="s">
        <v>34</v>
      </c>
      <c r="C5" s="11">
        <f ca="1">COUNTIFS(EXPEDIENTES!G:G,B5,EXPEDIENTES!O:O,"NO")</f>
        <v>0</v>
      </c>
    </row>
    <row r="6" spans="2:3" ht="24.9" customHeight="1">
      <c r="B6" s="11" t="s">
        <v>29</v>
      </c>
      <c r="C6" s="11">
        <f ca="1">COUNTIFS(EXPEDIENTES!G:G,B6,EXPEDIENTES!O:O,"NO")</f>
        <v>9</v>
      </c>
    </row>
    <row r="7" spans="2:3" ht="24.9" customHeight="1">
      <c r="B7" s="11" t="s">
        <v>283</v>
      </c>
      <c r="C7" s="11">
        <f ca="1">COUNTIFS(EXPEDIENTES!G:G,B7,EXPEDIENTES!O:O,"NO")</f>
        <v>6</v>
      </c>
    </row>
    <row r="8" spans="2:3" ht="24.9" customHeight="1">
      <c r="B8" s="11" t="s">
        <v>32</v>
      </c>
      <c r="C8" s="11">
        <f ca="1">COUNTIFS(EXPEDIENTES!G:G,B8,EXPEDIENTES!O:O,"NO")</f>
        <v>0</v>
      </c>
    </row>
    <row r="9" spans="2:3" ht="24.9" customHeight="1">
      <c r="B9" s="11" t="s">
        <v>320</v>
      </c>
      <c r="C9" s="11">
        <f>COUNTIFS(EXPEDIENTES!G:G,B9,EXPEDIENTES!O:O,"NO")</f>
        <v>0</v>
      </c>
    </row>
    <row r="10" spans="2:3" ht="24.9" customHeight="1">
      <c r="B10" s="11" t="s">
        <v>568</v>
      </c>
      <c r="C10" s="11">
        <f ca="1">COUNTIFS(EXPEDIENTES!G:G,B10,EXPEDIENTES!O:O,"NO")</f>
        <v>7</v>
      </c>
    </row>
    <row r="11" spans="2:3" ht="24.9" customHeight="1">
      <c r="B11" s="11" t="s">
        <v>628</v>
      </c>
      <c r="C11" s="11"/>
    </row>
    <row r="12" spans="2:3" ht="24.9" customHeight="1">
      <c r="B12" s="25" t="s">
        <v>372</v>
      </c>
      <c r="C12" s="28">
        <f ca="1">SUM(C4:C11)</f>
        <v>22</v>
      </c>
    </row>
    <row r="13" spans="2:3" ht="24.9" customHeight="1">
      <c r="B13" s="14"/>
      <c r="C13" s="14"/>
    </row>
    <row r="14" spans="2:3" ht="24.9" customHeight="1">
      <c r="B14" s="801" t="s">
        <v>448</v>
      </c>
      <c r="C14" s="801"/>
    </row>
    <row r="15" spans="2:3" ht="24.9" customHeight="1">
      <c r="B15" s="13" t="s">
        <v>3</v>
      </c>
      <c r="C15" s="13" t="s">
        <v>362</v>
      </c>
    </row>
    <row r="16" spans="2:3" ht="24.9" customHeight="1">
      <c r="B16" s="11" t="s">
        <v>43</v>
      </c>
      <c r="C16" s="11">
        <f>COUNTIF(EXPEDIENTES!G:G,B16)</f>
        <v>130</v>
      </c>
    </row>
    <row r="17" spans="2:3" ht="24.9" customHeight="1">
      <c r="B17" s="11" t="s">
        <v>34</v>
      </c>
      <c r="C17" s="11">
        <f>COUNTIF(EXPEDIENTES!G:G,B17)</f>
        <v>34</v>
      </c>
    </row>
    <row r="18" spans="2:3" ht="24.9" customHeight="1">
      <c r="B18" s="11" t="s">
        <v>29</v>
      </c>
      <c r="C18" s="11">
        <f>COUNTIF(EXPEDIENTES!G:G,B18)</f>
        <v>164</v>
      </c>
    </row>
    <row r="19" spans="2:3" ht="24.9" customHeight="1">
      <c r="B19" s="11" t="s">
        <v>283</v>
      </c>
      <c r="C19" s="11">
        <f>COUNTIF(EXPEDIENTES!G:G,B19)</f>
        <v>195</v>
      </c>
    </row>
    <row r="20" spans="2:3" ht="24.9" customHeight="1">
      <c r="B20" s="11" t="s">
        <v>32</v>
      </c>
      <c r="C20" s="11">
        <f>COUNTIF(EXPEDIENTES!G:G,B20)</f>
        <v>78</v>
      </c>
    </row>
    <row r="21" spans="2:3" ht="24.9" customHeight="1">
      <c r="B21" s="11" t="s">
        <v>320</v>
      </c>
      <c r="C21" s="11">
        <f>COUNTIF(EXPEDIENTES!G:G,B21)</f>
        <v>0</v>
      </c>
    </row>
    <row r="22" spans="2:3" ht="24.9" customHeight="1">
      <c r="B22" s="11" t="s">
        <v>568</v>
      </c>
      <c r="C22" s="11">
        <f>COUNTIF(EXPEDIENTES!G:G,B22)</f>
        <v>163</v>
      </c>
    </row>
    <row r="23" spans="2:3" ht="24.9" customHeight="1">
      <c r="B23" s="25" t="s">
        <v>370</v>
      </c>
      <c r="C23" s="28">
        <f>SUM(C16:C22)</f>
        <v>764</v>
      </c>
    </row>
    <row r="24" spans="2:3" ht="23.25" customHeight="1">
      <c r="B24" s="11" t="s">
        <v>450</v>
      </c>
      <c r="C24" s="11">
        <f>'no realizadas'!R10</f>
        <v>0</v>
      </c>
    </row>
    <row r="25" spans="2:3" ht="24.9" customHeight="1">
      <c r="B25" s="14"/>
      <c r="C25" s="14"/>
    </row>
    <row r="26" spans="2:3" ht="24.9" customHeight="1">
      <c r="B26" s="801" t="s">
        <v>449</v>
      </c>
      <c r="C26" s="801"/>
    </row>
    <row r="27" spans="2:3" ht="24.9" customHeight="1">
      <c r="B27" s="13" t="s">
        <v>3</v>
      </c>
      <c r="C27" s="13" t="s">
        <v>362</v>
      </c>
    </row>
    <row r="28" spans="2:3" ht="24.9" customHeight="1">
      <c r="B28" s="11" t="s">
        <v>43</v>
      </c>
      <c r="C28" s="11">
        <f ca="1">COUNTIFS(EXPEDIENTES!G:G,B28,EXPEDIENTES!O:O,"SI")</f>
        <v>130</v>
      </c>
    </row>
    <row r="29" spans="2:3" ht="24.9" customHeight="1">
      <c r="B29" s="11" t="s">
        <v>34</v>
      </c>
      <c r="C29" s="11">
        <f ca="1">COUNTIFS(EXPEDIENTES!G:G,B29,EXPEDIENTES!O:O,"SI")</f>
        <v>34</v>
      </c>
    </row>
    <row r="30" spans="2:3" ht="24.9" customHeight="1">
      <c r="B30" s="11" t="s">
        <v>29</v>
      </c>
      <c r="C30" s="11">
        <f ca="1">COUNTIFS(EXPEDIENTES!G:G,B30,EXPEDIENTES!O:O,"SI")</f>
        <v>155</v>
      </c>
    </row>
    <row r="31" spans="2:3" ht="24.9" customHeight="1">
      <c r="B31" s="11" t="s">
        <v>283</v>
      </c>
      <c r="C31" s="11">
        <f ca="1">COUNTIFS(EXPEDIENTES!G:G,B31,EXPEDIENTES!O:O,"SI")</f>
        <v>189</v>
      </c>
    </row>
    <row r="32" spans="2:3" ht="24.9" customHeight="1">
      <c r="B32" s="11" t="s">
        <v>32</v>
      </c>
      <c r="C32" s="11">
        <f ca="1">COUNTIFS(EXPEDIENTES!G:G,B32,EXPEDIENTES!O:O,"SI")</f>
        <v>78</v>
      </c>
    </row>
    <row r="33" spans="2:3" ht="24.9" customHeight="1">
      <c r="B33" s="11" t="s">
        <v>320</v>
      </c>
      <c r="C33" s="11">
        <f>COUNTIFS(EXPEDIENTES!G:G,B33,EXPEDIENTES!O:O,"SI")</f>
        <v>0</v>
      </c>
    </row>
    <row r="34" spans="2:3" ht="24.9" customHeight="1">
      <c r="B34" s="11" t="s">
        <v>568</v>
      </c>
      <c r="C34" s="11">
        <f ca="1">COUNTIFS(EXPEDIENTES!G:G,B34,EXPEDIENTES!O:O,"SI")</f>
        <v>156</v>
      </c>
    </row>
    <row r="35" spans="2:3" ht="24.9" customHeight="1">
      <c r="B35" s="25" t="s">
        <v>371</v>
      </c>
      <c r="C35" s="28">
        <f ca="1">SUM(C28:C34)</f>
        <v>742</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3.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3.2"/>
  <sheetData>
    <row r="1" spans="1:9">
      <c r="A1" s="93" t="s">
        <v>1253</v>
      </c>
      <c r="B1" s="94"/>
      <c r="C1" s="94"/>
      <c r="D1" s="93" t="s">
        <v>1254</v>
      </c>
      <c r="E1" s="94"/>
      <c r="F1" s="94"/>
      <c r="G1" s="93" t="s">
        <v>1255</v>
      </c>
      <c r="H1" s="94"/>
      <c r="I1" s="94"/>
    </row>
    <row r="2" spans="1:9">
      <c r="A2" s="48" t="s">
        <v>1038</v>
      </c>
      <c r="B2" s="95" t="s">
        <v>743</v>
      </c>
      <c r="C2" s="55" t="s">
        <v>1256</v>
      </c>
      <c r="D2" s="55" t="s">
        <v>1165</v>
      </c>
      <c r="E2" s="95" t="s">
        <v>1167</v>
      </c>
      <c r="F2" s="55" t="s">
        <v>1256</v>
      </c>
      <c r="G2" s="55" t="s">
        <v>1169</v>
      </c>
      <c r="H2" s="95" t="s">
        <v>1173</v>
      </c>
      <c r="I2" s="55" t="s">
        <v>1256</v>
      </c>
    </row>
    <row r="3" spans="1:9">
      <c r="A3" s="48" t="s">
        <v>1039</v>
      </c>
      <c r="B3" s="95">
        <f>MATCH(B2,A2:A6,0)+1</f>
        <v>5</v>
      </c>
      <c r="C3" s="55" t="s">
        <v>1257</v>
      </c>
      <c r="D3" s="55" t="s">
        <v>1167</v>
      </c>
      <c r="E3" s="96">
        <f>MATCH(E2,D2:D4,0)+1</f>
        <v>3</v>
      </c>
      <c r="F3" s="55" t="s">
        <v>1257</v>
      </c>
      <c r="G3" s="55" t="s">
        <v>1171</v>
      </c>
      <c r="H3" s="96">
        <f>MATCH(H2,G2:G6,0)+1</f>
        <v>4</v>
      </c>
      <c r="I3" s="55" t="s">
        <v>1257</v>
      </c>
    </row>
    <row r="4" spans="1:9">
      <c r="A4" s="48" t="s">
        <v>748</v>
      </c>
      <c r="B4" s="92"/>
      <c r="C4" s="92"/>
      <c r="D4" s="55" t="s">
        <v>743</v>
      </c>
      <c r="E4" s="92"/>
      <c r="F4" s="92"/>
      <c r="G4" s="55" t="s">
        <v>1173</v>
      </c>
      <c r="H4" s="92"/>
      <c r="I4" s="92"/>
    </row>
    <row r="5" spans="1:9">
      <c r="A5" s="48" t="s">
        <v>743</v>
      </c>
      <c r="B5" s="92"/>
      <c r="C5" s="92"/>
      <c r="D5" s="92"/>
      <c r="E5" s="92"/>
      <c r="F5" s="92"/>
      <c r="G5" s="55" t="s">
        <v>1172</v>
      </c>
      <c r="H5" s="92"/>
      <c r="I5" s="92"/>
    </row>
    <row r="6" spans="1:9">
      <c r="A6" s="48" t="s">
        <v>770</v>
      </c>
      <c r="B6" s="92"/>
      <c r="C6" s="92"/>
      <c r="D6" s="92"/>
      <c r="E6" s="92"/>
      <c r="F6" s="92"/>
      <c r="G6" s="55" t="s">
        <v>1170</v>
      </c>
      <c r="H6" s="92"/>
      <c r="I6" s="92"/>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8"/>
  <dimension ref="A1:C5"/>
  <sheetViews>
    <sheetView workbookViewId="0">
      <selection activeCell="F10" sqref="F10:F11"/>
    </sheetView>
  </sheetViews>
  <sheetFormatPr baseColWidth="10" defaultRowHeight="13.2"/>
  <sheetData>
    <row r="1" spans="1:3">
      <c r="A1" s="10" t="s">
        <v>1169</v>
      </c>
      <c r="B1" s="10" t="s">
        <v>1171</v>
      </c>
      <c r="C1" s="10" t="s">
        <v>1251</v>
      </c>
    </row>
    <row r="2" spans="1:3">
      <c r="A2" s="10" t="s">
        <v>1171</v>
      </c>
      <c r="B2">
        <f>MATCH(B1,A1:A5,0)</f>
        <v>2</v>
      </c>
      <c r="C2" s="10" t="s">
        <v>1252</v>
      </c>
    </row>
    <row r="3" spans="1:3">
      <c r="A3" s="10" t="s">
        <v>1173</v>
      </c>
    </row>
    <row r="4" spans="1:3">
      <c r="A4" s="10" t="s">
        <v>1172</v>
      </c>
    </row>
    <row r="5" spans="1:3">
      <c r="A5" s="10" t="s">
        <v>1170</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5.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4" sqref="M4"/>
    </sheetView>
  </sheetViews>
  <sheetFormatPr baseColWidth="10" defaultColWidth="11.44140625" defaultRowHeight="10.199999999999999"/>
  <cols>
    <col min="1" max="2" width="30.6640625" style="160" hidden="1" customWidth="1"/>
    <col min="3" max="3" width="25.5546875" style="161" customWidth="1"/>
    <col min="4" max="4" width="30.6640625" style="158" hidden="1" customWidth="1"/>
    <col min="5" max="5" width="25.5546875" style="161" customWidth="1"/>
    <col min="6" max="6" width="30.6640625" style="158" hidden="1" customWidth="1"/>
    <col min="7" max="7" width="25.5546875" style="161" customWidth="1"/>
    <col min="8" max="8" width="30.6640625" style="158" hidden="1" customWidth="1"/>
    <col min="9" max="9" width="25.5546875" style="161" customWidth="1"/>
    <col min="10" max="10" width="30.6640625" style="158" hidden="1" customWidth="1"/>
    <col min="11" max="11" width="25.5546875" style="161" customWidth="1"/>
    <col min="12" max="12" width="1" style="158" customWidth="1"/>
    <col min="13" max="13" width="30.6640625" style="158" customWidth="1"/>
    <col min="14" max="16384" width="11.44140625" style="158"/>
  </cols>
  <sheetData>
    <row r="1" spans="1:13" s="152" customFormat="1" ht="18" thickBot="1">
      <c r="A1" s="151"/>
      <c r="B1" s="151"/>
      <c r="C1" s="177">
        <f>M4</f>
        <v>45201</v>
      </c>
      <c r="D1" s="178"/>
      <c r="E1" s="177">
        <f>C1+1</f>
        <v>45202</v>
      </c>
      <c r="F1" s="178"/>
      <c r="G1" s="177">
        <f>E1+1</f>
        <v>45203</v>
      </c>
      <c r="H1" s="178"/>
      <c r="I1" s="177">
        <f>G1+1</f>
        <v>45204</v>
      </c>
      <c r="J1" s="178"/>
      <c r="K1" s="177">
        <f t="shared" ref="K1" si="0">I1+1</f>
        <v>45205</v>
      </c>
    </row>
    <row r="2" spans="1:13" ht="100.8">
      <c r="A2" s="153">
        <v>1</v>
      </c>
      <c r="B2" s="154" t="str">
        <f>CONCATENATE(TEXT(C$1,"dd/mm/yyyy"),$A2)</f>
        <v>02/10/20231</v>
      </c>
      <c r="C2" s="155"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56" t="str">
        <f>CONCATENATE(TEXT(E$1,"dd/mm/yyyy"),$A2)</f>
        <v>03/10/20231</v>
      </c>
      <c r="E2" s="155"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56" t="str">
        <f>CONCATENATE(TEXT(G$1,"dd/mm/yyyy"),$A2)</f>
        <v>04/10/20231</v>
      </c>
      <c r="G2" s="155"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57" t="str">
        <f>CONCATENATE(TEXT(I$1,"dd/mm/yyyy"),$A2)</f>
        <v>05/10/20231</v>
      </c>
      <c r="I2" s="155"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2" s="157" t="str">
        <f>CONCATENATE(TEXT(K$1,"dd/mm/yyyy"),$A2)</f>
        <v>06/10/20231</v>
      </c>
      <c r="K2" s="179"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186326/23 - Carátula: SANCHEZ ROSADO Ignacio Lautaro y BALACCO Carlos Jos{e Nahuel por ROBO DOBLEMENTE Calificado por haberse cometido en Poblado y en Banda y de Vehículo dejado en la vía pública en perj. De  - Sala: GAR 2 - Fiscal: FP 3 - Dr. Cordoba - Def.: Dr. Marcelo Fernandez MP 5648 - ENC.: Dra. Laura Navarro</v>
      </c>
    </row>
    <row r="3" spans="1:13" ht="92.4">
      <c r="A3" s="153">
        <v>2</v>
      </c>
      <c r="B3" s="154" t="str">
        <f>CONCATENATE(TEXT(C$1,"dd/mm/yyyy"),$A3)</f>
        <v>02/10/20232</v>
      </c>
      <c r="C3" s="155"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aux. Dra. Carolina Anuch - ENC.: Dra. Ana Irazusta</v>
      </c>
      <c r="D3" s="157" t="str">
        <f>CONCATENATE(TEXT(E$1,"dd/mm/yyyy"),$A3)</f>
        <v>03/10/20232</v>
      </c>
      <c r="E3" s="155"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57" t="str">
        <f>CONCATENATE(TEXT(G$1,"dd/mm/yyyy"),$A3)</f>
        <v>04/10/20232</v>
      </c>
      <c r="G3" s="155"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3" s="157" t="str">
        <f>CONCATENATE(TEXT(I$1,"dd/mm/yyyy"),$A3)</f>
        <v>05/10/20232</v>
      </c>
      <c r="I3" s="155"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3" s="157" t="str">
        <f>CONCATENATE(TEXT(K$1,"dd/mm/yyyy"),$A3)</f>
        <v>06/10/20232</v>
      </c>
      <c r="K3" s="179"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8 EXP: 186228/23 - Carátula: ALE NAHIR Nicolas Antonio por Violacion de Domicilio y Lesiones Leves Agravadas por la Relacion de Pareja y por el Género en Concurso Real en perj. De  - Sala: 4 - Fiscal: FP VFG 2 Dra Sodero Calvet - Def.: DOP 13 - Dra. Sandra Ortiz - ENC.: Dra. Chanchorra</v>
      </c>
      <c r="M3" s="200"/>
    </row>
    <row r="4" spans="1:13" ht="100.8">
      <c r="A4" s="153">
        <v>3</v>
      </c>
      <c r="B4" s="154" t="str">
        <f t="shared" ref="B4:F11" si="1">CONCATENATE(TEXT(C$1,"dd/mm/yyyy"),$A4)</f>
        <v>02/10/20233</v>
      </c>
      <c r="C4" s="155"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Cerrilos - AUX. Dra. Valeria Tanjilevich - Def.: DOP 12 - Dra. Patricia Gonzalez - ENC.: Dr. Nieva</v>
      </c>
      <c r="D4" s="157" t="str">
        <f t="shared" si="1"/>
        <v>03/10/20233</v>
      </c>
      <c r="E4" s="155"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DOP 15 - Dr. Bonetto - ENC.: Dr. Nieva</v>
      </c>
      <c r="F4" s="157" t="str">
        <f t="shared" si="1"/>
        <v>04/10/20233</v>
      </c>
      <c r="G4" s="155"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6 EXP: 183843/23 - Carátula: VIRTUAL CON FISCALIA -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4" s="157" t="str">
        <f t="shared" ref="H4:H11" si="2">CONCATENATE(TEXT(I$1,"dd/mm/yyyy"),$A4)</f>
        <v>05/10/20233</v>
      </c>
      <c r="I4" s="155"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4" s="157" t="str">
        <f t="shared" ref="J4:J11" si="3">CONCATENATE(TEXT(K$1,"dd/mm/yyyy"),$A4)</f>
        <v>06/10/20233</v>
      </c>
      <c r="K4" s="179"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4" s="199">
        <v>45201</v>
      </c>
    </row>
    <row r="5" spans="1:13" ht="100.8">
      <c r="A5" s="153">
        <v>4</v>
      </c>
      <c r="B5" s="154" t="str">
        <f t="shared" si="1"/>
        <v>02/10/20234</v>
      </c>
      <c r="C5" s="155"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7 EXP: 185862/23 - Carátula: VIRTUAL 4 VICTIMAS EN FISCALIA - LUNA Hector Rene por Resistencia a la Autoridad y lesiones en perjuicio de Gutierrez, Desideiro Armando - Sala: GAR 1 - Fiscal: FP Güemes - AUX Dr. Lopez Inojo - Def.: DOP 10 (I)- Aux. Dra. Chaila, Soledad - ENC.: Dra. Lamas</v>
      </c>
      <c r="D5" s="157" t="str">
        <f t="shared" si="1"/>
        <v>03/10/20234</v>
      </c>
      <c r="E5" s="155"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5" s="157" t="str">
        <f t="shared" si="1"/>
        <v>04/10/20234</v>
      </c>
      <c r="G5" s="155"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5" s="157" t="str">
        <f t="shared" si="2"/>
        <v>05/10/20234</v>
      </c>
      <c r="I5" s="155"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5" s="157" t="str">
        <f t="shared" si="3"/>
        <v>06/10/20234</v>
      </c>
      <c r="K5" s="179"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84">
      <c r="A6" s="153">
        <v>5</v>
      </c>
      <c r="B6" s="154" t="str">
        <f t="shared" si="1"/>
        <v>02/10/20235</v>
      </c>
      <c r="C6" s="155"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08:45 - Origen Gar.: 8 EXP: 186197/23 - Carátula: AMORES Matias Exequiel por Coaccion Daños Violacion de Domicilio y Desobediencia Judicial en Concurso Real en perj. De  - Sala: 4 - Fiscal: FP VFyG 5. Dra. Liliana Jorge - Def.: Dr. Daniel Arnedo (particular) - ENC.: Dra. Florencia Gonzalez</v>
      </c>
      <c r="D6" s="157" t="str">
        <f t="shared" si="1"/>
        <v>03/10/20235</v>
      </c>
      <c r="E6" s="155"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8 EXP: 186331/23 - Carátula: CRUZ Cristian Omar David por Desobediencia Judicial en perj. De GUANTAY Maria Fernanda - Sala: 1 - Fiscal: FP VFyG 3 - Gabriela Davalos - Def.: DOP 14 - Dra. Marcela Robles - ENC.: Dra. Nallim</v>
      </c>
      <c r="F6" s="157" t="str">
        <f t="shared" si="1"/>
        <v>04/10/20235</v>
      </c>
      <c r="G6" s="155"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186367/23 - Carátula: CALLE Juan Eleuterio por abuso sexual simple en perjuicio de L.C.B. - Sala: 1 - Fiscal: UDIS 4 - Dr. Pablo Rivero - Def.: DOP 14 - Dra. Marcela Robles - ENC.: Dra. Volante</v>
      </c>
      <c r="H6" s="157" t="str">
        <f t="shared" si="2"/>
        <v>05/10/20235</v>
      </c>
      <c r="I6" s="155"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08:45 - Origen Gar.: 8 EXP: 186362/23 - Carátula: TABARCACHE Sergio Damian por POR ROBO EN PERJ DE JORGE, VANESA GUADALUPE - Sala: 1 - Fiscal: FP 6 Dr. Analía Adet Figueroa - Def.:  - ENC.: Dra. Lamas</v>
      </c>
      <c r="J6" s="157" t="str">
        <f t="shared" si="3"/>
        <v>06/10/20235</v>
      </c>
      <c r="K6" s="179"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Y FISCAL-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4">
      <c r="A7" s="153">
        <v>6</v>
      </c>
      <c r="B7" s="154" t="str">
        <f t="shared" si="1"/>
        <v>02/10/20236</v>
      </c>
      <c r="C7" s="155"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1 EXP: 186434/23 - Carátula: MIRANDA Rafael Alejandro - ALBA Rocio Belen y ALBA Andrea Abigail por Tenencia de Estupefaciente con Fines de Comercializacion Agravada por la Participacio{on de tres o mas personas - Sala: 3 - Fiscal: FP UFINAR - Aux. Dr. Costello - Def.: DOP 15 - Dr. Bonetto - ENC.: Dr. Rodriguez Diego</v>
      </c>
      <c r="D7" s="157" t="str">
        <f t="shared" si="1"/>
        <v>03/10/20236</v>
      </c>
      <c r="E7" s="155"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7" s="157" t="str">
        <f t="shared" si="1"/>
        <v>04/10/20236</v>
      </c>
      <c r="G7" s="155"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186172/23 - Carátula: AVENDAÑO Nahuel Eduardo por Robo Simple en Grado de ttva. - Sala: 4 - Fiscal: FP 3 - Dr. Cordoba - Def.: DOP 13 - Dra. Sandra Ortiz - ENC.: Dr. Rodriguez Diego</v>
      </c>
      <c r="H7" s="157" t="str">
        <f t="shared" si="2"/>
        <v>05/10/20236</v>
      </c>
      <c r="I7" s="155"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08:45 - Origen Gar.: 8 EXP: 186153/23 - Carátula: BALCARCE Ricardo Daniel por ROBO en perj. De Casasola, Eduardo - Sala: 4 - Fiscal: FP 3 - Dr. Cordoba - Def.: DOP 13 - Dra. Sandra Ortiz - ENC.: Dra. Cecilia Soto</v>
      </c>
      <c r="J7" s="157" t="str">
        <f t="shared" si="3"/>
        <v>06/10/20236</v>
      </c>
      <c r="K7" s="179"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84">
      <c r="A8" s="159">
        <v>7</v>
      </c>
      <c r="B8" s="154" t="str">
        <f t="shared" si="1"/>
        <v>02/10/20237</v>
      </c>
      <c r="C8" s="155" t="e">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#N/A</v>
      </c>
      <c r="D8" s="157" t="str">
        <f t="shared" si="1"/>
        <v>03/10/20237</v>
      </c>
      <c r="E8" s="155"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8 EXP: 186332/23 - Carátula: VIRTUAL CON VICTIMAS EN FISCALIA - FLORES Juan Reinaldo y AVENDAÑO PERALTA Juan Reinaldo por ROBO SIMPLE en perj. De  - Sala: 4 - Fiscal: FP de Cerrillos - Dr. Portal - Def.: DOP 14 - Dra. Marcela Robles - ENC.: Dra. Ana Irazusta</v>
      </c>
      <c r="F8" s="157" t="str">
        <f t="shared" si="1"/>
        <v>04/10/20237</v>
      </c>
      <c r="G8" s="155"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57" t="str">
        <f t="shared" si="2"/>
        <v>05/10/20237</v>
      </c>
      <c r="I8" s="155" t="e">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#N/A</v>
      </c>
      <c r="J8" s="157" t="str">
        <f t="shared" si="3"/>
        <v>06/10/20237</v>
      </c>
      <c r="K8" s="179"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75.599999999999994">
      <c r="A9" s="159">
        <v>8</v>
      </c>
      <c r="B9" s="154" t="str">
        <f t="shared" si="1"/>
        <v>02/10/20238</v>
      </c>
      <c r="C9" s="155" t="e">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#N/A</v>
      </c>
      <c r="D9" s="157" t="str">
        <f t="shared" si="1"/>
        <v>03/10/20238</v>
      </c>
      <c r="E9" s="155"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1 EXP: 186404/23 - Carátula: CAPI Alberto Enrique por Tentativa de robo Simple en perj. De AGUILAR Ariel Orlando - Sala: 3 - Fiscal: FP 6 Dr. Analía Adet Figueroa - Def.: DOP 15 - Dr. Bonetto - ENC.: Dra. Florencia Gonzalez</v>
      </c>
      <c r="F9" s="157" t="str">
        <f t="shared" si="1"/>
        <v>04/10/20238</v>
      </c>
      <c r="G9" s="155"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aux. Dra. Carolina Anuch - ENC.: Dra. Cecilia Soto</v>
      </c>
      <c r="H9" s="157" t="str">
        <f t="shared" si="2"/>
        <v>05/10/20238</v>
      </c>
      <c r="I9" s="155" t="e">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#N/A</v>
      </c>
      <c r="J9" s="157" t="str">
        <f t="shared" si="3"/>
        <v>06/10/20238</v>
      </c>
      <c r="K9" s="179"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67.2">
      <c r="A10" s="159">
        <v>9</v>
      </c>
      <c r="B10" s="154" t="str">
        <f t="shared" si="1"/>
        <v>02/10/20239</v>
      </c>
      <c r="C10" s="155"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57" t="str">
        <f t="shared" si="1"/>
        <v>03/10/20239</v>
      </c>
      <c r="E10" s="155"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57" t="str">
        <f t="shared" si="1"/>
        <v>04/10/20239</v>
      </c>
      <c r="G10" s="155"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57" t="str">
        <f t="shared" si="2"/>
        <v>05/10/20239</v>
      </c>
      <c r="I10" s="155" t="e">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#N/A</v>
      </c>
      <c r="J10" s="157" t="str">
        <f t="shared" si="3"/>
        <v>06/10/20239</v>
      </c>
      <c r="K10" s="179"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09:30 - Origen Gar.: 8 EXP: 186366/23 - Carátula: PEINADO Nestor Emilio por Robo Agravado por Tratarse de un Vehiculo Dejado en la Via Publica en perj. Amador Gabriel Alejandro  - Sala: GAR 5 - Fiscal: FP 3 - Dr. Cordoba - Def.: DOP 14 - Dra. Marcela Robles - ENC.: Dr. Nieva</v>
      </c>
    </row>
    <row r="11" spans="1:13" ht="76.2" thickBot="1">
      <c r="A11" s="159">
        <v>10</v>
      </c>
      <c r="B11" s="154" t="str">
        <f t="shared" si="1"/>
        <v>02/10/202310</v>
      </c>
      <c r="C11" s="180"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1" t="str">
        <f t="shared" si="1"/>
        <v>03/10/202310</v>
      </c>
      <c r="E11" s="180"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1" t="str">
        <f t="shared" si="1"/>
        <v>04/10/202310</v>
      </c>
      <c r="G11" s="180"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1" t="str">
        <f t="shared" si="2"/>
        <v>05/10/202310</v>
      </c>
      <c r="I11" s="180"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1" t="str">
        <f t="shared" si="3"/>
        <v>06/10/202310</v>
      </c>
      <c r="K11" s="182" t="str">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HORARIO:  12:00 - Origen Gar.: 8 EXP: 186292/23 - Carátula: DORINI Matias Emanuel por LESIONES Leves Agravadas por la Relacion de Pareja y el Género en perj. De VERA Carolina de los Angeles - Sala: 8 - Fiscal: FP VFG 4 Dra. Elisa Perez - Def.: Dra. Andrea Matilde Godoy MP Nº 5459 - ENC.: Dra. Ana Irazusta</v>
      </c>
    </row>
    <row r="25" spans="3:11">
      <c r="C25" s="161" t="s">
        <v>2161</v>
      </c>
    </row>
    <row r="26" spans="3:11" ht="10.8" thickBot="1"/>
    <row r="27" spans="3:11" ht="18" thickBot="1">
      <c r="C27" s="177">
        <f>M30</f>
        <v>0</v>
      </c>
      <c r="D27" s="178"/>
      <c r="E27" s="177">
        <f>C27+1</f>
        <v>1</v>
      </c>
      <c r="F27" s="178"/>
      <c r="G27" s="177">
        <f>E27+1</f>
        <v>2</v>
      </c>
      <c r="H27" s="178"/>
      <c r="I27" s="177">
        <f>G27+1</f>
        <v>3</v>
      </c>
      <c r="J27" s="178"/>
      <c r="K27" s="177">
        <f t="shared" ref="K27" si="4">I27+1</f>
        <v>4</v>
      </c>
    </row>
    <row r="28" spans="3:11">
      <c r="C28" s="155"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56" t="str">
        <f>CONCATENATE(TEXT(E$1,"dd/mm/yyyy"),$A28)</f>
        <v>03/10/2023</v>
      </c>
      <c r="E28" s="155"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56" t="str">
        <f>CONCATENATE(TEXT(G$1,"dd/mm/yyyy"),$A28)</f>
        <v>04/10/2023</v>
      </c>
      <c r="G28" s="155"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57" t="str">
        <f>CONCATENATE(TEXT(I$1,"dd/mm/yyyy"),$A28)</f>
        <v>05/10/2023</v>
      </c>
      <c r="I28" s="155"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57" t="str">
        <f>CONCATENATE(TEXT(K$1,"dd/mm/yyyy"),$A28)</f>
        <v>06/10/2023</v>
      </c>
      <c r="K28" s="179"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55"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57" t="str">
        <f>CONCATENATE(TEXT(E$1,"dd/mm/yyyy"),$A29)</f>
        <v>03/10/2023</v>
      </c>
      <c r="E29" s="155"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57" t="str">
        <f>CONCATENATE(TEXT(G$1,"dd/mm/yyyy"),$A29)</f>
        <v>04/10/2023</v>
      </c>
      <c r="G29" s="155"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57" t="str">
        <f>CONCATENATE(TEXT(I$1,"dd/mm/yyyy"),$A29)</f>
        <v>05/10/2023</v>
      </c>
      <c r="I29" s="155"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57" t="str">
        <f>CONCATENATE(TEXT(K$1,"dd/mm/yyyy"),$A29)</f>
        <v>06/10/2023</v>
      </c>
      <c r="K29" s="179"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55"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57" t="str">
        <f t="shared" ref="D30:D37" si="5">CONCATENATE(TEXT(E$1,"dd/mm/yyyy"),$A30)</f>
        <v>03/10/2023</v>
      </c>
      <c r="E30" s="155"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57" t="str">
        <f t="shared" ref="F30:F37" si="6">CONCATENATE(TEXT(G$1,"dd/mm/yyyy"),$A30)</f>
        <v>04/10/2023</v>
      </c>
      <c r="G30" s="155"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57" t="str">
        <f t="shared" ref="H30:H37" si="7">CONCATENATE(TEXT(I$1,"dd/mm/yyyy"),$A30)</f>
        <v>05/10/2023</v>
      </c>
      <c r="I30" s="155"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57" t="str">
        <f t="shared" ref="J30:J37" si="8">CONCATENATE(TEXT(K$1,"dd/mm/yyyy"),$A30)</f>
        <v>06/10/2023</v>
      </c>
      <c r="K30" s="179"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55"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57" t="str">
        <f t="shared" si="5"/>
        <v>03/10/2023</v>
      </c>
      <c r="E31" s="155"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57" t="str">
        <f t="shared" si="6"/>
        <v>04/10/2023</v>
      </c>
      <c r="G31" s="155"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57" t="str">
        <f t="shared" si="7"/>
        <v>05/10/2023</v>
      </c>
      <c r="I31" s="155"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57" t="str">
        <f t="shared" si="8"/>
        <v>06/10/2023</v>
      </c>
      <c r="K31" s="179"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55"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57" t="str">
        <f t="shared" si="5"/>
        <v>03/10/2023</v>
      </c>
      <c r="E32" s="155"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57" t="str">
        <f t="shared" si="6"/>
        <v>04/10/2023</v>
      </c>
      <c r="G32" s="155"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57" t="str">
        <f t="shared" si="7"/>
        <v>05/10/2023</v>
      </c>
      <c r="I32" s="155"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57" t="str">
        <f t="shared" si="8"/>
        <v>06/10/2023</v>
      </c>
      <c r="K32" s="179"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55"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57" t="str">
        <f t="shared" si="5"/>
        <v>03/10/2023</v>
      </c>
      <c r="E33" s="155"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57" t="str">
        <f t="shared" si="6"/>
        <v>04/10/2023</v>
      </c>
      <c r="G33" s="155"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57" t="str">
        <f t="shared" si="7"/>
        <v>05/10/2023</v>
      </c>
      <c r="I33" s="155"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57" t="str">
        <f t="shared" si="8"/>
        <v>06/10/2023</v>
      </c>
      <c r="K33" s="179"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55"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57" t="str">
        <f t="shared" si="5"/>
        <v>03/10/2023</v>
      </c>
      <c r="E34" s="155"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57" t="str">
        <f t="shared" si="6"/>
        <v>04/10/2023</v>
      </c>
      <c r="G34" s="155"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57" t="str">
        <f t="shared" si="7"/>
        <v>05/10/2023</v>
      </c>
      <c r="I34" s="155"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57" t="str">
        <f t="shared" si="8"/>
        <v>06/10/2023</v>
      </c>
      <c r="K34" s="179"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55"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57" t="str">
        <f t="shared" si="5"/>
        <v>03/10/2023</v>
      </c>
      <c r="E35" s="155"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57" t="str">
        <f t="shared" si="6"/>
        <v>04/10/2023</v>
      </c>
      <c r="G35" s="155"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57" t="str">
        <f t="shared" si="7"/>
        <v>05/10/2023</v>
      </c>
      <c r="I35" s="155"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57" t="str">
        <f t="shared" si="8"/>
        <v>06/10/2023</v>
      </c>
      <c r="K35" s="179"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55"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57" t="str">
        <f t="shared" si="5"/>
        <v>03/10/2023</v>
      </c>
      <c r="E36" s="155"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57" t="str">
        <f t="shared" si="6"/>
        <v>04/10/2023</v>
      </c>
      <c r="G36" s="155"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57" t="str">
        <f t="shared" si="7"/>
        <v>05/10/2023</v>
      </c>
      <c r="I36" s="155"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57" t="str">
        <f t="shared" si="8"/>
        <v>06/10/2023</v>
      </c>
      <c r="K36" s="179"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0.8" thickBot="1">
      <c r="C37" s="180"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1" t="str">
        <f t="shared" si="5"/>
        <v>03/10/2023</v>
      </c>
      <c r="E37" s="180"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1" t="str">
        <f t="shared" si="6"/>
        <v>04/10/2023</v>
      </c>
      <c r="G37" s="180"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1" t="str">
        <f t="shared" si="7"/>
        <v>05/10/2023</v>
      </c>
      <c r="I37" s="180"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1" t="str">
        <f t="shared" si="8"/>
        <v>06/10/2023</v>
      </c>
      <c r="K37" s="182"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364" priority="304">
      <formula>ISERROR(C2)</formula>
    </cfRule>
  </conditionalFormatting>
  <conditionalFormatting sqref="E2:E11">
    <cfRule type="containsErrors" dxfId="363" priority="303">
      <formula>ISERROR(E2)</formula>
    </cfRule>
  </conditionalFormatting>
  <conditionalFormatting sqref="G2:G11">
    <cfRule type="containsErrors" dxfId="362" priority="302">
      <formula>ISERROR(G2)</formula>
    </cfRule>
  </conditionalFormatting>
  <conditionalFormatting sqref="I2:I11">
    <cfRule type="containsErrors" dxfId="361" priority="301">
      <formula>ISERROR(I2)</formula>
    </cfRule>
  </conditionalFormatting>
  <conditionalFormatting sqref="K2:K11">
    <cfRule type="containsErrors" dxfId="360" priority="300">
      <formula>ISERROR(K2)</formula>
    </cfRule>
  </conditionalFormatting>
  <conditionalFormatting sqref="G2 I2 K2">
    <cfRule type="containsErrors" dxfId="359" priority="299">
      <formula>ISERROR(G2)</formula>
    </cfRule>
  </conditionalFormatting>
  <conditionalFormatting sqref="I2">
    <cfRule type="containsErrors" dxfId="358" priority="298">
      <formula>ISERROR(I2)</formula>
    </cfRule>
  </conditionalFormatting>
  <conditionalFormatting sqref="G3:G7">
    <cfRule type="containsErrors" dxfId="357" priority="297">
      <formula>ISERROR(G3)</formula>
    </cfRule>
  </conditionalFormatting>
  <conditionalFormatting sqref="G8:G11">
    <cfRule type="containsErrors" dxfId="356" priority="296">
      <formula>ISERROR(G8)</formula>
    </cfRule>
  </conditionalFormatting>
  <conditionalFormatting sqref="I3:I11">
    <cfRule type="containsErrors" dxfId="355" priority="295">
      <formula>ISERROR(I3)</formula>
    </cfRule>
  </conditionalFormatting>
  <conditionalFormatting sqref="I3:I11">
    <cfRule type="containsErrors" dxfId="354" priority="294">
      <formula>ISERROR(I3)</formula>
    </cfRule>
  </conditionalFormatting>
  <conditionalFormatting sqref="K3:K11">
    <cfRule type="containsErrors" dxfId="353" priority="293">
      <formula>ISERROR(K3)</formula>
    </cfRule>
  </conditionalFormatting>
  <conditionalFormatting sqref="C2">
    <cfRule type="containsErrors" dxfId="352" priority="292">
      <formula>ISERROR(C2)</formula>
    </cfRule>
  </conditionalFormatting>
  <conditionalFormatting sqref="C2">
    <cfRule type="containsErrors" dxfId="351" priority="291">
      <formula>ISERROR(C2)</formula>
    </cfRule>
  </conditionalFormatting>
  <conditionalFormatting sqref="C3:C11">
    <cfRule type="containsErrors" dxfId="350" priority="290">
      <formula>ISERROR(C3)</formula>
    </cfRule>
  </conditionalFormatting>
  <conditionalFormatting sqref="C3:C11">
    <cfRule type="containsErrors" dxfId="349" priority="289">
      <formula>ISERROR(C3)</formula>
    </cfRule>
  </conditionalFormatting>
  <conditionalFormatting sqref="C3:C11">
    <cfRule type="containsErrors" dxfId="348" priority="288">
      <formula>ISERROR(C3)</formula>
    </cfRule>
  </conditionalFormatting>
  <conditionalFormatting sqref="C3:C11">
    <cfRule type="containsErrors" dxfId="347" priority="287">
      <formula>ISERROR(C3)</formula>
    </cfRule>
  </conditionalFormatting>
  <conditionalFormatting sqref="E2">
    <cfRule type="containsErrors" dxfId="346" priority="286">
      <formula>ISERROR(E2)</formula>
    </cfRule>
  </conditionalFormatting>
  <conditionalFormatting sqref="E2">
    <cfRule type="containsErrors" dxfId="345" priority="285">
      <formula>ISERROR(E2)</formula>
    </cfRule>
  </conditionalFormatting>
  <conditionalFormatting sqref="E2">
    <cfRule type="containsErrors" dxfId="344" priority="284">
      <formula>ISERROR(E2)</formula>
    </cfRule>
  </conditionalFormatting>
  <conditionalFormatting sqref="E3:E11">
    <cfRule type="containsErrors" dxfId="343" priority="283">
      <formula>ISERROR(E3)</formula>
    </cfRule>
  </conditionalFormatting>
  <conditionalFormatting sqref="E3:E11">
    <cfRule type="containsErrors" dxfId="342" priority="282">
      <formula>ISERROR(E3)</formula>
    </cfRule>
  </conditionalFormatting>
  <conditionalFormatting sqref="E3:E11">
    <cfRule type="containsErrors" dxfId="341" priority="281">
      <formula>ISERROR(E3)</formula>
    </cfRule>
  </conditionalFormatting>
  <conditionalFormatting sqref="G2:G11">
    <cfRule type="containsErrors" dxfId="340" priority="280">
      <formula>ISERROR(G2)</formula>
    </cfRule>
  </conditionalFormatting>
  <conditionalFormatting sqref="G2">
    <cfRule type="containsErrors" dxfId="339" priority="279">
      <formula>ISERROR(G2)</formula>
    </cfRule>
  </conditionalFormatting>
  <conditionalFormatting sqref="G2">
    <cfRule type="containsErrors" dxfId="338" priority="278">
      <formula>ISERROR(G2)</formula>
    </cfRule>
  </conditionalFormatting>
  <conditionalFormatting sqref="G2">
    <cfRule type="containsErrors" dxfId="337" priority="277">
      <formula>ISERROR(G2)</formula>
    </cfRule>
  </conditionalFormatting>
  <conditionalFormatting sqref="G3:G11">
    <cfRule type="containsErrors" dxfId="336" priority="276">
      <formula>ISERROR(G3)</formula>
    </cfRule>
  </conditionalFormatting>
  <conditionalFormatting sqref="G3:G11">
    <cfRule type="containsErrors" dxfId="335" priority="275">
      <formula>ISERROR(G3)</formula>
    </cfRule>
  </conditionalFormatting>
  <conditionalFormatting sqref="G3:G11">
    <cfRule type="containsErrors" dxfId="334" priority="274">
      <formula>ISERROR(G3)</formula>
    </cfRule>
  </conditionalFormatting>
  <conditionalFormatting sqref="I2:I11">
    <cfRule type="containsErrors" dxfId="333" priority="273">
      <formula>ISERROR(I2)</formula>
    </cfRule>
  </conditionalFormatting>
  <conditionalFormatting sqref="I2">
    <cfRule type="containsErrors" dxfId="332" priority="272">
      <formula>ISERROR(I2)</formula>
    </cfRule>
  </conditionalFormatting>
  <conditionalFormatting sqref="I2">
    <cfRule type="containsErrors" dxfId="331" priority="271">
      <formula>ISERROR(I2)</formula>
    </cfRule>
  </conditionalFormatting>
  <conditionalFormatting sqref="I2">
    <cfRule type="containsErrors" dxfId="330" priority="270">
      <formula>ISERROR(I2)</formula>
    </cfRule>
  </conditionalFormatting>
  <conditionalFormatting sqref="I3:I11">
    <cfRule type="containsErrors" dxfId="329" priority="269">
      <formula>ISERROR(I3)</formula>
    </cfRule>
  </conditionalFormatting>
  <conditionalFormatting sqref="I3:I11">
    <cfRule type="containsErrors" dxfId="328" priority="268">
      <formula>ISERROR(I3)</formula>
    </cfRule>
  </conditionalFormatting>
  <conditionalFormatting sqref="I3:I11">
    <cfRule type="containsErrors" dxfId="327" priority="267">
      <formula>ISERROR(I3)</formula>
    </cfRule>
  </conditionalFormatting>
  <conditionalFormatting sqref="C3:C11">
    <cfRule type="containsErrors" dxfId="326" priority="266">
      <formula>ISERROR(C3)</formula>
    </cfRule>
  </conditionalFormatting>
  <conditionalFormatting sqref="C3:C11">
    <cfRule type="containsErrors" dxfId="325" priority="265">
      <formula>ISERROR(C3)</formula>
    </cfRule>
  </conditionalFormatting>
  <conditionalFormatting sqref="E2:E11">
    <cfRule type="containsErrors" dxfId="324" priority="264">
      <formula>ISERROR(E2)</formula>
    </cfRule>
  </conditionalFormatting>
  <conditionalFormatting sqref="E2">
    <cfRule type="containsErrors" dxfId="323" priority="263">
      <formula>ISERROR(E2)</formula>
    </cfRule>
  </conditionalFormatting>
  <conditionalFormatting sqref="E2">
    <cfRule type="containsErrors" dxfId="322" priority="262">
      <formula>ISERROR(E2)</formula>
    </cfRule>
  </conditionalFormatting>
  <conditionalFormatting sqref="E3:E11">
    <cfRule type="containsErrors" dxfId="321" priority="261">
      <formula>ISERROR(E3)</formula>
    </cfRule>
  </conditionalFormatting>
  <conditionalFormatting sqref="E3:E11">
    <cfRule type="containsErrors" dxfId="320" priority="260">
      <formula>ISERROR(E3)</formula>
    </cfRule>
  </conditionalFormatting>
  <conditionalFormatting sqref="E3:E11">
    <cfRule type="containsErrors" dxfId="319" priority="259">
      <formula>ISERROR(E3)</formula>
    </cfRule>
  </conditionalFormatting>
  <conditionalFormatting sqref="E3:E11">
    <cfRule type="containsErrors" dxfId="318" priority="258">
      <formula>ISERROR(E3)</formula>
    </cfRule>
  </conditionalFormatting>
  <conditionalFormatting sqref="E3:E11">
    <cfRule type="containsErrors" dxfId="317" priority="257">
      <formula>ISERROR(E3)</formula>
    </cfRule>
  </conditionalFormatting>
  <conditionalFormatting sqref="E3:E11">
    <cfRule type="containsErrors" dxfId="316" priority="256">
      <formula>ISERROR(E3)</formula>
    </cfRule>
  </conditionalFormatting>
  <conditionalFormatting sqref="G2:G11">
    <cfRule type="containsErrors" dxfId="315" priority="255">
      <formula>ISERROR(G2)</formula>
    </cfRule>
  </conditionalFormatting>
  <conditionalFormatting sqref="G2">
    <cfRule type="containsErrors" dxfId="314" priority="254">
      <formula>ISERROR(G2)</formula>
    </cfRule>
  </conditionalFormatting>
  <conditionalFormatting sqref="G2">
    <cfRule type="containsErrors" dxfId="313" priority="253">
      <formula>ISERROR(G2)</formula>
    </cfRule>
  </conditionalFormatting>
  <conditionalFormatting sqref="G3:G11">
    <cfRule type="containsErrors" dxfId="312" priority="252">
      <formula>ISERROR(G3)</formula>
    </cfRule>
  </conditionalFormatting>
  <conditionalFormatting sqref="G3:G11">
    <cfRule type="containsErrors" dxfId="311" priority="251">
      <formula>ISERROR(G3)</formula>
    </cfRule>
  </conditionalFormatting>
  <conditionalFormatting sqref="G3:G11">
    <cfRule type="containsErrors" dxfId="310" priority="250">
      <formula>ISERROR(G3)</formula>
    </cfRule>
  </conditionalFormatting>
  <conditionalFormatting sqref="G3:G11">
    <cfRule type="containsErrors" dxfId="309" priority="249">
      <formula>ISERROR(G3)</formula>
    </cfRule>
  </conditionalFormatting>
  <conditionalFormatting sqref="G3:G11">
    <cfRule type="containsErrors" dxfId="308" priority="248">
      <formula>ISERROR(G3)</formula>
    </cfRule>
  </conditionalFormatting>
  <conditionalFormatting sqref="G3:G11">
    <cfRule type="containsErrors" dxfId="307" priority="247">
      <formula>ISERROR(G3)</formula>
    </cfRule>
  </conditionalFormatting>
  <conditionalFormatting sqref="I2:I11">
    <cfRule type="containsErrors" dxfId="306" priority="246">
      <formula>ISERROR(I2)</formula>
    </cfRule>
  </conditionalFormatting>
  <conditionalFormatting sqref="I2">
    <cfRule type="containsErrors" dxfId="305" priority="245">
      <formula>ISERROR(I2)</formula>
    </cfRule>
  </conditionalFormatting>
  <conditionalFormatting sqref="I2">
    <cfRule type="containsErrors" dxfId="304" priority="244">
      <formula>ISERROR(I2)</formula>
    </cfRule>
  </conditionalFormatting>
  <conditionalFormatting sqref="I3:I11">
    <cfRule type="containsErrors" dxfId="303" priority="243">
      <formula>ISERROR(I3)</formula>
    </cfRule>
  </conditionalFormatting>
  <conditionalFormatting sqref="I3:I11">
    <cfRule type="containsErrors" dxfId="302" priority="242">
      <formula>ISERROR(I3)</formula>
    </cfRule>
  </conditionalFormatting>
  <conditionalFormatting sqref="I3:I11">
    <cfRule type="containsErrors" dxfId="301" priority="241">
      <formula>ISERROR(I3)</formula>
    </cfRule>
  </conditionalFormatting>
  <conditionalFormatting sqref="I3:I11">
    <cfRule type="containsErrors" dxfId="300" priority="240">
      <formula>ISERROR(I3)</formula>
    </cfRule>
  </conditionalFormatting>
  <conditionalFormatting sqref="I3:I11">
    <cfRule type="containsErrors" dxfId="299" priority="239">
      <formula>ISERROR(I3)</formula>
    </cfRule>
  </conditionalFormatting>
  <conditionalFormatting sqref="I3:I11">
    <cfRule type="containsErrors" dxfId="298" priority="238">
      <formula>ISERROR(I3)</formula>
    </cfRule>
  </conditionalFormatting>
  <conditionalFormatting sqref="K2:K11">
    <cfRule type="containsErrors" dxfId="297" priority="237">
      <formula>ISERROR(K2)</formula>
    </cfRule>
  </conditionalFormatting>
  <conditionalFormatting sqref="K2">
    <cfRule type="containsErrors" dxfId="296" priority="236">
      <formula>ISERROR(K2)</formula>
    </cfRule>
  </conditionalFormatting>
  <conditionalFormatting sqref="K2">
    <cfRule type="containsErrors" dxfId="295" priority="235">
      <formula>ISERROR(K2)</formula>
    </cfRule>
  </conditionalFormatting>
  <conditionalFormatting sqref="K3:K11">
    <cfRule type="containsErrors" dxfId="294" priority="234">
      <formula>ISERROR(K3)</formula>
    </cfRule>
  </conditionalFormatting>
  <conditionalFormatting sqref="K3:K11">
    <cfRule type="containsErrors" dxfId="293" priority="233">
      <formula>ISERROR(K3)</formula>
    </cfRule>
  </conditionalFormatting>
  <conditionalFormatting sqref="K3:K11">
    <cfRule type="containsErrors" dxfId="292" priority="232">
      <formula>ISERROR(K3)</formula>
    </cfRule>
  </conditionalFormatting>
  <conditionalFormatting sqref="K3:K11">
    <cfRule type="containsErrors" dxfId="291" priority="231">
      <formula>ISERROR(K3)</formula>
    </cfRule>
  </conditionalFormatting>
  <conditionalFormatting sqref="K3:K11">
    <cfRule type="containsErrors" dxfId="290" priority="230">
      <formula>ISERROR(K3)</formula>
    </cfRule>
  </conditionalFormatting>
  <conditionalFormatting sqref="K3:K11">
    <cfRule type="containsErrors" dxfId="289" priority="229">
      <formula>ISERROR(K3)</formula>
    </cfRule>
  </conditionalFormatting>
  <conditionalFormatting sqref="C2:C11">
    <cfRule type="containsErrors" dxfId="288" priority="228">
      <formula>ISERROR(C2)</formula>
    </cfRule>
  </conditionalFormatting>
  <conditionalFormatting sqref="E2:E11">
    <cfRule type="containsErrors" dxfId="287" priority="227">
      <formula>ISERROR(E2)</formula>
    </cfRule>
  </conditionalFormatting>
  <conditionalFormatting sqref="G2:G11">
    <cfRule type="containsErrors" dxfId="286" priority="226">
      <formula>ISERROR(G2)</formula>
    </cfRule>
  </conditionalFormatting>
  <conditionalFormatting sqref="I2:I11">
    <cfRule type="containsErrors" dxfId="285" priority="225">
      <formula>ISERROR(I2)</formula>
    </cfRule>
  </conditionalFormatting>
  <conditionalFormatting sqref="K2:K11">
    <cfRule type="containsErrors" dxfId="284" priority="224">
      <formula>ISERROR(K2)</formula>
    </cfRule>
  </conditionalFormatting>
  <conditionalFormatting sqref="G2 I2 K2">
    <cfRule type="containsErrors" dxfId="283" priority="223">
      <formula>ISERROR(G2)</formula>
    </cfRule>
  </conditionalFormatting>
  <conditionalFormatting sqref="I2">
    <cfRule type="containsErrors" dxfId="282" priority="222">
      <formula>ISERROR(I2)</formula>
    </cfRule>
  </conditionalFormatting>
  <conditionalFormatting sqref="G3:G7">
    <cfRule type="containsErrors" dxfId="281" priority="221">
      <formula>ISERROR(G3)</formula>
    </cfRule>
  </conditionalFormatting>
  <conditionalFormatting sqref="G8:G11">
    <cfRule type="containsErrors" dxfId="280" priority="220">
      <formula>ISERROR(G8)</formula>
    </cfRule>
  </conditionalFormatting>
  <conditionalFormatting sqref="I3:I11">
    <cfRule type="containsErrors" dxfId="279" priority="219">
      <formula>ISERROR(I3)</formula>
    </cfRule>
  </conditionalFormatting>
  <conditionalFormatting sqref="I3:I11">
    <cfRule type="containsErrors" dxfId="278" priority="218">
      <formula>ISERROR(I3)</formula>
    </cfRule>
  </conditionalFormatting>
  <conditionalFormatting sqref="K3:K11">
    <cfRule type="containsErrors" dxfId="277" priority="217">
      <formula>ISERROR(K3)</formula>
    </cfRule>
  </conditionalFormatting>
  <conditionalFormatting sqref="C2">
    <cfRule type="containsErrors" dxfId="276" priority="216">
      <formula>ISERROR(C2)</formula>
    </cfRule>
  </conditionalFormatting>
  <conditionalFormatting sqref="C2">
    <cfRule type="containsErrors" dxfId="275" priority="215">
      <formula>ISERROR(C2)</formula>
    </cfRule>
  </conditionalFormatting>
  <conditionalFormatting sqref="C3:C11">
    <cfRule type="containsErrors" dxfId="274" priority="214">
      <formula>ISERROR(C3)</formula>
    </cfRule>
  </conditionalFormatting>
  <conditionalFormatting sqref="C3:C11">
    <cfRule type="containsErrors" dxfId="273" priority="213">
      <formula>ISERROR(C3)</formula>
    </cfRule>
  </conditionalFormatting>
  <conditionalFormatting sqref="C3:C11">
    <cfRule type="containsErrors" dxfId="272" priority="212">
      <formula>ISERROR(C3)</formula>
    </cfRule>
  </conditionalFormatting>
  <conditionalFormatting sqref="C3:C11">
    <cfRule type="containsErrors" dxfId="271" priority="211">
      <formula>ISERROR(C3)</formula>
    </cfRule>
  </conditionalFormatting>
  <conditionalFormatting sqref="E2">
    <cfRule type="containsErrors" dxfId="270" priority="210">
      <formula>ISERROR(E2)</formula>
    </cfRule>
  </conditionalFormatting>
  <conditionalFormatting sqref="E2">
    <cfRule type="containsErrors" dxfId="269" priority="209">
      <formula>ISERROR(E2)</formula>
    </cfRule>
  </conditionalFormatting>
  <conditionalFormatting sqref="E2">
    <cfRule type="containsErrors" dxfId="268" priority="208">
      <formula>ISERROR(E2)</formula>
    </cfRule>
  </conditionalFormatting>
  <conditionalFormatting sqref="E3:E11">
    <cfRule type="containsErrors" dxfId="267" priority="207">
      <formula>ISERROR(E3)</formula>
    </cfRule>
  </conditionalFormatting>
  <conditionalFormatting sqref="E3:E11">
    <cfRule type="containsErrors" dxfId="266" priority="206">
      <formula>ISERROR(E3)</formula>
    </cfRule>
  </conditionalFormatting>
  <conditionalFormatting sqref="E3:E11">
    <cfRule type="containsErrors" dxfId="265" priority="205">
      <formula>ISERROR(E3)</formula>
    </cfRule>
  </conditionalFormatting>
  <conditionalFormatting sqref="G2:G11">
    <cfRule type="containsErrors" dxfId="264" priority="204">
      <formula>ISERROR(G2)</formula>
    </cfRule>
  </conditionalFormatting>
  <conditionalFormatting sqref="G2">
    <cfRule type="containsErrors" dxfId="263" priority="203">
      <formula>ISERROR(G2)</formula>
    </cfRule>
  </conditionalFormatting>
  <conditionalFormatting sqref="G2">
    <cfRule type="containsErrors" dxfId="262" priority="202">
      <formula>ISERROR(G2)</formula>
    </cfRule>
  </conditionalFormatting>
  <conditionalFormatting sqref="G2">
    <cfRule type="containsErrors" dxfId="261" priority="201">
      <formula>ISERROR(G2)</formula>
    </cfRule>
  </conditionalFormatting>
  <conditionalFormatting sqref="G3:G11">
    <cfRule type="containsErrors" dxfId="260" priority="200">
      <formula>ISERROR(G3)</formula>
    </cfRule>
  </conditionalFormatting>
  <conditionalFormatting sqref="G3:G11">
    <cfRule type="containsErrors" dxfId="259" priority="199">
      <formula>ISERROR(G3)</formula>
    </cfRule>
  </conditionalFormatting>
  <conditionalFormatting sqref="G3:G11">
    <cfRule type="containsErrors" dxfId="258" priority="198">
      <formula>ISERROR(G3)</formula>
    </cfRule>
  </conditionalFormatting>
  <conditionalFormatting sqref="I2:I11">
    <cfRule type="containsErrors" dxfId="257" priority="197">
      <formula>ISERROR(I2)</formula>
    </cfRule>
  </conditionalFormatting>
  <conditionalFormatting sqref="I2">
    <cfRule type="containsErrors" dxfId="256" priority="196">
      <formula>ISERROR(I2)</formula>
    </cfRule>
  </conditionalFormatting>
  <conditionalFormatting sqref="I2">
    <cfRule type="containsErrors" dxfId="255" priority="195">
      <formula>ISERROR(I2)</formula>
    </cfRule>
  </conditionalFormatting>
  <conditionalFormatting sqref="I2">
    <cfRule type="containsErrors" dxfId="254" priority="194">
      <formula>ISERROR(I2)</formula>
    </cfRule>
  </conditionalFormatting>
  <conditionalFormatting sqref="I3:I11">
    <cfRule type="containsErrors" dxfId="253" priority="193">
      <formula>ISERROR(I3)</formula>
    </cfRule>
  </conditionalFormatting>
  <conditionalFormatting sqref="I3:I11">
    <cfRule type="containsErrors" dxfId="252" priority="192">
      <formula>ISERROR(I3)</formula>
    </cfRule>
  </conditionalFormatting>
  <conditionalFormatting sqref="I3:I11">
    <cfRule type="containsErrors" dxfId="251" priority="191">
      <formula>ISERROR(I3)</formula>
    </cfRule>
  </conditionalFormatting>
  <conditionalFormatting sqref="C3:C11">
    <cfRule type="containsErrors" dxfId="250" priority="190">
      <formula>ISERROR(C3)</formula>
    </cfRule>
  </conditionalFormatting>
  <conditionalFormatting sqref="C3:C11">
    <cfRule type="containsErrors" dxfId="249" priority="189">
      <formula>ISERROR(C3)</formula>
    </cfRule>
  </conditionalFormatting>
  <conditionalFormatting sqref="E2:E11">
    <cfRule type="containsErrors" dxfId="248" priority="188">
      <formula>ISERROR(E2)</formula>
    </cfRule>
  </conditionalFormatting>
  <conditionalFormatting sqref="E2">
    <cfRule type="containsErrors" dxfId="247" priority="187">
      <formula>ISERROR(E2)</formula>
    </cfRule>
  </conditionalFormatting>
  <conditionalFormatting sqref="E2">
    <cfRule type="containsErrors" dxfId="246" priority="186">
      <formula>ISERROR(E2)</formula>
    </cfRule>
  </conditionalFormatting>
  <conditionalFormatting sqref="E3:E11">
    <cfRule type="containsErrors" dxfId="245" priority="185">
      <formula>ISERROR(E3)</formula>
    </cfRule>
  </conditionalFormatting>
  <conditionalFormatting sqref="E3:E11">
    <cfRule type="containsErrors" dxfId="244" priority="184">
      <formula>ISERROR(E3)</formula>
    </cfRule>
  </conditionalFormatting>
  <conditionalFormatting sqref="E3:E11">
    <cfRule type="containsErrors" dxfId="243" priority="183">
      <formula>ISERROR(E3)</formula>
    </cfRule>
  </conditionalFormatting>
  <conditionalFormatting sqref="E3:E11">
    <cfRule type="containsErrors" dxfId="242" priority="182">
      <formula>ISERROR(E3)</formula>
    </cfRule>
  </conditionalFormatting>
  <conditionalFormatting sqref="E3:E11">
    <cfRule type="containsErrors" dxfId="241" priority="181">
      <formula>ISERROR(E3)</formula>
    </cfRule>
  </conditionalFormatting>
  <conditionalFormatting sqref="E3:E11">
    <cfRule type="containsErrors" dxfId="240" priority="180">
      <formula>ISERROR(E3)</formula>
    </cfRule>
  </conditionalFormatting>
  <conditionalFormatting sqref="G2:G11">
    <cfRule type="containsErrors" dxfId="239" priority="179">
      <formula>ISERROR(G2)</formula>
    </cfRule>
  </conditionalFormatting>
  <conditionalFormatting sqref="G2">
    <cfRule type="containsErrors" dxfId="238" priority="178">
      <formula>ISERROR(G2)</formula>
    </cfRule>
  </conditionalFormatting>
  <conditionalFormatting sqref="G2">
    <cfRule type="containsErrors" dxfId="237" priority="177">
      <formula>ISERROR(G2)</formula>
    </cfRule>
  </conditionalFormatting>
  <conditionalFormatting sqref="G3:G11">
    <cfRule type="containsErrors" dxfId="236" priority="176">
      <formula>ISERROR(G3)</formula>
    </cfRule>
  </conditionalFormatting>
  <conditionalFormatting sqref="G3:G11">
    <cfRule type="containsErrors" dxfId="235" priority="175">
      <formula>ISERROR(G3)</formula>
    </cfRule>
  </conditionalFormatting>
  <conditionalFormatting sqref="G3:G11">
    <cfRule type="containsErrors" dxfId="234" priority="174">
      <formula>ISERROR(G3)</formula>
    </cfRule>
  </conditionalFormatting>
  <conditionalFormatting sqref="G3:G11">
    <cfRule type="containsErrors" dxfId="233" priority="173">
      <formula>ISERROR(G3)</formula>
    </cfRule>
  </conditionalFormatting>
  <conditionalFormatting sqref="G3:G11">
    <cfRule type="containsErrors" dxfId="232" priority="172">
      <formula>ISERROR(G3)</formula>
    </cfRule>
  </conditionalFormatting>
  <conditionalFormatting sqref="G3:G11">
    <cfRule type="containsErrors" dxfId="231" priority="171">
      <formula>ISERROR(G3)</formula>
    </cfRule>
  </conditionalFormatting>
  <conditionalFormatting sqref="I2:I11">
    <cfRule type="containsErrors" dxfId="230" priority="170">
      <formula>ISERROR(I2)</formula>
    </cfRule>
  </conditionalFormatting>
  <conditionalFormatting sqref="I2">
    <cfRule type="containsErrors" dxfId="229" priority="169">
      <formula>ISERROR(I2)</formula>
    </cfRule>
  </conditionalFormatting>
  <conditionalFormatting sqref="I2">
    <cfRule type="containsErrors" dxfId="228" priority="168">
      <formula>ISERROR(I2)</formula>
    </cfRule>
  </conditionalFormatting>
  <conditionalFormatting sqref="I3:I11">
    <cfRule type="containsErrors" dxfId="227" priority="167">
      <formula>ISERROR(I3)</formula>
    </cfRule>
  </conditionalFormatting>
  <conditionalFormatting sqref="I3:I11">
    <cfRule type="containsErrors" dxfId="226" priority="166">
      <formula>ISERROR(I3)</formula>
    </cfRule>
  </conditionalFormatting>
  <conditionalFormatting sqref="I3:I11">
    <cfRule type="containsErrors" dxfId="225" priority="165">
      <formula>ISERROR(I3)</formula>
    </cfRule>
  </conditionalFormatting>
  <conditionalFormatting sqref="I3:I11">
    <cfRule type="containsErrors" dxfId="224" priority="164">
      <formula>ISERROR(I3)</formula>
    </cfRule>
  </conditionalFormatting>
  <conditionalFormatting sqref="I3:I11">
    <cfRule type="containsErrors" dxfId="223" priority="163">
      <formula>ISERROR(I3)</formula>
    </cfRule>
  </conditionalFormatting>
  <conditionalFormatting sqref="I3:I11">
    <cfRule type="containsErrors" dxfId="222" priority="162">
      <formula>ISERROR(I3)</formula>
    </cfRule>
  </conditionalFormatting>
  <conditionalFormatting sqref="K2:K11">
    <cfRule type="containsErrors" dxfId="221" priority="161">
      <formula>ISERROR(K2)</formula>
    </cfRule>
  </conditionalFormatting>
  <conditionalFormatting sqref="K2">
    <cfRule type="containsErrors" dxfId="220" priority="160">
      <formula>ISERROR(K2)</formula>
    </cfRule>
  </conditionalFormatting>
  <conditionalFormatting sqref="K2">
    <cfRule type="containsErrors" dxfId="219" priority="159">
      <formula>ISERROR(K2)</formula>
    </cfRule>
  </conditionalFormatting>
  <conditionalFormatting sqref="K3:K11">
    <cfRule type="containsErrors" dxfId="218" priority="158">
      <formula>ISERROR(K3)</formula>
    </cfRule>
  </conditionalFormatting>
  <conditionalFormatting sqref="K3:K11">
    <cfRule type="containsErrors" dxfId="217" priority="157">
      <formula>ISERROR(K3)</formula>
    </cfRule>
  </conditionalFormatting>
  <conditionalFormatting sqref="K3:K11">
    <cfRule type="containsErrors" dxfId="216" priority="156">
      <formula>ISERROR(K3)</formula>
    </cfRule>
  </conditionalFormatting>
  <conditionalFormatting sqref="K3:K11">
    <cfRule type="containsErrors" dxfId="215" priority="155">
      <formula>ISERROR(K3)</formula>
    </cfRule>
  </conditionalFormatting>
  <conditionalFormatting sqref="K3:K11">
    <cfRule type="containsErrors" dxfId="214" priority="154">
      <formula>ISERROR(K3)</formula>
    </cfRule>
  </conditionalFormatting>
  <conditionalFormatting sqref="K3:K11">
    <cfRule type="containsErrors" dxfId="213" priority="153">
      <formula>ISERROR(K3)</formula>
    </cfRule>
  </conditionalFormatting>
  <conditionalFormatting sqref="C28:C37">
    <cfRule type="containsErrors" dxfId="212" priority="152">
      <formula>ISERROR(C28)</formula>
    </cfRule>
  </conditionalFormatting>
  <conditionalFormatting sqref="E28:E37">
    <cfRule type="containsErrors" dxfId="211" priority="151">
      <formula>ISERROR(E28)</formula>
    </cfRule>
  </conditionalFormatting>
  <conditionalFormatting sqref="G28:G37">
    <cfRule type="containsErrors" dxfId="210" priority="150">
      <formula>ISERROR(G28)</formula>
    </cfRule>
  </conditionalFormatting>
  <conditionalFormatting sqref="I28:I37">
    <cfRule type="containsErrors" dxfId="209" priority="149">
      <formula>ISERROR(I28)</formula>
    </cfRule>
  </conditionalFormatting>
  <conditionalFormatting sqref="K28:K37">
    <cfRule type="containsErrors" dxfId="208" priority="148">
      <formula>ISERROR(K28)</formula>
    </cfRule>
  </conditionalFormatting>
  <conditionalFormatting sqref="G28 I28 K28">
    <cfRule type="containsErrors" dxfId="207" priority="147">
      <formula>ISERROR(G28)</formula>
    </cfRule>
  </conditionalFormatting>
  <conditionalFormatting sqref="I28">
    <cfRule type="containsErrors" dxfId="206" priority="146">
      <formula>ISERROR(I28)</formula>
    </cfRule>
  </conditionalFormatting>
  <conditionalFormatting sqref="G29:G33">
    <cfRule type="containsErrors" dxfId="205" priority="145">
      <formula>ISERROR(G29)</formula>
    </cfRule>
  </conditionalFormatting>
  <conditionalFormatting sqref="G34:G37">
    <cfRule type="containsErrors" dxfId="204" priority="144">
      <formula>ISERROR(G34)</formula>
    </cfRule>
  </conditionalFormatting>
  <conditionalFormatting sqref="I29:I37">
    <cfRule type="containsErrors" dxfId="203" priority="143">
      <formula>ISERROR(I29)</formula>
    </cfRule>
  </conditionalFormatting>
  <conditionalFormatting sqref="I29:I37">
    <cfRule type="containsErrors" dxfId="202" priority="142">
      <formula>ISERROR(I29)</formula>
    </cfRule>
  </conditionalFormatting>
  <conditionalFormatting sqref="K29:K37">
    <cfRule type="containsErrors" dxfId="201" priority="141">
      <formula>ISERROR(K29)</formula>
    </cfRule>
  </conditionalFormatting>
  <conditionalFormatting sqref="C28">
    <cfRule type="containsErrors" dxfId="200" priority="140">
      <formula>ISERROR(C28)</formula>
    </cfRule>
  </conditionalFormatting>
  <conditionalFormatting sqref="C28">
    <cfRule type="containsErrors" dxfId="199" priority="139">
      <formula>ISERROR(C28)</formula>
    </cfRule>
  </conditionalFormatting>
  <conditionalFormatting sqref="C29:C37">
    <cfRule type="containsErrors" dxfId="198" priority="138">
      <formula>ISERROR(C29)</formula>
    </cfRule>
  </conditionalFormatting>
  <conditionalFormatting sqref="C29:C37">
    <cfRule type="containsErrors" dxfId="197" priority="137">
      <formula>ISERROR(C29)</formula>
    </cfRule>
  </conditionalFormatting>
  <conditionalFormatting sqref="C29:C37">
    <cfRule type="containsErrors" dxfId="196" priority="136">
      <formula>ISERROR(C29)</formula>
    </cfRule>
  </conditionalFormatting>
  <conditionalFormatting sqref="C29:C37">
    <cfRule type="containsErrors" dxfId="195" priority="135">
      <formula>ISERROR(C29)</formula>
    </cfRule>
  </conditionalFormatting>
  <conditionalFormatting sqref="E28">
    <cfRule type="containsErrors" dxfId="194" priority="134">
      <formula>ISERROR(E28)</formula>
    </cfRule>
  </conditionalFormatting>
  <conditionalFormatting sqref="E28">
    <cfRule type="containsErrors" dxfId="193" priority="133">
      <formula>ISERROR(E28)</formula>
    </cfRule>
  </conditionalFormatting>
  <conditionalFormatting sqref="E28">
    <cfRule type="containsErrors" dxfId="192" priority="132">
      <formula>ISERROR(E28)</formula>
    </cfRule>
  </conditionalFormatting>
  <conditionalFormatting sqref="E29:E37">
    <cfRule type="containsErrors" dxfId="191" priority="131">
      <formula>ISERROR(E29)</formula>
    </cfRule>
  </conditionalFormatting>
  <conditionalFormatting sqref="E29:E37">
    <cfRule type="containsErrors" dxfId="190" priority="130">
      <formula>ISERROR(E29)</formula>
    </cfRule>
  </conditionalFormatting>
  <conditionalFormatting sqref="E29:E37">
    <cfRule type="containsErrors" dxfId="189" priority="129">
      <formula>ISERROR(E29)</formula>
    </cfRule>
  </conditionalFormatting>
  <conditionalFormatting sqref="G28:G37">
    <cfRule type="containsErrors" dxfId="188" priority="128">
      <formula>ISERROR(G28)</formula>
    </cfRule>
  </conditionalFormatting>
  <conditionalFormatting sqref="G28">
    <cfRule type="containsErrors" dxfId="187" priority="127">
      <formula>ISERROR(G28)</formula>
    </cfRule>
  </conditionalFormatting>
  <conditionalFormatting sqref="G28">
    <cfRule type="containsErrors" dxfId="186" priority="126">
      <formula>ISERROR(G28)</formula>
    </cfRule>
  </conditionalFormatting>
  <conditionalFormatting sqref="G28">
    <cfRule type="containsErrors" dxfId="185" priority="125">
      <formula>ISERROR(G28)</formula>
    </cfRule>
  </conditionalFormatting>
  <conditionalFormatting sqref="G29:G37">
    <cfRule type="containsErrors" dxfId="184" priority="124">
      <formula>ISERROR(G29)</formula>
    </cfRule>
  </conditionalFormatting>
  <conditionalFormatting sqref="G29:G37">
    <cfRule type="containsErrors" dxfId="183" priority="123">
      <formula>ISERROR(G29)</formula>
    </cfRule>
  </conditionalFormatting>
  <conditionalFormatting sqref="G29:G37">
    <cfRule type="containsErrors" dxfId="182" priority="122">
      <formula>ISERROR(G29)</formula>
    </cfRule>
  </conditionalFormatting>
  <conditionalFormatting sqref="I28:I37">
    <cfRule type="containsErrors" dxfId="181" priority="121">
      <formula>ISERROR(I28)</formula>
    </cfRule>
  </conditionalFormatting>
  <conditionalFormatting sqref="I28">
    <cfRule type="containsErrors" dxfId="180" priority="120">
      <formula>ISERROR(I28)</formula>
    </cfRule>
  </conditionalFormatting>
  <conditionalFormatting sqref="I28">
    <cfRule type="containsErrors" dxfId="179" priority="119">
      <formula>ISERROR(I28)</formula>
    </cfRule>
  </conditionalFormatting>
  <conditionalFormatting sqref="I28">
    <cfRule type="containsErrors" dxfId="178" priority="118">
      <formula>ISERROR(I28)</formula>
    </cfRule>
  </conditionalFormatting>
  <conditionalFormatting sqref="I29:I37">
    <cfRule type="containsErrors" dxfId="177" priority="117">
      <formula>ISERROR(I29)</formula>
    </cfRule>
  </conditionalFormatting>
  <conditionalFormatting sqref="I29:I37">
    <cfRule type="containsErrors" dxfId="176" priority="116">
      <formula>ISERROR(I29)</formula>
    </cfRule>
  </conditionalFormatting>
  <conditionalFormatting sqref="I29:I37">
    <cfRule type="containsErrors" dxfId="175" priority="115">
      <formula>ISERROR(I29)</formula>
    </cfRule>
  </conditionalFormatting>
  <conditionalFormatting sqref="C29:C37">
    <cfRule type="containsErrors" dxfId="174" priority="114">
      <formula>ISERROR(C29)</formula>
    </cfRule>
  </conditionalFormatting>
  <conditionalFormatting sqref="C29:C37">
    <cfRule type="containsErrors" dxfId="173" priority="113">
      <formula>ISERROR(C29)</formula>
    </cfRule>
  </conditionalFormatting>
  <conditionalFormatting sqref="E28:E37">
    <cfRule type="containsErrors" dxfId="172" priority="112">
      <formula>ISERROR(E28)</formula>
    </cfRule>
  </conditionalFormatting>
  <conditionalFormatting sqref="E28">
    <cfRule type="containsErrors" dxfId="171" priority="111">
      <formula>ISERROR(E28)</formula>
    </cfRule>
  </conditionalFormatting>
  <conditionalFormatting sqref="E28">
    <cfRule type="containsErrors" dxfId="170" priority="110">
      <formula>ISERROR(E28)</formula>
    </cfRule>
  </conditionalFormatting>
  <conditionalFormatting sqref="E29:E37">
    <cfRule type="containsErrors" dxfId="169" priority="109">
      <formula>ISERROR(E29)</formula>
    </cfRule>
  </conditionalFormatting>
  <conditionalFormatting sqref="E29:E37">
    <cfRule type="containsErrors" dxfId="168" priority="108">
      <formula>ISERROR(E29)</formula>
    </cfRule>
  </conditionalFormatting>
  <conditionalFormatting sqref="E29:E37">
    <cfRule type="containsErrors" dxfId="167" priority="107">
      <formula>ISERROR(E29)</formula>
    </cfRule>
  </conditionalFormatting>
  <conditionalFormatting sqref="E29:E37">
    <cfRule type="containsErrors" dxfId="166" priority="106">
      <formula>ISERROR(E29)</formula>
    </cfRule>
  </conditionalFormatting>
  <conditionalFormatting sqref="E29:E37">
    <cfRule type="containsErrors" dxfId="165" priority="105">
      <formula>ISERROR(E29)</formula>
    </cfRule>
  </conditionalFormatting>
  <conditionalFormatting sqref="E29:E37">
    <cfRule type="containsErrors" dxfId="164" priority="104">
      <formula>ISERROR(E29)</formula>
    </cfRule>
  </conditionalFormatting>
  <conditionalFormatting sqref="G28:G37">
    <cfRule type="containsErrors" dxfId="163" priority="103">
      <formula>ISERROR(G28)</formula>
    </cfRule>
  </conditionalFormatting>
  <conditionalFormatting sqref="G28">
    <cfRule type="containsErrors" dxfId="162" priority="102">
      <formula>ISERROR(G28)</formula>
    </cfRule>
  </conditionalFormatting>
  <conditionalFormatting sqref="G28">
    <cfRule type="containsErrors" dxfId="161" priority="101">
      <formula>ISERROR(G28)</formula>
    </cfRule>
  </conditionalFormatting>
  <conditionalFormatting sqref="G29:G37">
    <cfRule type="containsErrors" dxfId="160" priority="100">
      <formula>ISERROR(G29)</formula>
    </cfRule>
  </conditionalFormatting>
  <conditionalFormatting sqref="G29:G37">
    <cfRule type="containsErrors" dxfId="159" priority="99">
      <formula>ISERROR(G29)</formula>
    </cfRule>
  </conditionalFormatting>
  <conditionalFormatting sqref="G29:G37">
    <cfRule type="containsErrors" dxfId="158" priority="98">
      <formula>ISERROR(G29)</formula>
    </cfRule>
  </conditionalFormatting>
  <conditionalFormatting sqref="G29:G37">
    <cfRule type="containsErrors" dxfId="157" priority="97">
      <formula>ISERROR(G29)</formula>
    </cfRule>
  </conditionalFormatting>
  <conditionalFormatting sqref="G29:G37">
    <cfRule type="containsErrors" dxfId="156" priority="96">
      <formula>ISERROR(G29)</formula>
    </cfRule>
  </conditionalFormatting>
  <conditionalFormatting sqref="G29:G37">
    <cfRule type="containsErrors" dxfId="155" priority="95">
      <formula>ISERROR(G29)</formula>
    </cfRule>
  </conditionalFormatting>
  <conditionalFormatting sqref="I28:I37">
    <cfRule type="containsErrors" dxfId="154" priority="94">
      <formula>ISERROR(I28)</formula>
    </cfRule>
  </conditionalFormatting>
  <conditionalFormatting sqref="I28">
    <cfRule type="containsErrors" dxfId="153" priority="93">
      <formula>ISERROR(I28)</formula>
    </cfRule>
  </conditionalFormatting>
  <conditionalFormatting sqref="I28">
    <cfRule type="containsErrors" dxfId="152" priority="92">
      <formula>ISERROR(I28)</formula>
    </cfRule>
  </conditionalFormatting>
  <conditionalFormatting sqref="I29:I37">
    <cfRule type="containsErrors" dxfId="151" priority="91">
      <formula>ISERROR(I29)</formula>
    </cfRule>
  </conditionalFormatting>
  <conditionalFormatting sqref="I29:I37">
    <cfRule type="containsErrors" dxfId="150" priority="90">
      <formula>ISERROR(I29)</formula>
    </cfRule>
  </conditionalFormatting>
  <conditionalFormatting sqref="I29:I37">
    <cfRule type="containsErrors" dxfId="149" priority="89">
      <formula>ISERROR(I29)</formula>
    </cfRule>
  </conditionalFormatting>
  <conditionalFormatting sqref="I29:I37">
    <cfRule type="containsErrors" dxfId="148" priority="88">
      <formula>ISERROR(I29)</formula>
    </cfRule>
  </conditionalFormatting>
  <conditionalFormatting sqref="I29:I37">
    <cfRule type="containsErrors" dxfId="147" priority="87">
      <formula>ISERROR(I29)</formula>
    </cfRule>
  </conditionalFormatting>
  <conditionalFormatting sqref="I29:I37">
    <cfRule type="containsErrors" dxfId="146" priority="86">
      <formula>ISERROR(I29)</formula>
    </cfRule>
  </conditionalFormatting>
  <conditionalFormatting sqref="K28:K37">
    <cfRule type="containsErrors" dxfId="145" priority="85">
      <formula>ISERROR(K28)</formula>
    </cfRule>
  </conditionalFormatting>
  <conditionalFormatting sqref="K28">
    <cfRule type="containsErrors" dxfId="144" priority="84">
      <formula>ISERROR(K28)</formula>
    </cfRule>
  </conditionalFormatting>
  <conditionalFormatting sqref="K28">
    <cfRule type="containsErrors" dxfId="143" priority="83">
      <formula>ISERROR(K28)</formula>
    </cfRule>
  </conditionalFormatting>
  <conditionalFormatting sqref="K29:K37">
    <cfRule type="containsErrors" dxfId="142" priority="82">
      <formula>ISERROR(K29)</formula>
    </cfRule>
  </conditionalFormatting>
  <conditionalFormatting sqref="K29:K37">
    <cfRule type="containsErrors" dxfId="141" priority="81">
      <formula>ISERROR(K29)</formula>
    </cfRule>
  </conditionalFormatting>
  <conditionalFormatting sqref="K29:K37">
    <cfRule type="containsErrors" dxfId="140" priority="80">
      <formula>ISERROR(K29)</formula>
    </cfRule>
  </conditionalFormatting>
  <conditionalFormatting sqref="K29:K37">
    <cfRule type="containsErrors" dxfId="139" priority="79">
      <formula>ISERROR(K29)</formula>
    </cfRule>
  </conditionalFormatting>
  <conditionalFormatting sqref="K29:K37">
    <cfRule type="containsErrors" dxfId="138" priority="78">
      <formula>ISERROR(K29)</formula>
    </cfRule>
  </conditionalFormatting>
  <conditionalFormatting sqref="K29:K37">
    <cfRule type="containsErrors" dxfId="137" priority="77">
      <formula>ISERROR(K29)</formula>
    </cfRule>
  </conditionalFormatting>
  <conditionalFormatting sqref="C28:C37">
    <cfRule type="containsErrors" dxfId="136" priority="76">
      <formula>ISERROR(C28)</formula>
    </cfRule>
  </conditionalFormatting>
  <conditionalFormatting sqref="E28:E37">
    <cfRule type="containsErrors" dxfId="135" priority="75">
      <formula>ISERROR(E28)</formula>
    </cfRule>
  </conditionalFormatting>
  <conditionalFormatting sqref="G28:G37">
    <cfRule type="containsErrors" dxfId="134" priority="74">
      <formula>ISERROR(G28)</formula>
    </cfRule>
  </conditionalFormatting>
  <conditionalFormatting sqref="I28:I37">
    <cfRule type="containsErrors" dxfId="133" priority="73">
      <formula>ISERROR(I28)</formula>
    </cfRule>
  </conditionalFormatting>
  <conditionalFormatting sqref="K28:K37">
    <cfRule type="containsErrors" dxfId="132" priority="72">
      <formula>ISERROR(K28)</formula>
    </cfRule>
  </conditionalFormatting>
  <conditionalFormatting sqref="G28 I28 K28">
    <cfRule type="containsErrors" dxfId="131" priority="71">
      <formula>ISERROR(G28)</formula>
    </cfRule>
  </conditionalFormatting>
  <conditionalFormatting sqref="I28">
    <cfRule type="containsErrors" dxfId="130" priority="70">
      <formula>ISERROR(I28)</formula>
    </cfRule>
  </conditionalFormatting>
  <conditionalFormatting sqref="G29:G33">
    <cfRule type="containsErrors" dxfId="129" priority="69">
      <formula>ISERROR(G29)</formula>
    </cfRule>
  </conditionalFormatting>
  <conditionalFormatting sqref="G34:G37">
    <cfRule type="containsErrors" dxfId="128" priority="68">
      <formula>ISERROR(G34)</formula>
    </cfRule>
  </conditionalFormatting>
  <conditionalFormatting sqref="I29:I37">
    <cfRule type="containsErrors" dxfId="127" priority="67">
      <formula>ISERROR(I29)</formula>
    </cfRule>
  </conditionalFormatting>
  <conditionalFormatting sqref="I29:I37">
    <cfRule type="containsErrors" dxfId="126" priority="66">
      <formula>ISERROR(I29)</formula>
    </cfRule>
  </conditionalFormatting>
  <conditionalFormatting sqref="K29:K37">
    <cfRule type="containsErrors" dxfId="125" priority="65">
      <formula>ISERROR(K29)</formula>
    </cfRule>
  </conditionalFormatting>
  <conditionalFormatting sqref="C28">
    <cfRule type="containsErrors" dxfId="124" priority="64">
      <formula>ISERROR(C28)</formula>
    </cfRule>
  </conditionalFormatting>
  <conditionalFormatting sqref="C28">
    <cfRule type="containsErrors" dxfId="123" priority="63">
      <formula>ISERROR(C28)</formula>
    </cfRule>
  </conditionalFormatting>
  <conditionalFormatting sqref="C29:C37">
    <cfRule type="containsErrors" dxfId="122" priority="62">
      <formula>ISERROR(C29)</formula>
    </cfRule>
  </conditionalFormatting>
  <conditionalFormatting sqref="C29:C37">
    <cfRule type="containsErrors" dxfId="121" priority="61">
      <formula>ISERROR(C29)</formula>
    </cfRule>
  </conditionalFormatting>
  <conditionalFormatting sqref="C29:C37">
    <cfRule type="containsErrors" dxfId="120" priority="60">
      <formula>ISERROR(C29)</formula>
    </cfRule>
  </conditionalFormatting>
  <conditionalFormatting sqref="C29:C37">
    <cfRule type="containsErrors" dxfId="119" priority="59">
      <formula>ISERROR(C29)</formula>
    </cfRule>
  </conditionalFormatting>
  <conditionalFormatting sqref="E28">
    <cfRule type="containsErrors" dxfId="118" priority="58">
      <formula>ISERROR(E28)</formula>
    </cfRule>
  </conditionalFormatting>
  <conditionalFormatting sqref="E28">
    <cfRule type="containsErrors" dxfId="117" priority="57">
      <formula>ISERROR(E28)</formula>
    </cfRule>
  </conditionalFormatting>
  <conditionalFormatting sqref="E28">
    <cfRule type="containsErrors" dxfId="116" priority="56">
      <formula>ISERROR(E28)</formula>
    </cfRule>
  </conditionalFormatting>
  <conditionalFormatting sqref="E29:E37">
    <cfRule type="containsErrors" dxfId="115" priority="55">
      <formula>ISERROR(E29)</formula>
    </cfRule>
  </conditionalFormatting>
  <conditionalFormatting sqref="E29:E37">
    <cfRule type="containsErrors" dxfId="114" priority="54">
      <formula>ISERROR(E29)</formula>
    </cfRule>
  </conditionalFormatting>
  <conditionalFormatting sqref="E29:E37">
    <cfRule type="containsErrors" dxfId="113" priority="53">
      <formula>ISERROR(E29)</formula>
    </cfRule>
  </conditionalFormatting>
  <conditionalFormatting sqref="G28:G37">
    <cfRule type="containsErrors" dxfId="112" priority="52">
      <formula>ISERROR(G28)</formula>
    </cfRule>
  </conditionalFormatting>
  <conditionalFormatting sqref="G28">
    <cfRule type="containsErrors" dxfId="111" priority="51">
      <formula>ISERROR(G28)</formula>
    </cfRule>
  </conditionalFormatting>
  <conditionalFormatting sqref="G28">
    <cfRule type="containsErrors" dxfId="110" priority="50">
      <formula>ISERROR(G28)</formula>
    </cfRule>
  </conditionalFormatting>
  <conditionalFormatting sqref="G28">
    <cfRule type="containsErrors" dxfId="109" priority="49">
      <formula>ISERROR(G28)</formula>
    </cfRule>
  </conditionalFormatting>
  <conditionalFormatting sqref="G29:G37">
    <cfRule type="containsErrors" dxfId="108" priority="48">
      <formula>ISERROR(G29)</formula>
    </cfRule>
  </conditionalFormatting>
  <conditionalFormatting sqref="G29:G37">
    <cfRule type="containsErrors" dxfId="107" priority="47">
      <formula>ISERROR(G29)</formula>
    </cfRule>
  </conditionalFormatting>
  <conditionalFormatting sqref="G29:G37">
    <cfRule type="containsErrors" dxfId="106" priority="46">
      <formula>ISERROR(G29)</formula>
    </cfRule>
  </conditionalFormatting>
  <conditionalFormatting sqref="I28:I37">
    <cfRule type="containsErrors" dxfId="105" priority="45">
      <formula>ISERROR(I28)</formula>
    </cfRule>
  </conditionalFormatting>
  <conditionalFormatting sqref="I28">
    <cfRule type="containsErrors" dxfId="104" priority="44">
      <formula>ISERROR(I28)</formula>
    </cfRule>
  </conditionalFormatting>
  <conditionalFormatting sqref="I28">
    <cfRule type="containsErrors" dxfId="103" priority="43">
      <formula>ISERROR(I28)</formula>
    </cfRule>
  </conditionalFormatting>
  <conditionalFormatting sqref="I28">
    <cfRule type="containsErrors" dxfId="102" priority="42">
      <formula>ISERROR(I28)</formula>
    </cfRule>
  </conditionalFormatting>
  <conditionalFormatting sqref="I29:I37">
    <cfRule type="containsErrors" dxfId="101" priority="41">
      <formula>ISERROR(I29)</formula>
    </cfRule>
  </conditionalFormatting>
  <conditionalFormatting sqref="I29:I37">
    <cfRule type="containsErrors" dxfId="100" priority="40">
      <formula>ISERROR(I29)</formula>
    </cfRule>
  </conditionalFormatting>
  <conditionalFormatting sqref="I29:I37">
    <cfRule type="containsErrors" dxfId="99" priority="39">
      <formula>ISERROR(I29)</formula>
    </cfRule>
  </conditionalFormatting>
  <conditionalFormatting sqref="C29:C37">
    <cfRule type="containsErrors" dxfId="98" priority="38">
      <formula>ISERROR(C29)</formula>
    </cfRule>
  </conditionalFormatting>
  <conditionalFormatting sqref="C29:C37">
    <cfRule type="containsErrors" dxfId="97" priority="37">
      <formula>ISERROR(C29)</formula>
    </cfRule>
  </conditionalFormatting>
  <conditionalFormatting sqref="E28:E37">
    <cfRule type="containsErrors" dxfId="96" priority="36">
      <formula>ISERROR(E28)</formula>
    </cfRule>
  </conditionalFormatting>
  <conditionalFormatting sqref="E28">
    <cfRule type="containsErrors" dxfId="95" priority="35">
      <formula>ISERROR(E28)</formula>
    </cfRule>
  </conditionalFormatting>
  <conditionalFormatting sqref="E28">
    <cfRule type="containsErrors" dxfId="94" priority="34">
      <formula>ISERROR(E28)</formula>
    </cfRule>
  </conditionalFormatting>
  <conditionalFormatting sqref="E29:E37">
    <cfRule type="containsErrors" dxfId="93" priority="33">
      <formula>ISERROR(E29)</formula>
    </cfRule>
  </conditionalFormatting>
  <conditionalFormatting sqref="E29:E37">
    <cfRule type="containsErrors" dxfId="92" priority="32">
      <formula>ISERROR(E29)</formula>
    </cfRule>
  </conditionalFormatting>
  <conditionalFormatting sqref="E29:E37">
    <cfRule type="containsErrors" dxfId="91" priority="31">
      <formula>ISERROR(E29)</formula>
    </cfRule>
  </conditionalFormatting>
  <conditionalFormatting sqref="E29:E37">
    <cfRule type="containsErrors" dxfId="90" priority="30">
      <formula>ISERROR(E29)</formula>
    </cfRule>
  </conditionalFormatting>
  <conditionalFormatting sqref="E29:E37">
    <cfRule type="containsErrors" dxfId="89" priority="29">
      <formula>ISERROR(E29)</formula>
    </cfRule>
  </conditionalFormatting>
  <conditionalFormatting sqref="E29:E37">
    <cfRule type="containsErrors" dxfId="88" priority="28">
      <formula>ISERROR(E29)</formula>
    </cfRule>
  </conditionalFormatting>
  <conditionalFormatting sqref="G28:G37">
    <cfRule type="containsErrors" dxfId="87" priority="27">
      <formula>ISERROR(G28)</formula>
    </cfRule>
  </conditionalFormatting>
  <conditionalFormatting sqref="G28">
    <cfRule type="containsErrors" dxfId="86" priority="26">
      <formula>ISERROR(G28)</formula>
    </cfRule>
  </conditionalFormatting>
  <conditionalFormatting sqref="G28">
    <cfRule type="containsErrors" dxfId="85" priority="25">
      <formula>ISERROR(G28)</formula>
    </cfRule>
  </conditionalFormatting>
  <conditionalFormatting sqref="G29:G37">
    <cfRule type="containsErrors" dxfId="84" priority="24">
      <formula>ISERROR(G29)</formula>
    </cfRule>
  </conditionalFormatting>
  <conditionalFormatting sqref="G29:G37">
    <cfRule type="containsErrors" dxfId="83" priority="23">
      <formula>ISERROR(G29)</formula>
    </cfRule>
  </conditionalFormatting>
  <conditionalFormatting sqref="G29:G37">
    <cfRule type="containsErrors" dxfId="82" priority="22">
      <formula>ISERROR(G29)</formula>
    </cfRule>
  </conditionalFormatting>
  <conditionalFormatting sqref="G29:G37">
    <cfRule type="containsErrors" dxfId="81" priority="21">
      <formula>ISERROR(G29)</formula>
    </cfRule>
  </conditionalFormatting>
  <conditionalFormatting sqref="G29:G37">
    <cfRule type="containsErrors" dxfId="80" priority="20">
      <formula>ISERROR(G29)</formula>
    </cfRule>
  </conditionalFormatting>
  <conditionalFormatting sqref="G29:G37">
    <cfRule type="containsErrors" dxfId="79" priority="19">
      <formula>ISERROR(G29)</formula>
    </cfRule>
  </conditionalFormatting>
  <conditionalFormatting sqref="I28:I37">
    <cfRule type="containsErrors" dxfId="78" priority="18">
      <formula>ISERROR(I28)</formula>
    </cfRule>
  </conditionalFormatting>
  <conditionalFormatting sqref="I28">
    <cfRule type="containsErrors" dxfId="77" priority="17">
      <formula>ISERROR(I28)</formula>
    </cfRule>
  </conditionalFormatting>
  <conditionalFormatting sqref="I28">
    <cfRule type="containsErrors" dxfId="76" priority="16">
      <formula>ISERROR(I28)</formula>
    </cfRule>
  </conditionalFormatting>
  <conditionalFormatting sqref="I29:I37">
    <cfRule type="containsErrors" dxfId="75" priority="15">
      <formula>ISERROR(I29)</formula>
    </cfRule>
  </conditionalFormatting>
  <conditionalFormatting sqref="I29:I37">
    <cfRule type="containsErrors" dxfId="74" priority="14">
      <formula>ISERROR(I29)</formula>
    </cfRule>
  </conditionalFormatting>
  <conditionalFormatting sqref="I29:I37">
    <cfRule type="containsErrors" dxfId="73" priority="13">
      <formula>ISERROR(I29)</formula>
    </cfRule>
  </conditionalFormatting>
  <conditionalFormatting sqref="I29:I37">
    <cfRule type="containsErrors" dxfId="72" priority="12">
      <formula>ISERROR(I29)</formula>
    </cfRule>
  </conditionalFormatting>
  <conditionalFormatting sqref="I29:I37">
    <cfRule type="containsErrors" dxfId="71" priority="11">
      <formula>ISERROR(I29)</formula>
    </cfRule>
  </conditionalFormatting>
  <conditionalFormatting sqref="I29:I37">
    <cfRule type="containsErrors" dxfId="70" priority="10">
      <formula>ISERROR(I29)</formula>
    </cfRule>
  </conditionalFormatting>
  <conditionalFormatting sqref="K28:K37">
    <cfRule type="containsErrors" dxfId="69" priority="9">
      <formula>ISERROR(K28)</formula>
    </cfRule>
  </conditionalFormatting>
  <conditionalFormatting sqref="K28">
    <cfRule type="containsErrors" dxfId="68" priority="8">
      <formula>ISERROR(K28)</formula>
    </cfRule>
  </conditionalFormatting>
  <conditionalFormatting sqref="K28">
    <cfRule type="containsErrors" dxfId="67" priority="7">
      <formula>ISERROR(K28)</formula>
    </cfRule>
  </conditionalFormatting>
  <conditionalFormatting sqref="K29:K37">
    <cfRule type="containsErrors" dxfId="66" priority="6">
      <formula>ISERROR(K29)</formula>
    </cfRule>
  </conditionalFormatting>
  <conditionalFormatting sqref="K29:K37">
    <cfRule type="containsErrors" dxfId="65" priority="5">
      <formula>ISERROR(K29)</formula>
    </cfRule>
  </conditionalFormatting>
  <conditionalFormatting sqref="K29:K37">
    <cfRule type="containsErrors" dxfId="64" priority="4">
      <formula>ISERROR(K29)</formula>
    </cfRule>
  </conditionalFormatting>
  <conditionalFormatting sqref="K29:K37">
    <cfRule type="containsErrors" dxfId="63" priority="3">
      <formula>ISERROR(K29)</formula>
    </cfRule>
  </conditionalFormatting>
  <conditionalFormatting sqref="K29:K37">
    <cfRule type="containsErrors" dxfId="62" priority="2">
      <formula>ISERROR(K29)</formula>
    </cfRule>
  </conditionalFormatting>
  <conditionalFormatting sqref="K29:K37">
    <cfRule type="containsErrors" dxfId="61"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26.xml><?xml version="1.0" encoding="utf-8"?>
<worksheet xmlns="http://schemas.openxmlformats.org/spreadsheetml/2006/main" xmlns:r="http://schemas.openxmlformats.org/officeDocument/2006/relationships">
  <sheetPr codeName="Hoja25">
    <pageSetUpPr autoPageBreaks="0"/>
  </sheetPr>
  <dimension ref="A1:BC112"/>
  <sheetViews>
    <sheetView showGridLines="0" showWhiteSpace="0" topLeftCell="AJ1" zoomScale="70" zoomScaleNormal="70" zoomScaleSheetLayoutView="80" zoomScalePageLayoutView="40" workbookViewId="0">
      <selection activeCell="AQ1" activeCellId="1" sqref="AH3:AJ7 AQ1:BA82"/>
    </sheetView>
  </sheetViews>
  <sheetFormatPr baseColWidth="10" defaultColWidth="11.33203125" defaultRowHeight="13.2"/>
  <cols>
    <col min="1" max="1" width="8.88671875" style="191" bestFit="1" customWidth="1"/>
    <col min="2" max="2" width="11.6640625" style="191" bestFit="1" customWidth="1"/>
    <col min="3" max="3" width="27.109375" style="191" customWidth="1"/>
    <col min="4" max="4" width="18.109375" style="186" customWidth="1"/>
    <col min="5" max="7" width="11.33203125" style="186"/>
    <col min="8" max="8" width="4.33203125" style="187" customWidth="1"/>
    <col min="9" max="9" width="8.33203125" style="187" bestFit="1" customWidth="1"/>
    <col min="10" max="10" width="44.33203125" style="186" bestFit="1" customWidth="1"/>
    <col min="11" max="11" width="11.33203125" style="186"/>
    <col min="12" max="12" width="3.5546875" style="186" customWidth="1"/>
    <col min="13" max="13" width="11.33203125" style="186"/>
    <col min="14" max="14" width="11.33203125" style="186" customWidth="1"/>
    <col min="15" max="15" width="23.44140625" style="186" customWidth="1"/>
    <col min="16" max="34" width="11.33203125" style="186"/>
    <col min="35" max="35" width="44.109375" style="186" customWidth="1"/>
    <col min="36" max="36" width="10.33203125" style="186" customWidth="1"/>
    <col min="37" max="37" width="11.33203125" style="186"/>
    <col min="38" max="38" width="12.44140625" style="186" bestFit="1" customWidth="1"/>
    <col min="39" max="41" width="11.33203125" style="186"/>
    <col min="42" max="42" width="2.109375" style="186" customWidth="1"/>
    <col min="43" max="43" width="14" style="186" customWidth="1"/>
    <col min="44" max="44" width="51.33203125" style="186" customWidth="1"/>
    <col min="45" max="54" width="11.33203125" style="186"/>
    <col min="55" max="55" width="30" style="186" customWidth="1"/>
    <col min="56" max="16384" width="11.33203125" style="186"/>
  </cols>
  <sheetData>
    <row r="1" spans="1:55" ht="17.399999999999999">
      <c r="A1" s="786"/>
      <c r="B1" s="786"/>
      <c r="C1" s="786"/>
      <c r="D1" s="786"/>
      <c r="E1" s="786"/>
      <c r="F1" s="786"/>
      <c r="G1" s="786"/>
      <c r="H1" s="786"/>
      <c r="I1" s="786"/>
      <c r="J1" s="786"/>
      <c r="K1" s="185"/>
      <c r="AQ1" s="786" t="s">
        <v>5657</v>
      </c>
      <c r="AR1" s="786"/>
      <c r="AS1" s="786"/>
      <c r="AT1" s="786"/>
      <c r="AU1" s="786"/>
      <c r="AV1" s="786"/>
      <c r="AW1" s="786"/>
      <c r="AX1" s="786"/>
      <c r="AY1" s="786"/>
      <c r="AZ1" s="786"/>
      <c r="BA1" s="786"/>
    </row>
    <row r="2" spans="1:55" ht="12.75" customHeight="1"/>
    <row r="3" spans="1:55" ht="30.75" customHeight="1">
      <c r="M3" s="185" t="s">
        <v>1316</v>
      </c>
      <c r="N3" s="185" t="s">
        <v>1317</v>
      </c>
      <c r="AI3" s="804" t="s">
        <v>5658</v>
      </c>
      <c r="AJ3" s="805"/>
      <c r="AQ3" s="787" t="s">
        <v>5662</v>
      </c>
      <c r="AR3" s="787"/>
      <c r="AS3" s="787"/>
      <c r="AT3" s="787"/>
      <c r="AU3" s="787"/>
      <c r="AV3" s="787"/>
      <c r="AW3" s="787"/>
      <c r="AX3" s="787"/>
      <c r="AY3" s="787"/>
      <c r="AZ3" s="787"/>
      <c r="BA3" s="787"/>
    </row>
    <row r="4" spans="1:55" ht="27" customHeight="1" thickBot="1">
      <c r="A4" s="284"/>
      <c r="B4" s="284"/>
      <c r="C4" s="284"/>
      <c r="M4" s="283" t="s">
        <v>927</v>
      </c>
      <c r="N4" s="282" t="s">
        <v>1293</v>
      </c>
      <c r="O4" s="282" t="s">
        <v>928</v>
      </c>
      <c r="Z4" s="185"/>
      <c r="AI4" s="429" t="s">
        <v>5659</v>
      </c>
      <c r="AJ4" s="430">
        <f ca="1">COUNTIFS(EXPEDIENTES!O:O,"SI",EXPEDIENTES!H:H,"&lt;=15/01/2024",EXPEDIENTES!H:H,"&gt;=01/01/2024")</f>
        <v>92</v>
      </c>
    </row>
    <row r="5" spans="1:55" ht="25.2" customHeight="1">
      <c r="B5" s="314" t="s">
        <v>927</v>
      </c>
      <c r="C5" s="315" t="s">
        <v>3138</v>
      </c>
      <c r="M5" s="277" t="e">
        <v>#VALUE!</v>
      </c>
      <c r="N5" s="276" t="e">
        <f>M5/M11</f>
        <v>#VALUE!</v>
      </c>
      <c r="O5" s="278" t="s">
        <v>577</v>
      </c>
      <c r="T5" s="185"/>
      <c r="AI5" s="429" t="s">
        <v>5660</v>
      </c>
      <c r="AJ5" s="430">
        <f ca="1">COUNTIFS(EXPEDIENTES!O:O,"SI",EXPEDIENTES!H:H,"&lt;=31/01/2024",EXPEDIENTES!H:H,"&gt;=16/01/2024")</f>
        <v>98</v>
      </c>
      <c r="AQ5" s="195" t="s">
        <v>927</v>
      </c>
      <c r="AR5" s="195" t="s">
        <v>928</v>
      </c>
      <c r="AW5" s="187"/>
      <c r="AX5" s="187"/>
      <c r="BC5" s="58"/>
    </row>
    <row r="6" spans="1:55" ht="28.35" customHeight="1">
      <c r="B6" s="316">
        <f ca="1">COUNTIFS(EXPEDIENTES!H:H,"&gt;=01/02/2023",EXPEDIENTES!H:H,"&lt;=28/02/2023",EXPEDIENTES!O:O,"=SI")</f>
        <v>4</v>
      </c>
      <c r="C6" s="317" t="s">
        <v>3139</v>
      </c>
      <c r="D6" s="284"/>
      <c r="E6" s="284"/>
      <c r="F6" s="284"/>
      <c r="G6" s="284"/>
      <c r="M6" s="277" t="e">
        <v>#VALUE!</v>
      </c>
      <c r="N6" s="276" t="e">
        <f>M6/M11</f>
        <v>#VALUE!</v>
      </c>
      <c r="O6" s="278" t="s">
        <v>1318</v>
      </c>
      <c r="T6" s="185"/>
      <c r="AI6" s="429" t="s">
        <v>5661</v>
      </c>
      <c r="AJ6" s="430">
        <f ca="1">SUM(AJ4:AJ5)</f>
        <v>190</v>
      </c>
      <c r="AQ6" s="196">
        <f ca="1">COUNTIFS(EXPEDIENTES!R:R,$AR6,EXPEDIENTES!O:O,"SI",EXPEDIENTES!H:H,"&gt;=01/01/2024",EXPEDIENTES!H:H,"&lt;=15/01/2024")</f>
        <v>44</v>
      </c>
      <c r="AR6" s="197" t="s">
        <v>100</v>
      </c>
      <c r="AU6" s="188"/>
      <c r="AW6" s="187"/>
      <c r="AX6" s="187"/>
      <c r="BC6" s="58"/>
    </row>
    <row r="7" spans="1:55" ht="28.35" customHeight="1">
      <c r="B7" s="316">
        <f ca="1">COUNTIFS(EXPEDIENTES!H:H,"&gt;=01/03/2023",EXPEDIENTES!H:H,"&lt;=31/03/2023",EXPEDIENTES!O:O,"=SI")</f>
        <v>84</v>
      </c>
      <c r="C7" s="317" t="s">
        <v>3140</v>
      </c>
      <c r="M7" s="277" t="e">
        <v>#VALUE!</v>
      </c>
      <c r="N7" s="276" t="e">
        <f>M7/M11</f>
        <v>#VALUE!</v>
      </c>
      <c r="O7" s="278" t="s">
        <v>1319</v>
      </c>
      <c r="T7" s="185"/>
      <c r="AQ7" s="196">
        <f ca="1">COUNTIFS(EXPEDIENTES!R:R,$AR7,EXPEDIENTES!O:O,"SI",EXPEDIENTES!H:H,"&gt;=01/01/2024",EXPEDIENTES!H:H,"&lt;=15/01/2024")</f>
        <v>26</v>
      </c>
      <c r="AR7" s="197" t="s">
        <v>151</v>
      </c>
      <c r="AU7" s="188"/>
      <c r="AW7" s="187"/>
      <c r="AX7" s="187"/>
      <c r="BC7" s="58"/>
    </row>
    <row r="8" spans="1:55" ht="28.35" customHeight="1">
      <c r="B8" s="316">
        <f ca="1">COUNTIFS(EXPEDIENTES!H:H,"&gt;=01/04/2023",EXPEDIENTES!H:H,"&lt;=30/04/2023",EXPEDIENTES!O:O,"=SI")</f>
        <v>63</v>
      </c>
      <c r="C8" s="317" t="s">
        <v>3141</v>
      </c>
      <c r="M8" s="277" t="e">
        <v>#VALUE!</v>
      </c>
      <c r="N8" s="276" t="e">
        <f>M8/M11</f>
        <v>#VALUE!</v>
      </c>
      <c r="O8" s="278" t="s">
        <v>900</v>
      </c>
      <c r="T8" s="185"/>
      <c r="AQ8" s="196">
        <f ca="1">COUNTIFS(EXPEDIENTES!R:R,$AR8,EXPEDIENTES!O:O,"SI",EXPEDIENTES!H:H,"&gt;=01/01/2024",EXPEDIENTES!H:H,"&lt;=15/01/2024")</f>
        <v>12</v>
      </c>
      <c r="AR8" s="197" t="s">
        <v>900</v>
      </c>
      <c r="AU8" s="188"/>
      <c r="AW8" s="187"/>
      <c r="AX8" s="187"/>
      <c r="BC8" s="58"/>
    </row>
    <row r="9" spans="1:55" ht="28.35" customHeight="1">
      <c r="B9" s="316">
        <f ca="1">COUNTIFS(EXPEDIENTES!H:H,"&gt;=01/05/2023",EXPEDIENTES!H:H,"&lt;=31/05/2023",EXPEDIENTES!O:O,"=SI")</f>
        <v>44</v>
      </c>
      <c r="C9" s="317" t="s">
        <v>3142</v>
      </c>
      <c r="M9" s="280" t="e">
        <v>#VALUE!</v>
      </c>
      <c r="N9" s="276" t="e">
        <f>M9/M11</f>
        <v>#VALUE!</v>
      </c>
      <c r="O9" s="278" t="s">
        <v>1320</v>
      </c>
      <c r="T9" s="185"/>
      <c r="AQ9" s="196">
        <f ca="1">COUNTIFS(EXPEDIENTES!R:R,$AR9,EXPEDIENTES!O:O,"SI",EXPEDIENTES!H:H,"&gt;=01/01/2024",EXPEDIENTES!H:H,"&lt;=15/01/2024")</f>
        <v>6</v>
      </c>
      <c r="AR9" s="197" t="s">
        <v>947</v>
      </c>
      <c r="AU9" s="188"/>
      <c r="AW9" s="187"/>
      <c r="AX9" s="187"/>
      <c r="BC9" s="58"/>
    </row>
    <row r="10" spans="1:55" ht="28.35" customHeight="1">
      <c r="B10" s="316">
        <f ca="1">COUNTIFS(EXPEDIENTES!H:H,"&gt;=01/06/2023",EXPEDIENTES!H:H,"&lt;=30/06/2023",EXPEDIENTES!O:O,"=SI")</f>
        <v>87</v>
      </c>
      <c r="C10" s="317" t="s">
        <v>3143</v>
      </c>
      <c r="M10" s="277" t="e">
        <v>#VALUE!</v>
      </c>
      <c r="N10" s="276" t="e">
        <f>M10/M11</f>
        <v>#VALUE!</v>
      </c>
      <c r="O10" s="278" t="s">
        <v>947</v>
      </c>
      <c r="T10" s="185"/>
      <c r="AQ10" s="196">
        <f ca="1">COUNTIFS(EXPEDIENTES!R:R,$AR10,EXPEDIENTES!O:O,"SI",EXPEDIENTES!H:H,"&gt;=01/01/2024",EXPEDIENTES!H:H,"&lt;=15/01/2024")</f>
        <v>2</v>
      </c>
      <c r="AR10" s="197" t="s">
        <v>911</v>
      </c>
      <c r="AU10" s="188"/>
      <c r="AW10" s="187"/>
      <c r="AX10" s="187"/>
      <c r="BC10" s="58"/>
    </row>
    <row r="11" spans="1:55" ht="28.35" customHeight="1">
      <c r="B11" s="316">
        <f ca="1">COUNTIFS(EXPEDIENTES!H:H,"&gt;=01/07/2023",EXPEDIENTES!H:H,"&lt;=31/07/2023",EXPEDIENTES!O:O,"=SI")</f>
        <v>128</v>
      </c>
      <c r="C11" s="317" t="s">
        <v>3144</v>
      </c>
      <c r="M11" s="274" t="e">
        <f>SUM(M5:M10)</f>
        <v>#VALUE!</v>
      </c>
      <c r="N11" s="273" t="e">
        <f>SUM(N5:N10)</f>
        <v>#VALUE!</v>
      </c>
      <c r="O11" s="272" t="s">
        <v>370</v>
      </c>
      <c r="T11" s="185"/>
      <c r="AQ11" s="196">
        <f ca="1">COUNTIFS(EXPEDIENTES!R:R,$AR11,EXPEDIENTES!O:O,"SI",EXPEDIENTES!H:H,"&gt;=01/01/2024",EXPEDIENTES!H:H,"&lt;=15/01/2024")</f>
        <v>1</v>
      </c>
      <c r="AR11" s="198" t="s">
        <v>907</v>
      </c>
      <c r="AU11" s="188"/>
      <c r="AW11" s="187"/>
      <c r="AX11" s="187"/>
      <c r="BC11" s="58"/>
    </row>
    <row r="12" spans="1:55" ht="28.35" customHeight="1">
      <c r="B12" s="316">
        <f ca="1">COUNTIFS(EXPEDIENTES!H:H,"&gt;=01/08/2023",EXPEDIENTES!H:H,"&lt;=31/08/2023",EXPEDIENTES!O:O,"=SI")</f>
        <v>128</v>
      </c>
      <c r="C12" s="317" t="s">
        <v>3145</v>
      </c>
      <c r="T12" s="185"/>
      <c r="AQ12" s="196">
        <f ca="1">COUNTIFS(EXPEDIENTES!R:R,$AR12,EXPEDIENTES!O:O,"SI",EXPEDIENTES!H:H,"&gt;=01/01/2024",EXPEDIENTES!H:H,"&lt;=15/01/2024")</f>
        <v>1</v>
      </c>
      <c r="AR12" s="352" t="s">
        <v>1892</v>
      </c>
      <c r="AU12" s="188"/>
      <c r="AW12" s="187"/>
      <c r="AX12" s="187"/>
      <c r="BC12" s="58"/>
    </row>
    <row r="13" spans="1:55" ht="28.35" customHeight="1">
      <c r="B13" s="316">
        <f ca="1">COUNTIFS(EXPEDIENTES!H:H,"&gt;=01/09/2023",EXPEDIENTES!H:H,"&lt;=30/09/2023",EXPEDIENTES!O:O,"=SI")</f>
        <v>117</v>
      </c>
      <c r="C13" s="317" t="s">
        <v>3146</v>
      </c>
      <c r="T13" s="185"/>
      <c r="AQ13" s="195">
        <f ca="1">SUM(AQ6:AQ12)</f>
        <v>92</v>
      </c>
      <c r="AR13" s="195" t="s">
        <v>370</v>
      </c>
      <c r="AS13" s="184"/>
      <c r="AT13" s="184"/>
      <c r="AU13" s="184"/>
      <c r="AV13" s="184"/>
      <c r="AW13" s="184"/>
      <c r="AX13" s="184"/>
      <c r="AY13" s="184"/>
      <c r="AZ13" s="185"/>
      <c r="BC13" s="58"/>
    </row>
    <row r="14" spans="1:55" ht="28.35" customHeight="1">
      <c r="B14" s="316">
        <f ca="1">COUNTIFS(EXPEDIENTES!H:H,"&gt;=01/10/2023",EXPEDIENTES!H:H,"&lt;=31/10/2023",EXPEDIENTES!O:O,"=SI")</f>
        <v>157</v>
      </c>
      <c r="C14" s="317" t="s">
        <v>3147</v>
      </c>
      <c r="AS14" s="194"/>
      <c r="AT14" s="194"/>
      <c r="AU14" s="194"/>
      <c r="AV14" s="194"/>
      <c r="AW14" s="194"/>
      <c r="AX14" s="194"/>
      <c r="AY14" s="194"/>
      <c r="AZ14" s="185"/>
      <c r="BC14" s="58"/>
    </row>
    <row r="15" spans="1:55" ht="28.35" customHeight="1">
      <c r="B15" s="316">
        <f ca="1">COUNTIFS(EXPEDIENTES!H:H,"&gt;=01/11/2023",EXPEDIENTES!H:H,"&lt;=30/11/2023",EXPEDIENTES!O:O,"=SI")</f>
        <v>168</v>
      </c>
      <c r="C15" s="317" t="s">
        <v>3148</v>
      </c>
      <c r="AS15" s="194"/>
      <c r="AT15" s="194"/>
      <c r="AU15" s="194"/>
      <c r="AV15" s="194"/>
      <c r="AW15" s="194"/>
      <c r="AX15" s="194"/>
      <c r="AY15" s="194"/>
      <c r="AZ15" s="185"/>
      <c r="BC15" s="58"/>
    </row>
    <row r="16" spans="1:55" ht="28.35" customHeight="1" thickBot="1">
      <c r="B16" s="316">
        <f ca="1">COUNTIFS(EXPEDIENTES!H:H,"&gt;=01/12/2023",EXPEDIENTES!H:H,"&lt;=31/12/2023",EXPEDIENTES!O:O,"=SI")</f>
        <v>191</v>
      </c>
      <c r="C16" s="318" t="s">
        <v>3149</v>
      </c>
      <c r="AW16" s="187"/>
      <c r="AX16" s="187"/>
      <c r="AZ16" s="190"/>
      <c r="BC16" s="58"/>
    </row>
    <row r="17" spans="2:55" ht="28.35" customHeight="1">
      <c r="B17" s="274">
        <f ca="1">SUM(B6:B16)</f>
        <v>1171</v>
      </c>
      <c r="C17" s="272" t="s">
        <v>370</v>
      </c>
      <c r="AS17" s="191"/>
      <c r="AX17" s="187"/>
      <c r="AY17" s="187"/>
      <c r="BC17" s="58"/>
    </row>
    <row r="18" spans="2:55" ht="28.35" customHeight="1">
      <c r="AQ18" s="189"/>
      <c r="AR18" s="189"/>
      <c r="AS18" s="189"/>
      <c r="AX18" s="187"/>
      <c r="AY18" s="187"/>
      <c r="BC18" s="58"/>
    </row>
    <row r="19" spans="2:55" ht="28.35" customHeight="1">
      <c r="BC19" s="58"/>
    </row>
    <row r="20" spans="2:55" ht="28.35" customHeight="1">
      <c r="AS20" s="191"/>
      <c r="AX20" s="187"/>
      <c r="AY20" s="187"/>
      <c r="BC20" s="58"/>
    </row>
    <row r="21" spans="2:55" ht="28.35" customHeight="1">
      <c r="AQ21" s="189"/>
      <c r="AR21" s="189"/>
      <c r="AS21" s="189"/>
      <c r="AX21" s="187"/>
      <c r="AY21" s="187"/>
    </row>
    <row r="22" spans="2:55" ht="28.35" customHeight="1"/>
    <row r="24" spans="2:55" ht="24.6">
      <c r="AS24" s="191"/>
      <c r="AW24" s="222"/>
      <c r="AX24" s="222"/>
      <c r="AY24" s="222"/>
      <c r="AZ24" s="222"/>
      <c r="BA24" s="222"/>
      <c r="BB24" s="222"/>
    </row>
    <row r="25" spans="2:55" ht="24.6">
      <c r="AQ25" s="787" t="s">
        <v>5663</v>
      </c>
      <c r="AR25" s="787"/>
      <c r="AS25" s="787"/>
      <c r="AT25" s="787"/>
      <c r="AU25" s="787"/>
      <c r="AV25" s="787"/>
      <c r="AW25" s="787"/>
      <c r="AX25" s="787"/>
      <c r="AY25" s="787"/>
      <c r="AZ25" s="787"/>
      <c r="BA25" s="787"/>
    </row>
    <row r="26" spans="2:55" ht="24.9" customHeight="1"/>
    <row r="27" spans="2:55" ht="24.9" customHeight="1">
      <c r="M27" s="185" t="s">
        <v>1316</v>
      </c>
      <c r="N27" s="185" t="s">
        <v>1324</v>
      </c>
      <c r="AK27" s="185"/>
      <c r="AL27" s="185"/>
      <c r="AQ27" s="195" t="s">
        <v>927</v>
      </c>
      <c r="AR27" s="195" t="s">
        <v>928</v>
      </c>
      <c r="AW27" s="187"/>
      <c r="AX27" s="187"/>
    </row>
    <row r="28" spans="2:55" ht="57" customHeight="1">
      <c r="M28" s="283" t="s">
        <v>927</v>
      </c>
      <c r="N28" s="282" t="s">
        <v>1293</v>
      </c>
      <c r="O28" s="282" t="s">
        <v>928</v>
      </c>
      <c r="AK28" s="283" t="s">
        <v>927</v>
      </c>
      <c r="AL28" s="282" t="s">
        <v>1293</v>
      </c>
      <c r="AM28" s="282" t="s">
        <v>928</v>
      </c>
      <c r="AQ28" s="196">
        <f ca="1">COUNTIFS(EXPEDIENTES!R:R,$AR28,EXPEDIENTES!O:O,"SI",EXPEDIENTES!H:H,"&gt;=16/01/2024",EXPEDIENTES!H:H,"&lt;=31/01/2024")</f>
        <v>37</v>
      </c>
      <c r="AR28" s="197" t="s">
        <v>100</v>
      </c>
      <c r="AU28" s="188"/>
      <c r="AW28" s="187"/>
      <c r="AX28" s="187"/>
    </row>
    <row r="29" spans="2:55" ht="30" customHeight="1">
      <c r="M29" s="277" t="e">
        <v>#VALUE!</v>
      </c>
      <c r="N29" s="276" t="e">
        <f>M29/M35</f>
        <v>#VALUE!</v>
      </c>
      <c r="O29" s="278" t="s">
        <v>577</v>
      </c>
      <c r="AK29" s="277" t="e">
        <v>#VALUE!</v>
      </c>
      <c r="AL29" s="276" t="e">
        <f>AK29/AK35</f>
        <v>#VALUE!</v>
      </c>
      <c r="AM29" s="278" t="s">
        <v>577</v>
      </c>
      <c r="AQ29" s="196">
        <f ca="1">COUNTIFS(EXPEDIENTES!R:R,$AR29,EXPEDIENTES!O:O,"SI",EXPEDIENTES!H:H,"&gt;=16/01/2024",EXPEDIENTES!H:H,"&lt;=31/01/2024")</f>
        <v>38</v>
      </c>
      <c r="AR29" s="197" t="s">
        <v>151</v>
      </c>
      <c r="AU29" s="188"/>
      <c r="AW29" s="187"/>
      <c r="AX29" s="187"/>
    </row>
    <row r="30" spans="2:55" ht="30" customHeight="1">
      <c r="M30" s="277" t="e">
        <v>#VALUE!</v>
      </c>
      <c r="N30" s="276" t="e">
        <f>M30/M35</f>
        <v>#VALUE!</v>
      </c>
      <c r="O30" s="291" t="s">
        <v>1318</v>
      </c>
      <c r="AK30" s="277" t="e">
        <v>#VALUE!</v>
      </c>
      <c r="AL30" s="276" t="e">
        <f>AK30/AK35</f>
        <v>#VALUE!</v>
      </c>
      <c r="AM30" s="278" t="s">
        <v>1318</v>
      </c>
      <c r="AQ30" s="196">
        <f ca="1">COUNTIFS(EXPEDIENTES!R:R,$AR30,EXPEDIENTES!O:O,"SI",EXPEDIENTES!H:H,"&gt;=16/01/2024",EXPEDIENTES!H:H,"&lt;=31/01/2024")</f>
        <v>9</v>
      </c>
      <c r="AR30" s="197" t="s">
        <v>900</v>
      </c>
      <c r="AU30" s="188"/>
      <c r="AW30" s="187"/>
      <c r="AX30" s="187"/>
    </row>
    <row r="31" spans="2:55" ht="30" customHeight="1">
      <c r="M31" s="277" t="e">
        <v>#VALUE!</v>
      </c>
      <c r="N31" s="276" t="e">
        <f>M31/M35</f>
        <v>#VALUE!</v>
      </c>
      <c r="O31" s="278" t="s">
        <v>1319</v>
      </c>
      <c r="AK31" s="277" t="e">
        <v>#VALUE!</v>
      </c>
      <c r="AL31" s="276" t="e">
        <f>AK31/AK35</f>
        <v>#VALUE!</v>
      </c>
      <c r="AM31" s="278" t="s">
        <v>1319</v>
      </c>
      <c r="AQ31" s="196">
        <f ca="1">COUNTIFS(EXPEDIENTES!R:R,$AR31,EXPEDIENTES!O:O,"SI",EXPEDIENTES!H:H,"&gt;=16/01/2024",EXPEDIENTES!H:H,"&lt;=31/01/2024")</f>
        <v>6</v>
      </c>
      <c r="AR31" s="197" t="s">
        <v>947</v>
      </c>
      <c r="AU31" s="188"/>
      <c r="AW31" s="187"/>
      <c r="AX31" s="187"/>
    </row>
    <row r="32" spans="2:55" ht="30" customHeight="1">
      <c r="M32" s="277" t="e">
        <v>#VALUE!</v>
      </c>
      <c r="N32" s="276" t="e">
        <f>M32/M35</f>
        <v>#VALUE!</v>
      </c>
      <c r="O32" s="278" t="s">
        <v>900</v>
      </c>
      <c r="AK32" s="277" t="e">
        <v>#VALUE!</v>
      </c>
      <c r="AL32" s="276" t="e">
        <f>AK32/AK35</f>
        <v>#VALUE!</v>
      </c>
      <c r="AM32" s="278" t="s">
        <v>900</v>
      </c>
      <c r="AQ32" s="196">
        <f ca="1">COUNTIFS(EXPEDIENTES!R:R,$AR32,EXPEDIENTES!O:O,"SI",EXPEDIENTES!H:H,"&gt;=16/01/2024",EXPEDIENTES!H:H,"&lt;=31/01/2024")</f>
        <v>4</v>
      </c>
      <c r="AR32" s="197" t="s">
        <v>911</v>
      </c>
      <c r="AU32" s="188"/>
      <c r="AW32" s="187"/>
      <c r="AX32" s="187"/>
    </row>
    <row r="33" spans="1:53" ht="30" customHeight="1">
      <c r="M33" s="280" t="e">
        <v>#VALUE!</v>
      </c>
      <c r="N33" s="276" t="e">
        <f>M33/M35</f>
        <v>#VALUE!</v>
      </c>
      <c r="O33" s="278" t="s">
        <v>1320</v>
      </c>
      <c r="AK33" s="280" t="e">
        <v>#VALUE!</v>
      </c>
      <c r="AL33" s="276" t="e">
        <f>AK33/AK35</f>
        <v>#VALUE!</v>
      </c>
      <c r="AM33" s="278" t="s">
        <v>1320</v>
      </c>
      <c r="AQ33" s="196">
        <f ca="1">COUNTIFS(EXPEDIENTES!R:R,$AR33,EXPEDIENTES!O:O,"SI",EXPEDIENTES!H:H,"&gt;=16/01/2024",EXPEDIENTES!H:H,"&lt;=31/01/2024")</f>
        <v>4</v>
      </c>
      <c r="AR33" s="198" t="s">
        <v>907</v>
      </c>
      <c r="AU33" s="188"/>
      <c r="AW33" s="187"/>
      <c r="AX33" s="187"/>
    </row>
    <row r="34" spans="1:53" ht="30" customHeight="1">
      <c r="M34" s="277" t="e">
        <v>#VALUE!</v>
      </c>
      <c r="N34" s="276" t="e">
        <f>M34/M35</f>
        <v>#VALUE!</v>
      </c>
      <c r="O34" s="278" t="s">
        <v>947</v>
      </c>
      <c r="AK34" s="277" t="e">
        <v>#VALUE!</v>
      </c>
      <c r="AL34" s="276" t="e">
        <f>AK34/AK35</f>
        <v>#VALUE!</v>
      </c>
      <c r="AM34" s="278" t="s">
        <v>947</v>
      </c>
      <c r="AQ34" s="195">
        <f ca="1">SUM(AQ28:AQ33)</f>
        <v>98</v>
      </c>
      <c r="AR34" s="195" t="s">
        <v>370</v>
      </c>
      <c r="AU34" s="188"/>
      <c r="AW34" s="187"/>
      <c r="AX34" s="187"/>
    </row>
    <row r="35" spans="1:53" ht="30" customHeight="1">
      <c r="M35" s="274" t="e">
        <f>SUM(M29:M34)</f>
        <v>#VALUE!</v>
      </c>
      <c r="N35" s="273" t="e">
        <f>SUM(N29:N34)</f>
        <v>#VALUE!</v>
      </c>
      <c r="O35" s="272" t="s">
        <v>370</v>
      </c>
      <c r="AK35" s="274" t="e">
        <f>SUM(AK29:AK34)</f>
        <v>#VALUE!</v>
      </c>
      <c r="AL35" s="273" t="e">
        <f>SUM(AL29:AL34)</f>
        <v>#VALUE!</v>
      </c>
      <c r="AM35" s="272" t="s">
        <v>370</v>
      </c>
      <c r="AS35" s="184"/>
      <c r="AT35" s="184"/>
      <c r="AU35" s="184"/>
      <c r="AV35" s="184"/>
      <c r="AW35" s="184"/>
      <c r="AX35" s="184"/>
      <c r="AY35" s="184"/>
      <c r="AZ35" s="185"/>
    </row>
    <row r="36" spans="1:53" ht="30" customHeight="1">
      <c r="AS36" s="194"/>
      <c r="AT36" s="194"/>
      <c r="AU36" s="194"/>
      <c r="AV36" s="194"/>
      <c r="AW36" s="194"/>
      <c r="AX36" s="194"/>
      <c r="AY36" s="194"/>
      <c r="AZ36" s="185"/>
    </row>
    <row r="37" spans="1:53" ht="30" customHeight="1">
      <c r="AS37" s="194"/>
      <c r="AT37" s="194"/>
      <c r="AU37" s="194"/>
      <c r="AV37" s="194"/>
      <c r="AW37" s="194"/>
      <c r="AX37" s="194"/>
      <c r="AY37" s="194"/>
      <c r="AZ37" s="185"/>
    </row>
    <row r="38" spans="1:53" ht="30" customHeight="1">
      <c r="AQ38" s="290"/>
      <c r="AR38" s="290"/>
    </row>
    <row r="39" spans="1:53" ht="30" customHeight="1">
      <c r="AK39" s="283" t="s">
        <v>927</v>
      </c>
      <c r="AL39" s="282" t="s">
        <v>1293</v>
      </c>
      <c r="AM39" s="282" t="s">
        <v>928</v>
      </c>
      <c r="AQ39" s="289"/>
      <c r="AR39" s="289"/>
    </row>
    <row r="40" spans="1:53" ht="30" customHeight="1">
      <c r="AK40" s="277" t="e">
        <v>#VALUE!</v>
      </c>
      <c r="AL40" s="276" t="e">
        <f>AK40/AK51</f>
        <v>#VALUE!</v>
      </c>
      <c r="AM40" s="278" t="s">
        <v>577</v>
      </c>
    </row>
    <row r="41" spans="1:53" ht="30" customHeight="1">
      <c r="AK41" s="277" t="e">
        <v>#VALUE!</v>
      </c>
      <c r="AL41" s="276" t="e">
        <f>AK41/AK51</f>
        <v>#VALUE!</v>
      </c>
      <c r="AM41" s="278" t="s">
        <v>1318</v>
      </c>
    </row>
    <row r="42" spans="1:53" ht="30" customHeight="1">
      <c r="AK42" s="277" t="e">
        <v>#VALUE!</v>
      </c>
      <c r="AL42" s="276" t="e">
        <f>AK42/AK51</f>
        <v>#VALUE!</v>
      </c>
      <c r="AM42" s="278" t="s">
        <v>1319</v>
      </c>
      <c r="AW42" s="221"/>
      <c r="AX42" s="221"/>
      <c r="AY42" s="221"/>
      <c r="AZ42" s="221"/>
    </row>
    <row r="43" spans="1:53" ht="30" customHeight="1">
      <c r="A43" s="285"/>
      <c r="B43" s="285"/>
      <c r="C43" s="285"/>
      <c r="AK43" s="277" t="e">
        <v>#VALUE!</v>
      </c>
      <c r="AL43" s="276" t="e">
        <f>AK43/AK51</f>
        <v>#VALUE!</v>
      </c>
      <c r="AM43" s="278" t="s">
        <v>900</v>
      </c>
      <c r="AQ43" s="221"/>
      <c r="AR43" s="221"/>
      <c r="AS43" s="221"/>
      <c r="AW43" s="222"/>
      <c r="AX43" s="222"/>
      <c r="AY43" s="222"/>
      <c r="AZ43" s="222"/>
    </row>
    <row r="44" spans="1:53" ht="30" customHeight="1">
      <c r="A44" s="283" t="s">
        <v>927</v>
      </c>
      <c r="B44" s="283" t="s">
        <v>1293</v>
      </c>
      <c r="C44" s="269" t="s">
        <v>935</v>
      </c>
      <c r="AQ44" s="222"/>
      <c r="AR44" s="222"/>
      <c r="AS44" s="222"/>
    </row>
    <row r="45" spans="1:53" ht="30" customHeight="1">
      <c r="A45" s="277" t="e">
        <v>#VALUE!</v>
      </c>
      <c r="B45" s="276" t="e">
        <f>A45/A53</f>
        <v>#VALUE!</v>
      </c>
      <c r="C45" s="279" t="s">
        <v>1216</v>
      </c>
      <c r="E45" s="284"/>
      <c r="F45" s="284"/>
      <c r="G45" s="284"/>
    </row>
    <row r="46" spans="1:53" ht="33.75" customHeight="1">
      <c r="A46" s="277" t="e">
        <v>#VALUE!</v>
      </c>
      <c r="B46" s="276" t="e">
        <f>A46/A53</f>
        <v>#VALUE!</v>
      </c>
      <c r="C46" s="275" t="s">
        <v>31</v>
      </c>
      <c r="AQ46" s="787" t="s">
        <v>5664</v>
      </c>
      <c r="AR46" s="787"/>
      <c r="AS46" s="787"/>
      <c r="AT46" s="787"/>
      <c r="AU46" s="787"/>
      <c r="AV46" s="787"/>
      <c r="AW46" s="787"/>
      <c r="AX46" s="787"/>
      <c r="AY46" s="787"/>
      <c r="AZ46" s="787"/>
      <c r="BA46" s="787"/>
    </row>
    <row r="47" spans="1:53" ht="30.75" customHeight="1">
      <c r="A47" s="277" t="e">
        <v>#VALUE!</v>
      </c>
      <c r="B47" s="276" t="e">
        <f>A47/A53</f>
        <v>#VALUE!</v>
      </c>
      <c r="C47" s="275" t="s">
        <v>35</v>
      </c>
    </row>
    <row r="48" spans="1:53" ht="26.25" customHeight="1">
      <c r="A48" s="277" t="e">
        <v>#VALUE!</v>
      </c>
      <c r="B48" s="276" t="e">
        <f>A48/A53</f>
        <v>#VALUE!</v>
      </c>
      <c r="C48" s="281" t="s">
        <v>33</v>
      </c>
      <c r="AQ48" s="195" t="s">
        <v>927</v>
      </c>
      <c r="AR48" s="195" t="s">
        <v>928</v>
      </c>
      <c r="AW48" s="187"/>
      <c r="AX48" s="187"/>
    </row>
    <row r="49" spans="1:52" ht="27.75" customHeight="1">
      <c r="A49" s="277">
        <v>0</v>
      </c>
      <c r="B49" s="276" t="e">
        <f>A49/A53</f>
        <v>#VALUE!</v>
      </c>
      <c r="C49" s="279" t="s">
        <v>1982</v>
      </c>
      <c r="AK49" s="280" t="e">
        <v>#VALUE!</v>
      </c>
      <c r="AL49" s="276" t="e">
        <f>AK49/AK51</f>
        <v>#VALUE!</v>
      </c>
      <c r="AM49" s="278" t="s">
        <v>1320</v>
      </c>
      <c r="AQ49" s="196">
        <f ca="1">COUNTIFS(EXPEDIENTES!R:R,$AR49,EXPEDIENTES!O:O,"SI",EXPEDIENTES!H:H,"&gt;=01/01/2024",EXPEDIENTES!H:H,"&lt;=31/01/2024")</f>
        <v>81</v>
      </c>
      <c r="AR49" s="197" t="s">
        <v>100</v>
      </c>
      <c r="AU49" s="188"/>
      <c r="AW49" s="187"/>
      <c r="AX49" s="187"/>
    </row>
    <row r="50" spans="1:52" ht="26.25" customHeight="1">
      <c r="A50" s="277" t="e">
        <v>#VALUE!</v>
      </c>
      <c r="B50" s="276" t="e">
        <f>A50/A53</f>
        <v>#VALUE!</v>
      </c>
      <c r="C50" s="279" t="s">
        <v>1221</v>
      </c>
      <c r="M50" s="185" t="s">
        <v>1316</v>
      </c>
      <c r="N50" s="185" t="s">
        <v>1325</v>
      </c>
      <c r="AK50" s="277" t="e">
        <v>#VALUE!</v>
      </c>
      <c r="AL50" s="276" t="e">
        <f>AK50/AK51</f>
        <v>#VALUE!</v>
      </c>
      <c r="AM50" s="278" t="s">
        <v>947</v>
      </c>
      <c r="AQ50" s="196">
        <f ca="1">COUNTIFS(EXPEDIENTES!R:R,$AR50,EXPEDIENTES!O:O,"SI",EXPEDIENTES!H:H,"&gt;=01/01/2024",EXPEDIENTES!H:H,"&lt;=31/01/2024")</f>
        <v>64</v>
      </c>
      <c r="AR50" s="197" t="s">
        <v>151</v>
      </c>
      <c r="AU50" s="188"/>
      <c r="AW50" s="187"/>
      <c r="AX50" s="187"/>
    </row>
    <row r="51" spans="1:52" ht="34.5" customHeight="1">
      <c r="A51" s="277" t="e">
        <v>#VALUE!</v>
      </c>
      <c r="B51" s="276" t="e">
        <f>A51/A53</f>
        <v>#VALUE!</v>
      </c>
      <c r="C51" s="279" t="s">
        <v>1217</v>
      </c>
      <c r="M51" s="283" t="s">
        <v>927</v>
      </c>
      <c r="N51" s="282" t="s">
        <v>1293</v>
      </c>
      <c r="O51" s="282" t="s">
        <v>928</v>
      </c>
      <c r="AK51" s="274" t="e">
        <f>SUM(AK40:AK50)</f>
        <v>#VALUE!</v>
      </c>
      <c r="AL51" s="273" t="e">
        <f>SUM(AL40:AL50)</f>
        <v>#VALUE!</v>
      </c>
      <c r="AM51" s="272" t="s">
        <v>370</v>
      </c>
      <c r="AQ51" s="196">
        <f ca="1">COUNTIFS(EXPEDIENTES!R:R,$AR51,EXPEDIENTES!O:O,"SI",EXPEDIENTES!H:H,"&gt;=01/01/2024",EXPEDIENTES!H:H,"&lt;=31/01/2024")</f>
        <v>21</v>
      </c>
      <c r="AR51" s="197" t="s">
        <v>900</v>
      </c>
      <c r="AU51" s="188"/>
      <c r="AW51" s="187"/>
      <c r="AX51" s="187"/>
    </row>
    <row r="52" spans="1:52" ht="35.1" customHeight="1">
      <c r="A52" s="277" t="e">
        <v>#VALUE!</v>
      </c>
      <c r="B52" s="276" t="e">
        <f>A52/A53</f>
        <v>#VALUE!</v>
      </c>
      <c r="C52" s="275" t="s">
        <v>78</v>
      </c>
      <c r="M52" s="277" t="e">
        <v>#VALUE!</v>
      </c>
      <c r="N52" s="276" t="e">
        <f>M52/M58</f>
        <v>#VALUE!</v>
      </c>
      <c r="O52" s="278" t="s">
        <v>577</v>
      </c>
      <c r="AQ52" s="196">
        <f ca="1">COUNTIFS(EXPEDIENTES!R:R,$AR52,EXPEDIENTES!O:O,"SI",EXPEDIENTES!H:H,"&gt;=01/01/2024",EXPEDIENTES!H:H,"&lt;=31/01/2024")</f>
        <v>12</v>
      </c>
      <c r="AR52" s="197" t="s">
        <v>947</v>
      </c>
      <c r="AU52" s="188"/>
      <c r="AW52" s="187"/>
      <c r="AX52" s="187"/>
    </row>
    <row r="53" spans="1:52" ht="30" customHeight="1">
      <c r="A53" s="271" t="e">
        <f>SUM(A46:A52)</f>
        <v>#VALUE!</v>
      </c>
      <c r="B53" s="270" t="e">
        <f>SUM(B46:B52)</f>
        <v>#VALUE!</v>
      </c>
      <c r="C53" s="269" t="s">
        <v>934</v>
      </c>
      <c r="M53" s="277" t="e">
        <v>#VALUE!</v>
      </c>
      <c r="N53" s="276" t="e">
        <f>M53/M58</f>
        <v>#VALUE!</v>
      </c>
      <c r="O53" s="278" t="s">
        <v>1318</v>
      </c>
      <c r="AK53" s="185" t="s">
        <v>382</v>
      </c>
      <c r="AL53" s="185" t="s">
        <v>78</v>
      </c>
      <c r="AQ53" s="196">
        <f ca="1">COUNTIFS(EXPEDIENTES!R:R,$AR53,EXPEDIENTES!O:O,"SI",EXPEDIENTES!H:H,"&gt;=01/01/2024",EXPEDIENTES!H:H,"&lt;=31/01/2024")</f>
        <v>6</v>
      </c>
      <c r="AR53" s="197" t="s">
        <v>911</v>
      </c>
      <c r="AU53" s="188"/>
      <c r="AW53" s="187"/>
      <c r="AX53" s="187"/>
    </row>
    <row r="54" spans="1:52" ht="24.9" customHeight="1">
      <c r="M54" s="277" t="e">
        <v>#VALUE!</v>
      </c>
      <c r="N54" s="276" t="e">
        <f>M54/M58</f>
        <v>#VALUE!</v>
      </c>
      <c r="O54" s="278" t="s">
        <v>1319</v>
      </c>
      <c r="AK54" s="283" t="s">
        <v>927</v>
      </c>
      <c r="AL54" s="282" t="s">
        <v>1293</v>
      </c>
      <c r="AM54" s="282" t="s">
        <v>928</v>
      </c>
      <c r="AQ54" s="196">
        <f ca="1">COUNTIFS(EXPEDIENTES!R:R,$AR54,EXPEDIENTES!O:O,"SI",EXPEDIENTES!H:H,"&gt;=01/01/2024",EXPEDIENTES!H:H,"&lt;=31/01/2024")</f>
        <v>5</v>
      </c>
      <c r="AR54" s="198" t="s">
        <v>907</v>
      </c>
      <c r="AU54" s="188"/>
      <c r="AW54" s="187"/>
      <c r="AX54" s="187"/>
    </row>
    <row r="55" spans="1:52" ht="24.9" customHeight="1">
      <c r="M55" s="277" t="e">
        <v>#VALUE!</v>
      </c>
      <c r="N55" s="276" t="e">
        <f>M55/M58</f>
        <v>#VALUE!</v>
      </c>
      <c r="O55" s="278" t="s">
        <v>900</v>
      </c>
      <c r="AK55" s="277" t="e">
        <v>#VALUE!</v>
      </c>
      <c r="AL55" s="276" t="e">
        <f>AK55/AK61</f>
        <v>#VALUE!</v>
      </c>
      <c r="AM55" s="278" t="s">
        <v>577</v>
      </c>
      <c r="AQ55" s="196">
        <f ca="1">COUNTIFS(EXPEDIENTES!R:R,$AR55,EXPEDIENTES!O:O,"SI",EXPEDIENTES!H:H,"&gt;=01/01/2024",EXPEDIENTES!H:H,"&lt;=31/01/2024")</f>
        <v>1</v>
      </c>
      <c r="AR55" s="352" t="s">
        <v>1892</v>
      </c>
      <c r="AU55" s="188"/>
      <c r="AW55" s="187"/>
      <c r="AX55" s="187"/>
    </row>
    <row r="56" spans="1:52" ht="24.9" customHeight="1">
      <c r="M56" s="280" t="e">
        <v>#VALUE!</v>
      </c>
      <c r="N56" s="276" t="e">
        <f>M56/M58</f>
        <v>#VALUE!</v>
      </c>
      <c r="O56" s="278" t="s">
        <v>1320</v>
      </c>
      <c r="AK56" s="277" t="e">
        <v>#VALUE!</v>
      </c>
      <c r="AL56" s="276" t="e">
        <f>AK56/AK61</f>
        <v>#VALUE!</v>
      </c>
      <c r="AM56" s="278" t="s">
        <v>1318</v>
      </c>
      <c r="AQ56" s="195">
        <f ca="1">SUM(AQ49:AQ55)</f>
        <v>190</v>
      </c>
      <c r="AR56" s="195" t="s">
        <v>370</v>
      </c>
      <c r="AS56" s="184"/>
      <c r="AT56" s="184"/>
      <c r="AU56" s="184"/>
      <c r="AV56" s="184"/>
      <c r="AW56" s="184"/>
      <c r="AX56" s="184"/>
      <c r="AY56" s="184"/>
      <c r="AZ56" s="185"/>
    </row>
    <row r="57" spans="1:52" ht="24.9" customHeight="1">
      <c r="M57" s="277" t="e">
        <v>#VALUE!</v>
      </c>
      <c r="N57" s="276" t="e">
        <f>M57/M58</f>
        <v>#VALUE!</v>
      </c>
      <c r="O57" s="278" t="s">
        <v>947</v>
      </c>
      <c r="AK57" s="277" t="e">
        <v>#VALUE!</v>
      </c>
      <c r="AL57" s="276" t="e">
        <f>AK57/AK61</f>
        <v>#VALUE!</v>
      </c>
      <c r="AM57" s="278" t="s">
        <v>1319</v>
      </c>
      <c r="AS57" s="194"/>
      <c r="AT57" s="194"/>
      <c r="AU57" s="194"/>
      <c r="AV57" s="194"/>
      <c r="AW57" s="194"/>
      <c r="AX57" s="194"/>
      <c r="AY57" s="194"/>
      <c r="AZ57" s="185"/>
    </row>
    <row r="58" spans="1:52" ht="24.9" customHeight="1">
      <c r="M58" s="274" t="e">
        <f>SUM(M52:M57)</f>
        <v>#VALUE!</v>
      </c>
      <c r="N58" s="273" t="e">
        <f>SUM(N52:N57)</f>
        <v>#VALUE!</v>
      </c>
      <c r="O58" s="272" t="s">
        <v>370</v>
      </c>
      <c r="AK58" s="277" t="e">
        <v>#VALUE!</v>
      </c>
      <c r="AL58" s="276" t="e">
        <f>AK58/AK61</f>
        <v>#VALUE!</v>
      </c>
      <c r="AM58" s="278" t="s">
        <v>900</v>
      </c>
      <c r="AS58" s="194"/>
      <c r="AT58" s="194"/>
      <c r="AU58" s="194"/>
      <c r="AV58" s="194"/>
      <c r="AW58" s="194"/>
      <c r="AX58" s="194"/>
      <c r="AY58" s="194"/>
      <c r="AZ58" s="185"/>
    </row>
    <row r="59" spans="1:52" ht="24.9" customHeight="1">
      <c r="AK59" s="280" t="e">
        <v>#VALUE!</v>
      </c>
      <c r="AL59" s="276" t="e">
        <f>AK59/AK61</f>
        <v>#VALUE!</v>
      </c>
      <c r="AM59" s="278" t="s">
        <v>1320</v>
      </c>
      <c r="AW59" s="187"/>
      <c r="AX59" s="187"/>
      <c r="AZ59" s="190"/>
    </row>
    <row r="60" spans="1:52" ht="24.9" customHeight="1">
      <c r="AK60" s="277" t="e">
        <v>#VALUE!</v>
      </c>
      <c r="AL60" s="276" t="e">
        <f>AK60/AK61</f>
        <v>#VALUE!</v>
      </c>
      <c r="AM60" s="278" t="s">
        <v>947</v>
      </c>
      <c r="AS60" s="191"/>
      <c r="AX60" s="187"/>
      <c r="AY60" s="187"/>
    </row>
    <row r="61" spans="1:52" ht="24.9" customHeight="1">
      <c r="AK61" s="274" t="e">
        <f>SUM(AK55:AK60)</f>
        <v>#VALUE!</v>
      </c>
      <c r="AL61" s="273" t="e">
        <f>SUM(AL55:AL60)</f>
        <v>#VALUE!</v>
      </c>
      <c r="AM61" s="272" t="s">
        <v>370</v>
      </c>
    </row>
    <row r="62" spans="1:52" ht="24.9" customHeight="1"/>
    <row r="63" spans="1:52" ht="24.9" customHeight="1"/>
    <row r="64" spans="1:52" ht="24.9" customHeight="1"/>
    <row r="67" spans="1:53" ht="28.35" customHeight="1">
      <c r="A67" s="186"/>
      <c r="H67" s="186"/>
      <c r="I67" s="186"/>
      <c r="K67" s="185"/>
    </row>
    <row r="68" spans="1:53" ht="28.35" customHeight="1">
      <c r="AQ68" s="787" t="s">
        <v>5672</v>
      </c>
      <c r="AR68" s="787"/>
      <c r="AS68" s="787"/>
      <c r="AT68" s="787"/>
      <c r="AU68" s="787"/>
      <c r="AV68" s="787"/>
      <c r="AW68" s="787"/>
      <c r="AX68" s="787"/>
      <c r="AY68" s="787"/>
      <c r="AZ68" s="787"/>
      <c r="BA68" s="787"/>
    </row>
    <row r="69" spans="1:53" ht="28.35" customHeight="1"/>
    <row r="70" spans="1:53" ht="28.35" customHeight="1">
      <c r="AQ70" s="195" t="s">
        <v>927</v>
      </c>
      <c r="AR70" s="195" t="s">
        <v>928</v>
      </c>
      <c r="AW70" s="187"/>
      <c r="AX70" s="187"/>
    </row>
    <row r="71" spans="1:53" ht="28.35" customHeight="1">
      <c r="AQ71" s="196">
        <f ca="1">COUNTIFS(EXPEDIENTES!Q:Q,$AR71,EXPEDIENTES!O:O,"SI",EXPEDIENTES!H:H,"&gt;=01/01/2024",EXPEDIENTES!H:H,"&lt;=31/01/2024")</f>
        <v>4</v>
      </c>
      <c r="AR71" s="197" t="s">
        <v>910</v>
      </c>
      <c r="AU71" s="188"/>
      <c r="AW71" s="187"/>
      <c r="AX71" s="187"/>
    </row>
    <row r="72" spans="1:53" ht="28.35" customHeight="1">
      <c r="AQ72" s="196">
        <f ca="1">COUNTIFS(EXPEDIENTES!Q:Q,$AR72,EXPEDIENTES!O:O,"SI",EXPEDIENTES!H:H,"&gt;=01/01/2024",EXPEDIENTES!H:H,"&lt;=31/01/2024")</f>
        <v>6</v>
      </c>
      <c r="AR72" s="197" t="s">
        <v>909</v>
      </c>
      <c r="AU72" s="188"/>
      <c r="AW72" s="187"/>
      <c r="AX72" s="187"/>
    </row>
    <row r="73" spans="1:53" ht="34.200000000000003" customHeight="1">
      <c r="AQ73" s="196">
        <f ca="1">COUNTIFS(EXPEDIENTES!Q:Q,$AR73,EXPEDIENTES!O:O,"SI",EXPEDIENTES!H:H,"&gt;=01/01/2024",EXPEDIENTES!H:H,"&lt;=31/01/2024")</f>
        <v>2</v>
      </c>
      <c r="AR73" s="197" t="s">
        <v>1010</v>
      </c>
      <c r="AU73" s="188"/>
      <c r="AW73" s="187"/>
      <c r="AX73" s="187"/>
    </row>
    <row r="74" spans="1:53" ht="28.35" customHeight="1">
      <c r="AQ74" s="195">
        <f ca="1">SUM(AQ71:AQ73)</f>
        <v>12</v>
      </c>
      <c r="AR74" s="195" t="s">
        <v>370</v>
      </c>
      <c r="AU74" s="188"/>
      <c r="AW74" s="187"/>
      <c r="AX74" s="187"/>
    </row>
    <row r="75" spans="1:53" ht="28.35" customHeight="1">
      <c r="AU75" s="188"/>
      <c r="AW75" s="187"/>
      <c r="AX75" s="187"/>
    </row>
    <row r="76" spans="1:53" ht="28.35" customHeight="1">
      <c r="M76" s="185" t="s">
        <v>1316</v>
      </c>
      <c r="N76" s="185" t="s">
        <v>1326</v>
      </c>
      <c r="AU76" s="188"/>
      <c r="AW76" s="187"/>
      <c r="AX76" s="187"/>
    </row>
    <row r="77" spans="1:53" ht="28.35" customHeight="1">
      <c r="M77" s="283" t="s">
        <v>927</v>
      </c>
      <c r="N77" s="282" t="s">
        <v>1293</v>
      </c>
      <c r="O77" s="282" t="s">
        <v>928</v>
      </c>
      <c r="AU77" s="188"/>
      <c r="AW77" s="187"/>
      <c r="AX77" s="187"/>
    </row>
    <row r="78" spans="1:53" ht="28.35" customHeight="1">
      <c r="M78" s="277" t="e">
        <v>#VALUE!</v>
      </c>
      <c r="N78" s="276" t="e">
        <f>M78/M84</f>
        <v>#VALUE!</v>
      </c>
      <c r="O78" s="278" t="s">
        <v>577</v>
      </c>
      <c r="AS78" s="184"/>
      <c r="AT78" s="184"/>
      <c r="AU78" s="184"/>
      <c r="AV78" s="184"/>
      <c r="AW78" s="184"/>
      <c r="AX78" s="184"/>
      <c r="AY78" s="184"/>
      <c r="AZ78" s="185"/>
    </row>
    <row r="79" spans="1:53" ht="28.35" customHeight="1">
      <c r="M79" s="277" t="e">
        <v>#VALUE!</v>
      </c>
      <c r="N79" s="276" t="e">
        <f>M79/M84</f>
        <v>#VALUE!</v>
      </c>
      <c r="O79" s="278" t="s">
        <v>1318</v>
      </c>
      <c r="AS79" s="194"/>
      <c r="AT79" s="194"/>
      <c r="AU79" s="194"/>
      <c r="AV79" s="194"/>
      <c r="AW79" s="194"/>
      <c r="AX79" s="194"/>
      <c r="AY79" s="194"/>
      <c r="AZ79" s="185"/>
    </row>
    <row r="80" spans="1:53" ht="28.35" customHeight="1">
      <c r="M80" s="277" t="e">
        <v>#VALUE!</v>
      </c>
      <c r="N80" s="276" t="e">
        <f>M80/M84</f>
        <v>#VALUE!</v>
      </c>
      <c r="O80" s="278" t="s">
        <v>1319</v>
      </c>
      <c r="AS80" s="194"/>
      <c r="AT80" s="194"/>
      <c r="AU80" s="194"/>
      <c r="AV80" s="194"/>
      <c r="AW80" s="194"/>
      <c r="AX80" s="194"/>
      <c r="AY80" s="194"/>
      <c r="AZ80" s="185"/>
    </row>
    <row r="81" spans="13:52" ht="28.35" customHeight="1">
      <c r="M81" s="277" t="e">
        <v>#VALUE!</v>
      </c>
      <c r="N81" s="276" t="e">
        <f>M81/M84</f>
        <v>#VALUE!</v>
      </c>
      <c r="O81" s="278" t="s">
        <v>900</v>
      </c>
      <c r="AW81" s="187"/>
      <c r="AX81" s="187"/>
      <c r="AZ81" s="190"/>
    </row>
    <row r="82" spans="13:52" ht="18" customHeight="1">
      <c r="M82" s="280" t="e">
        <v>#VALUE!</v>
      </c>
      <c r="N82" s="276" t="e">
        <f>M82/M84</f>
        <v>#VALUE!</v>
      </c>
      <c r="O82" s="278" t="s">
        <v>1320</v>
      </c>
      <c r="AS82" s="191"/>
      <c r="AX82" s="187"/>
      <c r="AY82" s="187"/>
    </row>
    <row r="83" spans="13:52" ht="21" customHeight="1">
      <c r="M83" s="277" t="e">
        <v>#VALUE!</v>
      </c>
      <c r="N83" s="276" t="e">
        <f>M83/M84</f>
        <v>#VALUE!</v>
      </c>
      <c r="O83" s="278" t="s">
        <v>947</v>
      </c>
    </row>
    <row r="84" spans="13:52" ht="22.5" customHeight="1">
      <c r="M84" s="274" t="e">
        <f>SUM(M78:M83)</f>
        <v>#VALUE!</v>
      </c>
      <c r="N84" s="273" t="e">
        <f>SUM(N78:N83)</f>
        <v>#VALUE!</v>
      </c>
      <c r="O84" s="272" t="s">
        <v>370</v>
      </c>
    </row>
    <row r="85" spans="13:52" ht="23.25" customHeight="1"/>
    <row r="86" spans="13:52" ht="21" customHeight="1"/>
    <row r="103" spans="13:15" ht="27.75" customHeight="1">
      <c r="M103" s="185" t="s">
        <v>1316</v>
      </c>
      <c r="N103" s="185" t="s">
        <v>1983</v>
      </c>
    </row>
    <row r="104" spans="13:15" ht="27" customHeight="1">
      <c r="M104" s="283" t="s">
        <v>927</v>
      </c>
      <c r="N104" s="282" t="s">
        <v>1293</v>
      </c>
      <c r="O104" s="282" t="s">
        <v>928</v>
      </c>
    </row>
    <row r="105" spans="13:15" ht="23.25" customHeight="1">
      <c r="M105" s="277" t="e">
        <v>#VALUE!</v>
      </c>
      <c r="N105" s="276" t="e">
        <f>M105/M111</f>
        <v>#VALUE!</v>
      </c>
      <c r="O105" s="278" t="s">
        <v>577</v>
      </c>
    </row>
    <row r="106" spans="13:15" ht="24" customHeight="1">
      <c r="M106" s="277" t="e">
        <v>#VALUE!</v>
      </c>
      <c r="N106" s="276" t="e">
        <f>M106/M111</f>
        <v>#VALUE!</v>
      </c>
      <c r="O106" s="278" t="s">
        <v>1318</v>
      </c>
    </row>
    <row r="107" spans="13:15" ht="24" customHeight="1">
      <c r="M107" s="277" t="e">
        <v>#VALUE!</v>
      </c>
      <c r="N107" s="276" t="e">
        <f>M107/M111</f>
        <v>#VALUE!</v>
      </c>
      <c r="O107" s="278" t="s">
        <v>1319</v>
      </c>
    </row>
    <row r="108" spans="13:15" ht="24.75" customHeight="1">
      <c r="M108" s="277" t="e">
        <v>#VALUE!</v>
      </c>
      <c r="N108" s="276" t="e">
        <f>M108/M111</f>
        <v>#VALUE!</v>
      </c>
      <c r="O108" s="278" t="s">
        <v>900</v>
      </c>
    </row>
    <row r="109" spans="13:15" ht="24.75" customHeight="1">
      <c r="M109" s="280" t="e">
        <v>#VALUE!</v>
      </c>
      <c r="N109" s="276" t="e">
        <f>M109/M111</f>
        <v>#VALUE!</v>
      </c>
      <c r="O109" s="278" t="s">
        <v>1320</v>
      </c>
    </row>
    <row r="110" spans="13:15" ht="19.5" customHeight="1">
      <c r="M110" s="277" t="e">
        <v>#VALUE!</v>
      </c>
      <c r="N110" s="276" t="e">
        <f>M110/M111</f>
        <v>#VALUE!</v>
      </c>
      <c r="O110" s="278" t="s">
        <v>947</v>
      </c>
    </row>
    <row r="111" spans="13:15" ht="23.25" customHeight="1">
      <c r="M111" s="274" t="e">
        <f>SUM(M105:M110)</f>
        <v>#VALUE!</v>
      </c>
      <c r="N111" s="273" t="e">
        <f>SUM(N105:N110)</f>
        <v>#VALUE!</v>
      </c>
      <c r="O111" s="272" t="s">
        <v>370</v>
      </c>
    </row>
    <row r="112" spans="13:15" ht="24.75" customHeight="1"/>
  </sheetData>
  <mergeCells count="7">
    <mergeCell ref="AQ46:BA46"/>
    <mergeCell ref="AQ68:BA68"/>
    <mergeCell ref="A1:J1"/>
    <mergeCell ref="AQ1:BA1"/>
    <mergeCell ref="AQ3:BA3"/>
    <mergeCell ref="AI3:AJ3"/>
    <mergeCell ref="AQ25:BA25"/>
  </mergeCells>
  <pageMargins left="0.19685039370078741" right="0.19685039370078741" top="0.19685039370078741" bottom="0.19685039370078741" header="0.11811023622047245" footer="0.11811023622047245"/>
  <pageSetup paperSize="5" orientation="landscape" r:id="rId1"/>
  <drawing r:id="rId2"/>
</worksheet>
</file>

<file path=xl/worksheets/sheet27.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ColWidth="11.44140625" defaultRowHeight="13.2"/>
  <cols>
    <col min="1" max="1" width="12.88671875" style="174" customWidth="1"/>
    <col min="2" max="2" width="7.5546875" style="174" customWidth="1"/>
    <col min="3" max="3" width="15.6640625" style="171" customWidth="1"/>
    <col min="4" max="4" width="65.6640625" style="171" customWidth="1"/>
    <col min="5" max="5" width="10.6640625" style="171" bestFit="1" customWidth="1"/>
    <col min="6" max="6" width="12.44140625" style="171" bestFit="1" customWidth="1"/>
    <col min="7" max="7" width="12.33203125" style="171" bestFit="1" customWidth="1"/>
    <col min="8" max="8" width="11.6640625" style="171" bestFit="1" customWidth="1"/>
    <col min="9" max="9" width="17.5546875" style="171" bestFit="1" customWidth="1"/>
    <col min="10" max="10" width="12.44140625" style="171" bestFit="1" customWidth="1"/>
    <col min="11" max="12" width="35.6640625" style="171" customWidth="1"/>
    <col min="13" max="16384" width="11.44140625" style="171"/>
  </cols>
  <sheetData>
    <row r="1" spans="1:13" ht="39.6">
      <c r="A1" s="170" t="s">
        <v>1734</v>
      </c>
      <c r="B1" s="162" t="s">
        <v>1735</v>
      </c>
      <c r="C1" s="162" t="s">
        <v>1</v>
      </c>
      <c r="D1" s="162" t="s">
        <v>2</v>
      </c>
      <c r="E1" s="162" t="s">
        <v>662</v>
      </c>
      <c r="F1" s="162" t="s">
        <v>917</v>
      </c>
      <c r="G1" s="163" t="s">
        <v>0</v>
      </c>
      <c r="H1" s="162" t="s">
        <v>18</v>
      </c>
      <c r="I1" s="162" t="s">
        <v>30</v>
      </c>
      <c r="J1" s="162" t="s">
        <v>89</v>
      </c>
      <c r="K1" s="162" t="s">
        <v>79</v>
      </c>
      <c r="L1" s="162" t="s">
        <v>80</v>
      </c>
    </row>
    <row r="2" spans="1:13" ht="30" customHeight="1">
      <c r="A2" s="172" t="str">
        <f>CONCATENATE(TEXT($G2,"dd/mm/yyyy"),$B2)</f>
        <v>17/02/20231</v>
      </c>
      <c r="B2" s="164">
        <v>1</v>
      </c>
      <c r="C2" s="7" t="s">
        <v>101</v>
      </c>
      <c r="D2" s="40" t="s">
        <v>104</v>
      </c>
      <c r="E2" s="7">
        <v>3</v>
      </c>
      <c r="F2" s="7" t="s">
        <v>1433</v>
      </c>
      <c r="G2" s="19">
        <v>44974</v>
      </c>
      <c r="H2" s="7" t="s">
        <v>73</v>
      </c>
      <c r="I2" s="19" t="s">
        <v>33</v>
      </c>
      <c r="J2" s="7">
        <f>IFERROR(VLOOKUP(I2,Jueces!$A$1:$B$11,2,FALSE),"")</f>
        <v>4</v>
      </c>
      <c r="K2" s="7" t="s">
        <v>102</v>
      </c>
      <c r="L2" s="7" t="s">
        <v>103</v>
      </c>
      <c r="M2" s="165"/>
    </row>
    <row r="3" spans="1:13" ht="30" customHeight="1">
      <c r="A3" s="172" t="str">
        <f t="shared" ref="A3:A66" si="0">CONCATENATE(TEXT($G3,"dd/mm/yyyy"),$B3)</f>
        <v>27/02/20231</v>
      </c>
      <c r="B3" s="166">
        <f>IF($G3=$G2,$B2+1,1)</f>
        <v>1</v>
      </c>
      <c r="C3" s="7" t="s">
        <v>14</v>
      </c>
      <c r="D3" s="40" t="s">
        <v>15</v>
      </c>
      <c r="E3" s="7">
        <v>3</v>
      </c>
      <c r="F3" s="7" t="s">
        <v>283</v>
      </c>
      <c r="G3" s="19">
        <v>44984</v>
      </c>
      <c r="H3" s="7" t="s">
        <v>73</v>
      </c>
      <c r="I3" s="19" t="s">
        <v>33</v>
      </c>
      <c r="J3" s="7">
        <f>IFERROR(VLOOKUP(I3,Jueces!$A$1:$B$11,2,FALSE),"")</f>
        <v>4</v>
      </c>
      <c r="K3" s="7" t="s">
        <v>82</v>
      </c>
      <c r="L3" s="7" t="s">
        <v>83</v>
      </c>
      <c r="M3" s="165"/>
    </row>
    <row r="4" spans="1:13" ht="30" customHeight="1">
      <c r="A4" s="172" t="str">
        <f t="shared" si="0"/>
        <v>27/02/20232</v>
      </c>
      <c r="B4" s="166">
        <f t="shared" ref="B4:B67" si="1">IF($G4=$G3,$B3+1,1)</f>
        <v>2</v>
      </c>
      <c r="C4" s="7" t="s">
        <v>10</v>
      </c>
      <c r="D4" s="40" t="s">
        <v>11</v>
      </c>
      <c r="E4" s="7">
        <v>3</v>
      </c>
      <c r="F4" s="7" t="s">
        <v>29</v>
      </c>
      <c r="G4" s="19">
        <v>44984</v>
      </c>
      <c r="H4" s="7" t="s">
        <v>76</v>
      </c>
      <c r="I4" s="19" t="s">
        <v>33</v>
      </c>
      <c r="J4" s="7">
        <f>IFERROR(VLOOKUP(I4,Jueces!$A$1:$B$11,2,FALSE),"")</f>
        <v>4</v>
      </c>
      <c r="K4" s="7" t="s">
        <v>95</v>
      </c>
      <c r="L4" s="7" t="s">
        <v>81</v>
      </c>
      <c r="M4" s="165"/>
    </row>
    <row r="5" spans="1:13" ht="30" customHeight="1">
      <c r="A5" s="172" t="str">
        <f t="shared" si="0"/>
        <v>28/02/20231</v>
      </c>
      <c r="B5" s="166">
        <f t="shared" si="1"/>
        <v>1</v>
      </c>
      <c r="C5" s="7" t="s">
        <v>7</v>
      </c>
      <c r="D5" s="40" t="s">
        <v>526</v>
      </c>
      <c r="E5" s="7">
        <v>3</v>
      </c>
      <c r="F5" s="7" t="s">
        <v>283</v>
      </c>
      <c r="G5" s="19">
        <v>44985</v>
      </c>
      <c r="H5" s="7" t="s">
        <v>75</v>
      </c>
      <c r="I5" s="19" t="s">
        <v>78</v>
      </c>
      <c r="J5" s="7">
        <f>IFERROR(VLOOKUP(I5,Jueces!$A$1:$B$11,2,FALSE),"")</f>
        <v>8</v>
      </c>
      <c r="K5" s="7" t="s">
        <v>93</v>
      </c>
      <c r="L5" s="7" t="s">
        <v>84</v>
      </c>
      <c r="M5" s="165"/>
    </row>
    <row r="6" spans="1:13" ht="30" customHeight="1">
      <c r="A6" s="172" t="str">
        <f t="shared" si="0"/>
        <v>01/03/20231</v>
      </c>
      <c r="B6" s="166">
        <f t="shared" si="1"/>
        <v>1</v>
      </c>
      <c r="C6" s="7" t="s">
        <v>16</v>
      </c>
      <c r="D6" s="40" t="s">
        <v>17</v>
      </c>
      <c r="E6" s="7">
        <v>3</v>
      </c>
      <c r="F6" s="7" t="s">
        <v>34</v>
      </c>
      <c r="G6" s="19">
        <v>44986</v>
      </c>
      <c r="H6" s="7" t="s">
        <v>228</v>
      </c>
      <c r="I6" s="19" t="s">
        <v>78</v>
      </c>
      <c r="J6" s="7">
        <f>IFERROR(VLOOKUP(I6,Jueces!$A$1:$B$11,2,FALSE),"")</f>
        <v>8</v>
      </c>
      <c r="K6" s="7" t="s">
        <v>119</v>
      </c>
      <c r="L6" s="7" t="s">
        <v>106</v>
      </c>
      <c r="M6" s="165"/>
    </row>
    <row r="7" spans="1:13" ht="30" customHeight="1">
      <c r="A7" s="172" t="str">
        <f t="shared" si="0"/>
        <v>02/03/20231</v>
      </c>
      <c r="B7" s="166">
        <f t="shared" si="1"/>
        <v>1</v>
      </c>
      <c r="C7" s="7" t="s">
        <v>8</v>
      </c>
      <c r="D7" s="40" t="s">
        <v>9</v>
      </c>
      <c r="E7" s="7">
        <v>3</v>
      </c>
      <c r="F7" s="7" t="s">
        <v>32</v>
      </c>
      <c r="G7" s="19">
        <v>44987</v>
      </c>
      <c r="H7" s="7" t="s">
        <v>360</v>
      </c>
      <c r="I7" s="19" t="s">
        <v>31</v>
      </c>
      <c r="J7" s="7">
        <f>IFERROR(VLOOKUP(I7,Jueces!$A$1:$B$11,2,FALSE),"")</f>
        <v>2</v>
      </c>
      <c r="K7" s="7" t="s">
        <v>87</v>
      </c>
      <c r="L7" s="7" t="s">
        <v>86</v>
      </c>
      <c r="M7" s="165"/>
    </row>
    <row r="8" spans="1:13" ht="30" customHeight="1">
      <c r="A8" s="172" t="str">
        <f t="shared" si="0"/>
        <v>03/03/20231</v>
      </c>
      <c r="B8" s="166">
        <f t="shared" si="1"/>
        <v>1</v>
      </c>
      <c r="C8" s="7" t="s">
        <v>12</v>
      </c>
      <c r="D8" s="40" t="s">
        <v>13</v>
      </c>
      <c r="E8" s="7">
        <v>3</v>
      </c>
      <c r="F8" s="7" t="s">
        <v>34</v>
      </c>
      <c r="G8" s="19">
        <v>44988</v>
      </c>
      <c r="H8" s="7" t="s">
        <v>73</v>
      </c>
      <c r="I8" s="19" t="s">
        <v>35</v>
      </c>
      <c r="J8" s="7">
        <f>IFERROR(VLOOKUP(I8,Jueces!$A$1:$B$11,2,FALSE),"")</f>
        <v>3</v>
      </c>
      <c r="K8" s="7" t="s">
        <v>152</v>
      </c>
      <c r="L8" s="7" t="s">
        <v>106</v>
      </c>
      <c r="M8" s="165"/>
    </row>
    <row r="9" spans="1:13" ht="30" customHeight="1">
      <c r="A9" s="172" t="str">
        <f t="shared" si="0"/>
        <v>03/03/20232</v>
      </c>
      <c r="B9" s="166">
        <f t="shared" si="1"/>
        <v>2</v>
      </c>
      <c r="C9" s="7" t="s">
        <v>57</v>
      </c>
      <c r="D9" s="40" t="s">
        <v>40</v>
      </c>
      <c r="E9" s="7">
        <v>3</v>
      </c>
      <c r="F9" s="7" t="s">
        <v>29</v>
      </c>
      <c r="G9" s="19">
        <v>44988</v>
      </c>
      <c r="H9" s="7" t="s">
        <v>76</v>
      </c>
      <c r="I9" s="19" t="s">
        <v>35</v>
      </c>
      <c r="J9" s="7">
        <f>IFERROR(VLOOKUP(I9,Jueces!$A$1:$B$11,2,FALSE),"")</f>
        <v>3</v>
      </c>
      <c r="K9" s="7" t="s">
        <v>94</v>
      </c>
      <c r="L9" s="7" t="s">
        <v>90</v>
      </c>
      <c r="M9" s="165"/>
    </row>
    <row r="10" spans="1:13" ht="30" customHeight="1">
      <c r="A10" s="172" t="str">
        <f t="shared" si="0"/>
        <v>06/03/20231</v>
      </c>
      <c r="B10" s="166">
        <f t="shared" si="1"/>
        <v>1</v>
      </c>
      <c r="C10" s="7" t="s">
        <v>4</v>
      </c>
      <c r="D10" s="40" t="s">
        <v>6</v>
      </c>
      <c r="E10" s="7">
        <v>3</v>
      </c>
      <c r="F10" s="7" t="s">
        <v>283</v>
      </c>
      <c r="G10" s="19">
        <v>44991</v>
      </c>
      <c r="H10" s="7" t="s">
        <v>73</v>
      </c>
      <c r="I10" s="19" t="s">
        <v>31</v>
      </c>
      <c r="J10" s="7">
        <f>IFERROR(VLOOKUP(I10,Jueces!$A$1:$B$11,2,FALSE),"")</f>
        <v>2</v>
      </c>
      <c r="K10" s="7" t="s">
        <v>91</v>
      </c>
      <c r="L10" s="7" t="s">
        <v>684</v>
      </c>
      <c r="M10" s="165"/>
    </row>
    <row r="11" spans="1:13" ht="30" customHeight="1">
      <c r="A11" s="172" t="str">
        <f t="shared" si="0"/>
        <v>06/03/20232</v>
      </c>
      <c r="B11" s="166">
        <f t="shared" si="1"/>
        <v>2</v>
      </c>
      <c r="C11" s="7" t="s">
        <v>56</v>
      </c>
      <c r="D11" s="40" t="s">
        <v>39</v>
      </c>
      <c r="E11" s="7">
        <v>3</v>
      </c>
      <c r="F11" s="7" t="s">
        <v>43</v>
      </c>
      <c r="G11" s="19">
        <v>44991</v>
      </c>
      <c r="H11" s="7" t="s">
        <v>76</v>
      </c>
      <c r="I11" s="19" t="s">
        <v>78</v>
      </c>
      <c r="J11" s="7">
        <f>IFERROR(VLOOKUP(I11,Jueces!$A$1:$B$11,2,FALSE),"")</f>
        <v>8</v>
      </c>
      <c r="K11" s="7" t="s">
        <v>92</v>
      </c>
      <c r="L11" s="7" t="s">
        <v>96</v>
      </c>
      <c r="M11" s="165"/>
    </row>
    <row r="12" spans="1:13" ht="30" customHeight="1">
      <c r="A12" s="172" t="str">
        <f t="shared" si="0"/>
        <v>07/03/20231</v>
      </c>
      <c r="B12" s="166">
        <f t="shared" si="1"/>
        <v>1</v>
      </c>
      <c r="C12" s="7" t="s">
        <v>53</v>
      </c>
      <c r="D12" s="40" t="s">
        <v>48</v>
      </c>
      <c r="E12" s="7">
        <v>3</v>
      </c>
      <c r="F12" s="7" t="s">
        <v>283</v>
      </c>
      <c r="G12" s="19">
        <v>44992</v>
      </c>
      <c r="H12" s="7" t="s">
        <v>73</v>
      </c>
      <c r="I12" s="19" t="s">
        <v>35</v>
      </c>
      <c r="J12" s="7">
        <f>IFERROR(VLOOKUP(I12,Jueces!$A$1:$B$11,2,FALSE),"")</f>
        <v>3</v>
      </c>
      <c r="K12" s="7" t="s">
        <v>93</v>
      </c>
      <c r="L12" s="7" t="s">
        <v>83</v>
      </c>
      <c r="M12" s="165"/>
    </row>
    <row r="13" spans="1:13" ht="30" customHeight="1">
      <c r="A13" s="172" t="str">
        <f t="shared" si="0"/>
        <v>07/03/20232</v>
      </c>
      <c r="B13" s="166">
        <f t="shared" si="1"/>
        <v>2</v>
      </c>
      <c r="C13" s="7" t="s">
        <v>27</v>
      </c>
      <c r="D13" s="40" t="s">
        <v>28</v>
      </c>
      <c r="E13" s="7">
        <v>3</v>
      </c>
      <c r="F13" s="7" t="s">
        <v>29</v>
      </c>
      <c r="G13" s="19">
        <v>44992</v>
      </c>
      <c r="H13" s="7" t="s">
        <v>75</v>
      </c>
      <c r="I13" s="19" t="s">
        <v>35</v>
      </c>
      <c r="J13" s="7">
        <f>IFERROR(VLOOKUP(I13,Jueces!$A$1:$B$11,2,FALSE),"")</f>
        <v>3</v>
      </c>
      <c r="K13" s="7" t="s">
        <v>93</v>
      </c>
      <c r="L13" s="7" t="s">
        <v>88</v>
      </c>
      <c r="M13" s="165"/>
    </row>
    <row r="14" spans="1:13" ht="30" customHeight="1">
      <c r="A14" s="172" t="str">
        <f t="shared" si="0"/>
        <v>07/03/20233</v>
      </c>
      <c r="B14" s="166">
        <f t="shared" si="1"/>
        <v>3</v>
      </c>
      <c r="C14" s="7" t="s">
        <v>67</v>
      </c>
      <c r="D14" s="40" t="s">
        <v>70</v>
      </c>
      <c r="E14" s="7">
        <v>3</v>
      </c>
      <c r="F14" s="7" t="s">
        <v>283</v>
      </c>
      <c r="G14" s="19">
        <v>44992</v>
      </c>
      <c r="H14" s="7" t="s">
        <v>228</v>
      </c>
      <c r="I14" s="19" t="s">
        <v>78</v>
      </c>
      <c r="J14" s="7">
        <f>IFERROR(VLOOKUP(I14,Jueces!$A$1:$B$11,2,FALSE),"")</f>
        <v>8</v>
      </c>
      <c r="K14" s="7" t="s">
        <v>97</v>
      </c>
      <c r="L14" s="7" t="s">
        <v>199</v>
      </c>
      <c r="M14" s="165"/>
    </row>
    <row r="15" spans="1:13" ht="30" customHeight="1">
      <c r="A15" s="172" t="str">
        <f t="shared" si="0"/>
        <v>08/03/20231</v>
      </c>
      <c r="B15" s="166">
        <f t="shared" si="1"/>
        <v>1</v>
      </c>
      <c r="C15" s="7" t="s">
        <v>55</v>
      </c>
      <c r="D15" s="40" t="s">
        <v>50</v>
      </c>
      <c r="E15" s="7">
        <v>3</v>
      </c>
      <c r="F15" s="7" t="s">
        <v>34</v>
      </c>
      <c r="G15" s="19">
        <v>44993</v>
      </c>
      <c r="H15" s="7" t="s">
        <v>73</v>
      </c>
      <c r="I15" s="19" t="s">
        <v>31</v>
      </c>
      <c r="J15" s="7">
        <f>IFERROR(VLOOKUP(I15,Jueces!$A$1:$B$11,2,FALSE),"")</f>
        <v>2</v>
      </c>
      <c r="K15" s="7" t="s">
        <v>98</v>
      </c>
      <c r="L15" s="7" t="s">
        <v>99</v>
      </c>
      <c r="M15" s="165"/>
    </row>
    <row r="16" spans="1:13" ht="30" customHeight="1">
      <c r="A16" s="172" t="str">
        <f t="shared" si="0"/>
        <v>08/03/20232</v>
      </c>
      <c r="B16" s="166">
        <f t="shared" si="1"/>
        <v>2</v>
      </c>
      <c r="C16" s="7" t="s">
        <v>109</v>
      </c>
      <c r="D16" s="40" t="s">
        <v>110</v>
      </c>
      <c r="E16" s="7">
        <v>3</v>
      </c>
      <c r="F16" s="7" t="s">
        <v>1433</v>
      </c>
      <c r="G16" s="19">
        <v>44993</v>
      </c>
      <c r="H16" s="7" t="s">
        <v>73</v>
      </c>
      <c r="I16" s="19" t="s">
        <v>31</v>
      </c>
      <c r="J16" s="7">
        <f>IFERROR(VLOOKUP(I16,Jueces!$A$1:$B$11,2,FALSE),"")</f>
        <v>2</v>
      </c>
      <c r="K16" s="7" t="s">
        <v>126</v>
      </c>
      <c r="L16" s="7" t="s">
        <v>127</v>
      </c>
      <c r="M16" s="165"/>
    </row>
    <row r="17" spans="1:13" ht="30" customHeight="1">
      <c r="A17" s="172" t="str">
        <f t="shared" si="0"/>
        <v>08/03/20233</v>
      </c>
      <c r="B17" s="166">
        <f t="shared" si="1"/>
        <v>3</v>
      </c>
      <c r="C17" s="7" t="s">
        <v>62</v>
      </c>
      <c r="D17" s="40" t="s">
        <v>66</v>
      </c>
      <c r="E17" s="7">
        <v>3</v>
      </c>
      <c r="F17" s="7" t="s">
        <v>43</v>
      </c>
      <c r="G17" s="19">
        <v>44993</v>
      </c>
      <c r="H17" s="7" t="s">
        <v>73</v>
      </c>
      <c r="I17" s="19" t="s">
        <v>31</v>
      </c>
      <c r="J17" s="7">
        <f>IFERROR(VLOOKUP(I17,Jueces!$A$1:$B$11,2,FALSE),"")</f>
        <v>2</v>
      </c>
      <c r="K17" s="7" t="s">
        <v>105</v>
      </c>
      <c r="L17" s="7" t="s">
        <v>106</v>
      </c>
      <c r="M17" s="165"/>
    </row>
    <row r="18" spans="1:13" ht="30" customHeight="1">
      <c r="A18" s="172" t="str">
        <f t="shared" si="0"/>
        <v>08/03/20234</v>
      </c>
      <c r="B18" s="166">
        <f t="shared" si="1"/>
        <v>4</v>
      </c>
      <c r="C18" s="4" t="s">
        <v>69</v>
      </c>
      <c r="D18" s="39" t="s">
        <v>72</v>
      </c>
      <c r="E18" s="4">
        <v>3</v>
      </c>
      <c r="F18" s="4" t="s">
        <v>43</v>
      </c>
      <c r="G18" s="5">
        <v>44993</v>
      </c>
      <c r="H18" s="4" t="s">
        <v>76</v>
      </c>
      <c r="I18" s="5" t="s">
        <v>35</v>
      </c>
      <c r="J18" s="7">
        <f>IFERROR(VLOOKUP(I18,Jueces!$A$1:$B$11,2,FALSE),"")</f>
        <v>3</v>
      </c>
      <c r="K18" s="4" t="s">
        <v>142</v>
      </c>
      <c r="L18" s="4" t="s">
        <v>226</v>
      </c>
      <c r="M18" s="165"/>
    </row>
    <row r="19" spans="1:13" ht="30" customHeight="1">
      <c r="A19" s="172" t="str">
        <f t="shared" si="0"/>
        <v>08/03/20235</v>
      </c>
      <c r="B19" s="166">
        <f t="shared" si="1"/>
        <v>5</v>
      </c>
      <c r="C19" s="4" t="s">
        <v>60</v>
      </c>
      <c r="D19" s="39" t="s">
        <v>61</v>
      </c>
      <c r="E19" s="4">
        <v>3</v>
      </c>
      <c r="F19" s="4" t="s">
        <v>283</v>
      </c>
      <c r="G19" s="5">
        <v>44993</v>
      </c>
      <c r="H19" s="4" t="s">
        <v>75</v>
      </c>
      <c r="I19" s="5" t="s">
        <v>78</v>
      </c>
      <c r="J19" s="7">
        <f>IFERROR(VLOOKUP(I19,Jueces!$A$1:$B$11,2,FALSE),"")</f>
        <v>8</v>
      </c>
      <c r="K19" s="4" t="s">
        <v>98</v>
      </c>
      <c r="L19" s="4" t="s">
        <v>99</v>
      </c>
      <c r="M19" s="165"/>
    </row>
    <row r="20" spans="1:13" ht="30" customHeight="1">
      <c r="A20" s="172" t="str">
        <f t="shared" si="0"/>
        <v>09/03/20231</v>
      </c>
      <c r="B20" s="166">
        <f t="shared" si="1"/>
        <v>1</v>
      </c>
      <c r="C20" s="4" t="s">
        <v>44</v>
      </c>
      <c r="D20" s="39" t="s">
        <v>37</v>
      </c>
      <c r="E20" s="4">
        <v>3</v>
      </c>
      <c r="F20" s="4" t="s">
        <v>1433</v>
      </c>
      <c r="G20" s="5">
        <v>44994</v>
      </c>
      <c r="H20" s="4" t="s">
        <v>73</v>
      </c>
      <c r="I20" s="5" t="s">
        <v>31</v>
      </c>
      <c r="J20" s="7">
        <f>IFERROR(VLOOKUP(I20,Jueces!$A$1:$B$11,2,FALSE),"")</f>
        <v>2</v>
      </c>
      <c r="K20" s="4" t="s">
        <v>184</v>
      </c>
      <c r="L20" s="4" t="s">
        <v>106</v>
      </c>
      <c r="M20" s="165"/>
    </row>
    <row r="21" spans="1:13" ht="30" customHeight="1">
      <c r="A21" s="172" t="str">
        <f t="shared" si="0"/>
        <v>09/03/20232</v>
      </c>
      <c r="B21" s="166">
        <f t="shared" si="1"/>
        <v>2</v>
      </c>
      <c r="C21" s="4" t="s">
        <v>59</v>
      </c>
      <c r="D21" s="39" t="s">
        <v>46</v>
      </c>
      <c r="E21" s="4">
        <v>3</v>
      </c>
      <c r="F21" s="4" t="s">
        <v>43</v>
      </c>
      <c r="G21" s="5">
        <v>44994</v>
      </c>
      <c r="H21" s="4" t="s">
        <v>73</v>
      </c>
      <c r="I21" s="5" t="s">
        <v>35</v>
      </c>
      <c r="J21" s="7">
        <f>IFERROR(VLOOKUP(I21,Jueces!$A$1:$B$11,2,FALSE),"")</f>
        <v>3</v>
      </c>
      <c r="K21" s="4" t="s">
        <v>181</v>
      </c>
      <c r="L21" s="4" t="s">
        <v>127</v>
      </c>
      <c r="M21" s="165"/>
    </row>
    <row r="22" spans="1:13" ht="30" customHeight="1">
      <c r="A22" s="172" t="str">
        <f t="shared" si="0"/>
        <v>09/03/20233</v>
      </c>
      <c r="B22" s="166">
        <f t="shared" si="1"/>
        <v>3</v>
      </c>
      <c r="C22" s="4" t="s">
        <v>58</v>
      </c>
      <c r="D22" s="39" t="s">
        <v>41</v>
      </c>
      <c r="E22" s="4">
        <v>3</v>
      </c>
      <c r="F22" s="4" t="s">
        <v>34</v>
      </c>
      <c r="G22" s="5">
        <v>44994</v>
      </c>
      <c r="H22" s="4" t="s">
        <v>76</v>
      </c>
      <c r="I22" s="5" t="s">
        <v>31</v>
      </c>
      <c r="J22" s="7">
        <f>IFERROR(VLOOKUP(I22,Jueces!$A$1:$B$11,2,FALSE),"")</f>
        <v>2</v>
      </c>
      <c r="K22" s="4" t="s">
        <v>262</v>
      </c>
      <c r="L22" s="4" t="s">
        <v>106</v>
      </c>
      <c r="M22" s="165"/>
    </row>
    <row r="23" spans="1:13" ht="30" customHeight="1">
      <c r="A23" s="172" t="str">
        <f t="shared" si="0"/>
        <v>10/03/20231</v>
      </c>
      <c r="B23" s="166">
        <f t="shared" si="1"/>
        <v>1</v>
      </c>
      <c r="C23" s="4" t="s">
        <v>107</v>
      </c>
      <c r="D23" s="39" t="s">
        <v>108</v>
      </c>
      <c r="E23" s="4">
        <v>3</v>
      </c>
      <c r="F23" s="4" t="s">
        <v>283</v>
      </c>
      <c r="G23" s="5">
        <v>44995</v>
      </c>
      <c r="H23" s="4" t="s">
        <v>511</v>
      </c>
      <c r="I23" s="5" t="s">
        <v>35</v>
      </c>
      <c r="J23" s="7">
        <f>IFERROR(VLOOKUP(I23,Jueces!$A$1:$B$11,2,FALSE),"")</f>
        <v>3</v>
      </c>
      <c r="K23" s="4" t="s">
        <v>128</v>
      </c>
      <c r="L23" s="4" t="s">
        <v>127</v>
      </c>
      <c r="M23" s="165"/>
    </row>
    <row r="24" spans="1:13" ht="30" customHeight="1">
      <c r="A24" s="172" t="str">
        <f t="shared" si="0"/>
        <v>10/03/20232</v>
      </c>
      <c r="B24" s="166">
        <f t="shared" si="1"/>
        <v>2</v>
      </c>
      <c r="C24" s="4" t="s">
        <v>137</v>
      </c>
      <c r="D24" s="39" t="s">
        <v>148</v>
      </c>
      <c r="E24" s="4">
        <v>3</v>
      </c>
      <c r="F24" s="4" t="s">
        <v>32</v>
      </c>
      <c r="G24" s="5">
        <v>44995</v>
      </c>
      <c r="H24" s="4" t="s">
        <v>73</v>
      </c>
      <c r="I24" s="5" t="s">
        <v>31</v>
      </c>
      <c r="J24" s="7">
        <f>IFERROR(VLOOKUP(I24,Jueces!$A$1:$B$11,2,FALSE),"")</f>
        <v>2</v>
      </c>
      <c r="K24" s="4" t="s">
        <v>355</v>
      </c>
      <c r="L24" s="4" t="s">
        <v>147</v>
      </c>
      <c r="M24" s="165"/>
    </row>
    <row r="25" spans="1:13" ht="30" customHeight="1">
      <c r="A25" s="172" t="str">
        <f t="shared" si="0"/>
        <v>10/03/20233</v>
      </c>
      <c r="B25" s="166">
        <f t="shared" si="1"/>
        <v>3</v>
      </c>
      <c r="C25" s="4" t="s">
        <v>63</v>
      </c>
      <c r="D25" s="39" t="s">
        <v>682</v>
      </c>
      <c r="E25" s="4">
        <v>3</v>
      </c>
      <c r="F25" s="4" t="s">
        <v>34</v>
      </c>
      <c r="G25" s="5">
        <v>44995</v>
      </c>
      <c r="H25" s="4" t="s">
        <v>73</v>
      </c>
      <c r="I25" s="5" t="s">
        <v>78</v>
      </c>
      <c r="J25" s="7">
        <f>IFERROR(VLOOKUP(I25,Jueces!$A$1:$B$11,2,FALSE),"")</f>
        <v>8</v>
      </c>
      <c r="K25" s="4" t="s">
        <v>133</v>
      </c>
      <c r="L25" s="4" t="s">
        <v>132</v>
      </c>
      <c r="M25" s="165"/>
    </row>
    <row r="26" spans="1:13" ht="30" customHeight="1">
      <c r="A26" s="172" t="str">
        <f t="shared" si="0"/>
        <v>10/03/20234</v>
      </c>
      <c r="B26" s="166">
        <f t="shared" si="1"/>
        <v>4</v>
      </c>
      <c r="C26" s="4" t="s">
        <v>54</v>
      </c>
      <c r="D26" s="39" t="s">
        <v>52</v>
      </c>
      <c r="E26" s="4">
        <v>3</v>
      </c>
      <c r="F26" s="4" t="s">
        <v>43</v>
      </c>
      <c r="G26" s="5">
        <v>44995</v>
      </c>
      <c r="H26" s="4" t="s">
        <v>73</v>
      </c>
      <c r="I26" s="5" t="s">
        <v>78</v>
      </c>
      <c r="J26" s="7">
        <f>IFERROR(VLOOKUP(I26,Jueces!$A$1:$B$11,2,FALSE),"")</f>
        <v>8</v>
      </c>
      <c r="K26" s="4" t="s">
        <v>131</v>
      </c>
      <c r="L26" s="4" t="s">
        <v>132</v>
      </c>
      <c r="M26" s="165"/>
    </row>
    <row r="27" spans="1:13" ht="30" customHeight="1">
      <c r="A27" s="172" t="str">
        <f t="shared" si="0"/>
        <v>10/03/20235</v>
      </c>
      <c r="B27" s="166">
        <f t="shared" si="1"/>
        <v>5</v>
      </c>
      <c r="C27" s="7" t="s">
        <v>198</v>
      </c>
      <c r="D27" s="40" t="s">
        <v>197</v>
      </c>
      <c r="E27" s="4">
        <v>4</v>
      </c>
      <c r="F27" s="4" t="s">
        <v>32</v>
      </c>
      <c r="G27" s="5">
        <v>44995</v>
      </c>
      <c r="H27" s="4" t="s">
        <v>73</v>
      </c>
      <c r="I27" s="5" t="s">
        <v>31</v>
      </c>
      <c r="J27" s="7">
        <f>IFERROR(VLOOKUP(I27,Jueces!$A$1:$B$11,2,FALSE),"")</f>
        <v>2</v>
      </c>
      <c r="K27" s="4" t="s">
        <v>213</v>
      </c>
      <c r="L27" s="4" t="s">
        <v>214</v>
      </c>
      <c r="M27" s="165"/>
    </row>
    <row r="28" spans="1:13" ht="30" customHeight="1">
      <c r="A28" s="172" t="str">
        <f t="shared" si="0"/>
        <v>10/03/20236</v>
      </c>
      <c r="B28" s="166">
        <f t="shared" si="1"/>
        <v>6</v>
      </c>
      <c r="C28" s="4" t="s">
        <v>64</v>
      </c>
      <c r="D28" s="39" t="s">
        <v>65</v>
      </c>
      <c r="E28" s="4">
        <v>3</v>
      </c>
      <c r="F28" s="4" t="s">
        <v>29</v>
      </c>
      <c r="G28" s="5">
        <v>44995</v>
      </c>
      <c r="H28" s="4" t="s">
        <v>73</v>
      </c>
      <c r="I28" s="5" t="s">
        <v>35</v>
      </c>
      <c r="J28" s="7">
        <f>IFERROR(VLOOKUP(I28,Jueces!$A$1:$B$11,2,FALSE),"")</f>
        <v>3</v>
      </c>
      <c r="K28" s="4" t="s">
        <v>134</v>
      </c>
      <c r="L28" s="4" t="s">
        <v>132</v>
      </c>
      <c r="M28" s="165"/>
    </row>
    <row r="29" spans="1:13" ht="30" customHeight="1">
      <c r="A29" s="172" t="str">
        <f t="shared" si="0"/>
        <v>13/03/20231</v>
      </c>
      <c r="B29" s="166">
        <f t="shared" si="1"/>
        <v>1</v>
      </c>
      <c r="C29" s="4" t="s">
        <v>111</v>
      </c>
      <c r="D29" s="39" t="s">
        <v>112</v>
      </c>
      <c r="E29" s="4">
        <v>3</v>
      </c>
      <c r="F29" s="4" t="s">
        <v>34</v>
      </c>
      <c r="G29" s="5">
        <v>44998</v>
      </c>
      <c r="H29" s="4" t="s">
        <v>73</v>
      </c>
      <c r="I29" s="5" t="s">
        <v>78</v>
      </c>
      <c r="J29" s="7">
        <f>IFERROR(VLOOKUP(I29,Jueces!$A$1:$B$11,2,FALSE),"")</f>
        <v>8</v>
      </c>
      <c r="K29" s="4" t="s">
        <v>128</v>
      </c>
      <c r="L29" s="4" t="s">
        <v>127</v>
      </c>
      <c r="M29" s="165"/>
    </row>
    <row r="30" spans="1:13" ht="30" customHeight="1">
      <c r="A30" s="172" t="str">
        <f t="shared" si="0"/>
        <v>13/03/20232</v>
      </c>
      <c r="B30" s="166">
        <f t="shared" si="1"/>
        <v>2</v>
      </c>
      <c r="C30" s="4" t="s">
        <v>68</v>
      </c>
      <c r="D30" s="39" t="s">
        <v>71</v>
      </c>
      <c r="E30" s="4">
        <v>3</v>
      </c>
      <c r="F30" s="4" t="s">
        <v>43</v>
      </c>
      <c r="G30" s="5">
        <v>44998</v>
      </c>
      <c r="H30" s="4" t="s">
        <v>73</v>
      </c>
      <c r="I30" s="5" t="s">
        <v>31</v>
      </c>
      <c r="J30" s="7">
        <f>IFERROR(VLOOKUP(I30,Jueces!$A$1:$B$11,2,FALSE),"")</f>
        <v>2</v>
      </c>
      <c r="K30" s="4" t="s">
        <v>129</v>
      </c>
      <c r="L30" s="4" t="s">
        <v>127</v>
      </c>
      <c r="M30" s="165"/>
    </row>
    <row r="31" spans="1:13" ht="30" customHeight="1">
      <c r="A31" s="172" t="str">
        <f t="shared" si="0"/>
        <v>13/03/20233</v>
      </c>
      <c r="B31" s="166">
        <f t="shared" si="1"/>
        <v>3</v>
      </c>
      <c r="C31" s="4" t="s">
        <v>114</v>
      </c>
      <c r="D31" s="39" t="s">
        <v>115</v>
      </c>
      <c r="E31" s="4">
        <v>3</v>
      </c>
      <c r="F31" s="4" t="s">
        <v>29</v>
      </c>
      <c r="G31" s="5">
        <v>44998</v>
      </c>
      <c r="H31" s="4" t="s">
        <v>76</v>
      </c>
      <c r="I31" s="5" t="s">
        <v>31</v>
      </c>
      <c r="J31" s="7">
        <f>IFERROR(VLOOKUP(I31,Jueces!$A$1:$B$11,2,FALSE),"")</f>
        <v>2</v>
      </c>
      <c r="K31" s="4" t="s">
        <v>129</v>
      </c>
      <c r="L31" s="4" t="s">
        <v>130</v>
      </c>
      <c r="M31" s="165"/>
    </row>
    <row r="32" spans="1:13" ht="30" customHeight="1">
      <c r="A32" s="172" t="str">
        <f t="shared" si="0"/>
        <v>14/03/20231</v>
      </c>
      <c r="B32" s="166">
        <f t="shared" si="1"/>
        <v>1</v>
      </c>
      <c r="C32" s="7" t="s">
        <v>122</v>
      </c>
      <c r="D32" s="40" t="s">
        <v>124</v>
      </c>
      <c r="E32" s="7">
        <v>3</v>
      </c>
      <c r="F32" s="7" t="s">
        <v>283</v>
      </c>
      <c r="G32" s="19">
        <v>44999</v>
      </c>
      <c r="H32" s="7" t="s">
        <v>73</v>
      </c>
      <c r="I32" s="19" t="s">
        <v>78</v>
      </c>
      <c r="J32" s="7">
        <f>IFERROR(VLOOKUP(I32,Jueces!$A$1:$B$11,2,FALSE),"")</f>
        <v>8</v>
      </c>
      <c r="K32" s="7" t="s">
        <v>139</v>
      </c>
      <c r="L32" s="7" t="s">
        <v>127</v>
      </c>
      <c r="M32" s="165"/>
    </row>
    <row r="33" spans="1:13" ht="30" customHeight="1">
      <c r="A33" s="172" t="str">
        <f t="shared" si="0"/>
        <v>14/03/20232</v>
      </c>
      <c r="B33" s="166">
        <f t="shared" si="1"/>
        <v>2</v>
      </c>
      <c r="C33" s="7" t="s">
        <v>123</v>
      </c>
      <c r="D33" s="40" t="s">
        <v>125</v>
      </c>
      <c r="E33" s="7">
        <v>3</v>
      </c>
      <c r="F33" s="7" t="s">
        <v>29</v>
      </c>
      <c r="G33" s="19">
        <v>44999</v>
      </c>
      <c r="H33" s="7" t="s">
        <v>73</v>
      </c>
      <c r="I33" s="19" t="s">
        <v>31</v>
      </c>
      <c r="J33" s="7">
        <f>IFERROR(VLOOKUP(I33,Jueces!$A$1:$B$11,2,FALSE),"")</f>
        <v>2</v>
      </c>
      <c r="K33" s="7" t="s">
        <v>140</v>
      </c>
      <c r="L33" s="7" t="s">
        <v>141</v>
      </c>
      <c r="M33" s="165"/>
    </row>
    <row r="34" spans="1:13" s="173" customFormat="1" ht="30" customHeight="1">
      <c r="A34" s="172" t="str">
        <f t="shared" si="0"/>
        <v>14/03/20233</v>
      </c>
      <c r="B34" s="166">
        <f t="shared" si="1"/>
        <v>3</v>
      </c>
      <c r="C34" s="7" t="s">
        <v>154</v>
      </c>
      <c r="D34" s="40" t="s">
        <v>153</v>
      </c>
      <c r="E34" s="7">
        <v>3</v>
      </c>
      <c r="F34" s="7" t="s">
        <v>34</v>
      </c>
      <c r="G34" s="19">
        <v>44999</v>
      </c>
      <c r="H34" s="7" t="s">
        <v>73</v>
      </c>
      <c r="I34" s="19" t="s">
        <v>35</v>
      </c>
      <c r="J34" s="7">
        <f>IFERROR(VLOOKUP(I34,Jueces!$A$1:$B$11,2,FALSE),"")</f>
        <v>3</v>
      </c>
      <c r="K34" s="7" t="s">
        <v>170</v>
      </c>
      <c r="L34" s="7" t="s">
        <v>171</v>
      </c>
      <c r="M34" s="165"/>
    </row>
    <row r="35" spans="1:13" ht="30" customHeight="1">
      <c r="A35" s="172" t="str">
        <f t="shared" si="0"/>
        <v>14/03/20234</v>
      </c>
      <c r="B35" s="166">
        <f t="shared" si="1"/>
        <v>4</v>
      </c>
      <c r="C35" s="7" t="s">
        <v>120</v>
      </c>
      <c r="D35" s="40" t="s">
        <v>121</v>
      </c>
      <c r="E35" s="7">
        <v>3</v>
      </c>
      <c r="F35" s="7" t="s">
        <v>32</v>
      </c>
      <c r="G35" s="19">
        <v>44999</v>
      </c>
      <c r="H35" s="7" t="s">
        <v>73</v>
      </c>
      <c r="I35" s="19" t="s">
        <v>35</v>
      </c>
      <c r="J35" s="7">
        <f>IFERROR(VLOOKUP(I35,Jueces!$A$1:$B$11,2,FALSE),"")</f>
        <v>3</v>
      </c>
      <c r="K35" s="7" t="s">
        <v>138</v>
      </c>
      <c r="L35" s="7" t="s">
        <v>391</v>
      </c>
      <c r="M35" s="165"/>
    </row>
    <row r="36" spans="1:13" ht="30" customHeight="1">
      <c r="A36" s="172" t="str">
        <f t="shared" si="0"/>
        <v>14/03/20235</v>
      </c>
      <c r="B36" s="166">
        <f t="shared" si="1"/>
        <v>5</v>
      </c>
      <c r="C36" s="7" t="s">
        <v>136</v>
      </c>
      <c r="D36" s="40" t="s">
        <v>135</v>
      </c>
      <c r="E36" s="7">
        <v>4</v>
      </c>
      <c r="F36" s="7" t="s">
        <v>43</v>
      </c>
      <c r="G36" s="19">
        <v>44999</v>
      </c>
      <c r="H36" s="7" t="s">
        <v>228</v>
      </c>
      <c r="I36" s="19" t="s">
        <v>78</v>
      </c>
      <c r="J36" s="7">
        <f>IFERROR(VLOOKUP(I36,Jueces!$A$1:$B$11,2,FALSE),"")</f>
        <v>8</v>
      </c>
      <c r="K36" s="7" t="s">
        <v>166</v>
      </c>
      <c r="L36" s="7" t="s">
        <v>147</v>
      </c>
    </row>
    <row r="37" spans="1:13" ht="30" customHeight="1">
      <c r="A37" s="172" t="str">
        <f t="shared" si="0"/>
        <v>15/03/20231</v>
      </c>
      <c r="B37" s="166">
        <f t="shared" si="1"/>
        <v>1</v>
      </c>
      <c r="C37" s="7" t="s">
        <v>144</v>
      </c>
      <c r="D37" s="40" t="s">
        <v>143</v>
      </c>
      <c r="E37" s="7">
        <v>3</v>
      </c>
      <c r="F37" s="7" t="s">
        <v>1433</v>
      </c>
      <c r="G37" s="19">
        <v>45000</v>
      </c>
      <c r="H37" s="7" t="s">
        <v>73</v>
      </c>
      <c r="I37" s="19" t="s">
        <v>78</v>
      </c>
      <c r="J37" s="7">
        <f>IFERROR(VLOOKUP(I37,Jueces!$A$1:$B$11,2,FALSE),"")</f>
        <v>8</v>
      </c>
      <c r="K37" s="7" t="s">
        <v>150</v>
      </c>
      <c r="L37" s="7" t="s">
        <v>149</v>
      </c>
    </row>
    <row r="38" spans="1:13" ht="30" customHeight="1">
      <c r="A38" s="172" t="str">
        <f t="shared" si="0"/>
        <v>15/03/20232</v>
      </c>
      <c r="B38" s="166">
        <f t="shared" si="1"/>
        <v>2</v>
      </c>
      <c r="C38" s="7" t="s">
        <v>175</v>
      </c>
      <c r="D38" s="40" t="s">
        <v>174</v>
      </c>
      <c r="E38" s="7">
        <v>4</v>
      </c>
      <c r="F38" s="7" t="s">
        <v>34</v>
      </c>
      <c r="G38" s="19">
        <v>45000</v>
      </c>
      <c r="H38" s="7" t="s">
        <v>73</v>
      </c>
      <c r="I38" s="19" t="s">
        <v>35</v>
      </c>
      <c r="J38" s="7">
        <f>IFERROR(VLOOKUP(I38,Jueces!$A$1:$B$11,2,FALSE),"")</f>
        <v>3</v>
      </c>
      <c r="K38" s="7" t="s">
        <v>194</v>
      </c>
      <c r="L38" s="7" t="s">
        <v>147</v>
      </c>
    </row>
    <row r="39" spans="1:13" ht="30" customHeight="1">
      <c r="A39" s="172" t="str">
        <f t="shared" si="0"/>
        <v>15/03/20233</v>
      </c>
      <c r="B39" s="166">
        <f t="shared" si="1"/>
        <v>3</v>
      </c>
      <c r="C39" s="7" t="s">
        <v>182</v>
      </c>
      <c r="D39" s="40" t="s">
        <v>183</v>
      </c>
      <c r="E39" s="7">
        <v>3</v>
      </c>
      <c r="F39" s="7" t="s">
        <v>29</v>
      </c>
      <c r="G39" s="19">
        <v>45000</v>
      </c>
      <c r="H39" s="7" t="s">
        <v>73</v>
      </c>
      <c r="I39" s="19" t="s">
        <v>31</v>
      </c>
      <c r="J39" s="7">
        <f>IFERROR(VLOOKUP(I39,Jueces!$A$1:$B$11,2,FALSE),"")</f>
        <v>2</v>
      </c>
      <c r="K39" s="7" t="s">
        <v>209</v>
      </c>
      <c r="L39" s="7" t="s">
        <v>391</v>
      </c>
    </row>
    <row r="40" spans="1:13" ht="30" customHeight="1">
      <c r="A40" s="172" t="str">
        <f t="shared" si="0"/>
        <v>16/03/20231</v>
      </c>
      <c r="B40" s="166">
        <f t="shared" si="1"/>
        <v>1</v>
      </c>
      <c r="C40" s="7" t="s">
        <v>146</v>
      </c>
      <c r="D40" s="40" t="s">
        <v>145</v>
      </c>
      <c r="E40" s="7">
        <v>3</v>
      </c>
      <c r="F40" s="7" t="s">
        <v>1433</v>
      </c>
      <c r="G40" s="19">
        <v>45001</v>
      </c>
      <c r="H40" s="7" t="s">
        <v>73</v>
      </c>
      <c r="I40" s="19" t="s">
        <v>31</v>
      </c>
      <c r="J40" s="7">
        <f>IFERROR(VLOOKUP(I40,Jueces!$A$1:$B$11,2,FALSE),"")</f>
        <v>2</v>
      </c>
      <c r="K40" s="7" t="s">
        <v>168</v>
      </c>
      <c r="L40" s="7" t="s">
        <v>169</v>
      </c>
    </row>
    <row r="41" spans="1:13" ht="30" customHeight="1">
      <c r="A41" s="172" t="str">
        <f t="shared" si="0"/>
        <v>16/03/20232</v>
      </c>
      <c r="B41" s="166">
        <f t="shared" si="1"/>
        <v>2</v>
      </c>
      <c r="C41" s="7" t="s">
        <v>162</v>
      </c>
      <c r="D41" s="40" t="s">
        <v>163</v>
      </c>
      <c r="E41" s="7">
        <v>3</v>
      </c>
      <c r="F41" s="7" t="s">
        <v>29</v>
      </c>
      <c r="G41" s="19">
        <v>45001</v>
      </c>
      <c r="H41" s="7" t="s">
        <v>73</v>
      </c>
      <c r="I41" s="19" t="s">
        <v>35</v>
      </c>
      <c r="J41" s="7">
        <f>IFERROR(VLOOKUP(I41,Jueces!$A$1:$B$11,2,FALSE),"")</f>
        <v>3</v>
      </c>
      <c r="K41" s="7" t="s">
        <v>191</v>
      </c>
      <c r="L41" s="7" t="s">
        <v>147</v>
      </c>
    </row>
    <row r="42" spans="1:13" ht="30" customHeight="1">
      <c r="A42" s="172" t="str">
        <f t="shared" si="0"/>
        <v>16/03/20233</v>
      </c>
      <c r="B42" s="166">
        <f t="shared" si="1"/>
        <v>3</v>
      </c>
      <c r="C42" s="7" t="s">
        <v>173</v>
      </c>
      <c r="D42" s="40" t="s">
        <v>172</v>
      </c>
      <c r="E42" s="7">
        <v>4</v>
      </c>
      <c r="F42" s="7" t="s">
        <v>43</v>
      </c>
      <c r="G42" s="19">
        <v>45001</v>
      </c>
      <c r="H42" s="7" t="s">
        <v>73</v>
      </c>
      <c r="I42" s="19" t="s">
        <v>31</v>
      </c>
      <c r="J42" s="7">
        <f>IFERROR(VLOOKUP(I42,Jueces!$A$1:$B$11,2,FALSE),"")</f>
        <v>2</v>
      </c>
      <c r="K42" s="7" t="s">
        <v>166</v>
      </c>
      <c r="L42" s="7" t="s">
        <v>147</v>
      </c>
    </row>
    <row r="43" spans="1:13" ht="30" customHeight="1">
      <c r="A43" s="172" t="str">
        <f t="shared" si="0"/>
        <v>16/03/20234</v>
      </c>
      <c r="B43" s="166">
        <f t="shared" si="1"/>
        <v>4</v>
      </c>
      <c r="C43" s="7" t="s">
        <v>159</v>
      </c>
      <c r="D43" s="40" t="s">
        <v>158</v>
      </c>
      <c r="E43" s="7">
        <v>3</v>
      </c>
      <c r="F43" s="7" t="s">
        <v>283</v>
      </c>
      <c r="G43" s="19">
        <v>45001</v>
      </c>
      <c r="H43" s="7" t="s">
        <v>76</v>
      </c>
      <c r="I43" s="19" t="s">
        <v>35</v>
      </c>
      <c r="J43" s="7">
        <f>IFERROR(VLOOKUP(I43,Jueces!$A$1:$B$11,2,FALSE),"")</f>
        <v>3</v>
      </c>
      <c r="K43" s="7" t="s">
        <v>185</v>
      </c>
      <c r="L43" s="7" t="s">
        <v>186</v>
      </c>
    </row>
    <row r="44" spans="1:13" ht="30" customHeight="1">
      <c r="A44" s="172" t="str">
        <f t="shared" si="0"/>
        <v>17/03/20231</v>
      </c>
      <c r="B44" s="166">
        <f t="shared" si="1"/>
        <v>1</v>
      </c>
      <c r="C44" s="7" t="s">
        <v>161</v>
      </c>
      <c r="D44" s="40" t="s">
        <v>353</v>
      </c>
      <c r="E44" s="7">
        <v>4</v>
      </c>
      <c r="F44" s="7" t="s">
        <v>43</v>
      </c>
      <c r="G44" s="19">
        <v>45002</v>
      </c>
      <c r="H44" s="7" t="s">
        <v>73</v>
      </c>
      <c r="I44" s="19" t="s">
        <v>78</v>
      </c>
      <c r="J44" s="7">
        <f>IFERROR(VLOOKUP(I44,Jueces!$A$1:$B$11,2,FALSE),"")</f>
        <v>8</v>
      </c>
      <c r="K44" s="7" t="s">
        <v>185</v>
      </c>
      <c r="L44" s="7" t="s">
        <v>147</v>
      </c>
    </row>
    <row r="45" spans="1:13" ht="30" customHeight="1">
      <c r="A45" s="172" t="str">
        <f t="shared" si="0"/>
        <v>17/03/20232</v>
      </c>
      <c r="B45" s="166">
        <f t="shared" si="1"/>
        <v>2</v>
      </c>
      <c r="C45" s="7" t="s">
        <v>164</v>
      </c>
      <c r="D45" s="40" t="s">
        <v>165</v>
      </c>
      <c r="E45" s="7">
        <v>3</v>
      </c>
      <c r="F45" s="7" t="s">
        <v>1433</v>
      </c>
      <c r="G45" s="19">
        <v>45002</v>
      </c>
      <c r="H45" s="7" t="s">
        <v>73</v>
      </c>
      <c r="I45" s="19" t="s">
        <v>31</v>
      </c>
      <c r="J45" s="7">
        <f>IFERROR(VLOOKUP(I45,Jueces!$A$1:$B$11,2,FALSE),"")</f>
        <v>2</v>
      </c>
      <c r="K45" s="7" t="s">
        <v>166</v>
      </c>
      <c r="L45" s="7" t="s">
        <v>189</v>
      </c>
    </row>
    <row r="46" spans="1:13" ht="30" customHeight="1">
      <c r="A46" s="172" t="str">
        <f t="shared" si="0"/>
        <v>17/03/20233</v>
      </c>
      <c r="B46" s="166">
        <f t="shared" si="1"/>
        <v>3</v>
      </c>
      <c r="C46" s="7" t="s">
        <v>221</v>
      </c>
      <c r="D46" s="40" t="s">
        <v>220</v>
      </c>
      <c r="E46" s="7">
        <v>3</v>
      </c>
      <c r="F46" s="7" t="s">
        <v>1433</v>
      </c>
      <c r="G46" s="19">
        <v>45002</v>
      </c>
      <c r="H46" s="7" t="s">
        <v>73</v>
      </c>
      <c r="I46" s="19" t="s">
        <v>33</v>
      </c>
      <c r="J46" s="7">
        <f>IFERROR(VLOOKUP(I46,Jueces!$A$1:$B$11,2,FALSE),"")</f>
        <v>4</v>
      </c>
      <c r="K46" s="7" t="s">
        <v>248</v>
      </c>
      <c r="L46" s="7" t="s">
        <v>188</v>
      </c>
    </row>
    <row r="47" spans="1:13" ht="30" customHeight="1">
      <c r="A47" s="172" t="str">
        <f t="shared" si="0"/>
        <v>17/03/20234</v>
      </c>
      <c r="B47" s="166">
        <f t="shared" si="1"/>
        <v>4</v>
      </c>
      <c r="C47" s="7" t="s">
        <v>260</v>
      </c>
      <c r="D47" s="40" t="s">
        <v>176</v>
      </c>
      <c r="E47" s="7">
        <v>4</v>
      </c>
      <c r="F47" s="7" t="s">
        <v>283</v>
      </c>
      <c r="G47" s="19">
        <v>45002</v>
      </c>
      <c r="H47" s="7" t="s">
        <v>76</v>
      </c>
      <c r="I47" s="19" t="s">
        <v>35</v>
      </c>
      <c r="J47" s="7">
        <f>IFERROR(VLOOKUP(I47,Jueces!$A$1:$B$11,2,FALSE),"")</f>
        <v>3</v>
      </c>
      <c r="K47" s="7" t="s">
        <v>166</v>
      </c>
      <c r="L47" s="7" t="s">
        <v>147</v>
      </c>
    </row>
    <row r="48" spans="1:13" ht="30" customHeight="1">
      <c r="A48" s="172" t="str">
        <f t="shared" si="0"/>
        <v>17/03/20235</v>
      </c>
      <c r="B48" s="166">
        <f t="shared" si="1"/>
        <v>5</v>
      </c>
      <c r="C48" s="7" t="s">
        <v>321</v>
      </c>
      <c r="D48" s="40" t="s">
        <v>322</v>
      </c>
      <c r="E48" s="7">
        <v>3</v>
      </c>
      <c r="F48" s="7" t="s">
        <v>32</v>
      </c>
      <c r="G48" s="19">
        <v>45002</v>
      </c>
      <c r="H48" s="7" t="s">
        <v>228</v>
      </c>
      <c r="I48" s="19" t="s">
        <v>33</v>
      </c>
      <c r="J48" s="7">
        <f>IFERROR(VLOOKUP(I48,Jueces!$A$1:$B$11,2,FALSE),"")</f>
        <v>4</v>
      </c>
      <c r="K48" s="7" t="s">
        <v>338</v>
      </c>
      <c r="L48" s="7" t="s">
        <v>337</v>
      </c>
    </row>
    <row r="49" spans="1:12" ht="30" customHeight="1">
      <c r="A49" s="172" t="str">
        <f t="shared" si="0"/>
        <v>20/03/20231</v>
      </c>
      <c r="B49" s="166">
        <f t="shared" si="1"/>
        <v>1</v>
      </c>
      <c r="C49" s="7" t="s">
        <v>280</v>
      </c>
      <c r="D49" s="40" t="s">
        <v>282</v>
      </c>
      <c r="E49" s="7">
        <v>3</v>
      </c>
      <c r="F49" s="7" t="s">
        <v>43</v>
      </c>
      <c r="G49" s="19">
        <v>45005</v>
      </c>
      <c r="H49" s="7" t="s">
        <v>73</v>
      </c>
      <c r="I49" s="19" t="s">
        <v>78</v>
      </c>
      <c r="J49" s="7">
        <f>IFERROR(VLOOKUP(I49,Jueces!$A$1:$B$11,2,FALSE),"")</f>
        <v>8</v>
      </c>
      <c r="K49" s="7" t="s">
        <v>142</v>
      </c>
      <c r="L49" s="7" t="s">
        <v>307</v>
      </c>
    </row>
    <row r="50" spans="1:12" ht="30" customHeight="1">
      <c r="A50" s="172" t="str">
        <f t="shared" si="0"/>
        <v>20/03/20232</v>
      </c>
      <c r="B50" s="166">
        <f t="shared" si="1"/>
        <v>2</v>
      </c>
      <c r="C50" s="7" t="s">
        <v>160</v>
      </c>
      <c r="D50" s="40" t="s">
        <v>157</v>
      </c>
      <c r="E50" s="7">
        <v>3</v>
      </c>
      <c r="F50" s="7" t="s">
        <v>1433</v>
      </c>
      <c r="G50" s="19">
        <v>45005</v>
      </c>
      <c r="H50" s="7" t="s">
        <v>73</v>
      </c>
      <c r="I50" s="19" t="s">
        <v>78</v>
      </c>
      <c r="J50" s="7">
        <f>IFERROR(VLOOKUP(I50,Jueces!$A$1:$B$11,2,FALSE),"")</f>
        <v>8</v>
      </c>
      <c r="K50" s="7" t="s">
        <v>187</v>
      </c>
      <c r="L50" s="7" t="s">
        <v>188</v>
      </c>
    </row>
    <row r="51" spans="1:12" ht="30" customHeight="1">
      <c r="A51" s="172" t="str">
        <f t="shared" si="0"/>
        <v>20/03/20233</v>
      </c>
      <c r="B51" s="166">
        <f t="shared" si="1"/>
        <v>3</v>
      </c>
      <c r="C51" s="7" t="s">
        <v>270</v>
      </c>
      <c r="D51" s="40" t="s">
        <v>442</v>
      </c>
      <c r="E51" s="7">
        <v>4</v>
      </c>
      <c r="F51" s="7" t="s">
        <v>283</v>
      </c>
      <c r="G51" s="19">
        <v>45005</v>
      </c>
      <c r="H51" s="7" t="s">
        <v>76</v>
      </c>
      <c r="I51" s="19" t="s">
        <v>31</v>
      </c>
      <c r="J51" s="7">
        <f>IFERROR(VLOOKUP(I51,Jueces!$A$1:$B$11,2,FALSE),"")</f>
        <v>2</v>
      </c>
      <c r="K51" s="7" t="s">
        <v>284</v>
      </c>
      <c r="L51" s="7" t="s">
        <v>285</v>
      </c>
    </row>
    <row r="52" spans="1:12" ht="30" customHeight="1">
      <c r="A52" s="172" t="str">
        <f t="shared" si="0"/>
        <v>20/03/20234</v>
      </c>
      <c r="B52" s="166">
        <f t="shared" si="1"/>
        <v>4</v>
      </c>
      <c r="C52" s="7" t="s">
        <v>309</v>
      </c>
      <c r="D52" s="40" t="s">
        <v>310</v>
      </c>
      <c r="E52" s="7">
        <v>4</v>
      </c>
      <c r="F52" s="7" t="s">
        <v>29</v>
      </c>
      <c r="G52" s="19">
        <v>45005</v>
      </c>
      <c r="H52" s="7" t="s">
        <v>74</v>
      </c>
      <c r="I52" s="19" t="s">
        <v>33</v>
      </c>
      <c r="J52" s="7">
        <f>IFERROR(VLOOKUP(I52,Jueces!$A$1:$B$11,2,FALSE),"")</f>
        <v>4</v>
      </c>
      <c r="K52" s="7" t="s">
        <v>327</v>
      </c>
      <c r="L52" s="7" t="s">
        <v>287</v>
      </c>
    </row>
    <row r="53" spans="1:12" ht="30" customHeight="1">
      <c r="A53" s="172" t="str">
        <f t="shared" si="0"/>
        <v>21/03/20231</v>
      </c>
      <c r="B53" s="166">
        <f t="shared" si="1"/>
        <v>1</v>
      </c>
      <c r="C53" s="7" t="s">
        <v>195</v>
      </c>
      <c r="D53" s="40" t="s">
        <v>196</v>
      </c>
      <c r="E53" s="7">
        <v>4</v>
      </c>
      <c r="F53" s="7" t="s">
        <v>34</v>
      </c>
      <c r="G53" s="19">
        <v>45006</v>
      </c>
      <c r="H53" s="7" t="s">
        <v>73</v>
      </c>
      <c r="I53" s="19" t="s">
        <v>78</v>
      </c>
      <c r="J53" s="7">
        <f>IFERROR(VLOOKUP(I53,Jueces!$A$1:$B$11,2,FALSE),"")</f>
        <v>8</v>
      </c>
      <c r="K53" s="7" t="s">
        <v>210</v>
      </c>
      <c r="L53" s="7" t="s">
        <v>211</v>
      </c>
    </row>
    <row r="54" spans="1:12" ht="30" customHeight="1">
      <c r="A54" s="172" t="str">
        <f t="shared" si="0"/>
        <v>21/03/20232</v>
      </c>
      <c r="B54" s="166">
        <f t="shared" si="1"/>
        <v>2</v>
      </c>
      <c r="C54" s="7" t="s">
        <v>253</v>
      </c>
      <c r="D54" s="40" t="s">
        <v>255</v>
      </c>
      <c r="E54" s="7">
        <v>3</v>
      </c>
      <c r="F54" s="7" t="s">
        <v>43</v>
      </c>
      <c r="G54" s="19">
        <v>45006</v>
      </c>
      <c r="H54" s="7" t="s">
        <v>73</v>
      </c>
      <c r="I54" s="19" t="s">
        <v>33</v>
      </c>
      <c r="J54" s="7">
        <f>IFERROR(VLOOKUP(I54,Jueces!$A$1:$B$11,2,FALSE),"")</f>
        <v>4</v>
      </c>
      <c r="K54" s="7" t="s">
        <v>688</v>
      </c>
      <c r="L54" s="7" t="s">
        <v>267</v>
      </c>
    </row>
    <row r="55" spans="1:12" ht="30" customHeight="1">
      <c r="A55" s="172" t="str">
        <f t="shared" si="0"/>
        <v>21/03/20233</v>
      </c>
      <c r="B55" s="166">
        <f t="shared" si="1"/>
        <v>3</v>
      </c>
      <c r="C55" s="7" t="s">
        <v>215</v>
      </c>
      <c r="D55" s="40" t="s">
        <v>217</v>
      </c>
      <c r="E55" s="7">
        <v>4</v>
      </c>
      <c r="F55" s="7" t="s">
        <v>32</v>
      </c>
      <c r="G55" s="19">
        <v>45006</v>
      </c>
      <c r="H55" s="7" t="s">
        <v>76</v>
      </c>
      <c r="I55" s="19" t="s">
        <v>78</v>
      </c>
      <c r="J55" s="7">
        <f>IFERROR(VLOOKUP(I55,Jueces!$A$1:$B$11,2,FALSE),"")</f>
        <v>8</v>
      </c>
      <c r="K55" s="7" t="s">
        <v>246</v>
      </c>
      <c r="L55" s="7" t="s">
        <v>241</v>
      </c>
    </row>
    <row r="56" spans="1:12" ht="30" customHeight="1">
      <c r="A56" s="172" t="str">
        <f t="shared" si="0"/>
        <v>21/03/20234</v>
      </c>
      <c r="B56" s="166">
        <f t="shared" si="1"/>
        <v>4</v>
      </c>
      <c r="C56" s="7" t="s">
        <v>446</v>
      </c>
      <c r="D56" s="40" t="s">
        <v>354</v>
      </c>
      <c r="E56" s="7">
        <v>4</v>
      </c>
      <c r="F56" s="7" t="s">
        <v>34</v>
      </c>
      <c r="G56" s="19">
        <v>45006</v>
      </c>
      <c r="H56" s="7" t="s">
        <v>76</v>
      </c>
      <c r="I56" s="19" t="s">
        <v>35</v>
      </c>
      <c r="J56" s="7">
        <f>IFERROR(VLOOKUP(I56,Jueces!$A$1:$B$11,2,FALSE),"")</f>
        <v>3</v>
      </c>
      <c r="K56" s="7" t="s">
        <v>326</v>
      </c>
      <c r="L56" s="7" t="s">
        <v>307</v>
      </c>
    </row>
    <row r="57" spans="1:12" ht="30" customHeight="1">
      <c r="A57" s="172" t="str">
        <f t="shared" si="0"/>
        <v>21/03/20235</v>
      </c>
      <c r="B57" s="166">
        <f t="shared" si="1"/>
        <v>5</v>
      </c>
      <c r="C57" s="7" t="s">
        <v>207</v>
      </c>
      <c r="D57" s="40" t="s">
        <v>206</v>
      </c>
      <c r="E57" s="7">
        <v>3</v>
      </c>
      <c r="F57" s="7" t="s">
        <v>1433</v>
      </c>
      <c r="G57" s="19">
        <v>45006</v>
      </c>
      <c r="H57" s="7" t="s">
        <v>228</v>
      </c>
      <c r="I57" s="19" t="s">
        <v>33</v>
      </c>
      <c r="J57" s="7">
        <f>IFERROR(VLOOKUP(I57,Jueces!$A$1:$B$11,2,FALSE),"")</f>
        <v>4</v>
      </c>
      <c r="K57" s="7" t="s">
        <v>244</v>
      </c>
      <c r="L57" s="7" t="s">
        <v>188</v>
      </c>
    </row>
    <row r="58" spans="1:12" ht="30" customHeight="1">
      <c r="A58" s="172" t="str">
        <f t="shared" si="0"/>
        <v>22/03/20231</v>
      </c>
      <c r="B58" s="166">
        <f t="shared" si="1"/>
        <v>1</v>
      </c>
      <c r="C58" s="7" t="s">
        <v>257</v>
      </c>
      <c r="D58" s="40" t="s">
        <v>258</v>
      </c>
      <c r="E58" s="7">
        <v>4</v>
      </c>
      <c r="F58" s="7" t="s">
        <v>29</v>
      </c>
      <c r="G58" s="19">
        <v>45007</v>
      </c>
      <c r="H58" s="7" t="s">
        <v>73</v>
      </c>
      <c r="I58" s="19" t="s">
        <v>78</v>
      </c>
      <c r="J58" s="7">
        <f>IFERROR(VLOOKUP(I58,Jueces!$A$1:$B$11,2,FALSE),"")</f>
        <v>8</v>
      </c>
      <c r="K58" s="7" t="s">
        <v>288</v>
      </c>
      <c r="L58" s="7" t="s">
        <v>287</v>
      </c>
    </row>
    <row r="59" spans="1:12" ht="30" customHeight="1">
      <c r="A59" s="172" t="str">
        <f t="shared" si="0"/>
        <v>22/03/20232</v>
      </c>
      <c r="B59" s="166">
        <f t="shared" si="1"/>
        <v>2</v>
      </c>
      <c r="C59" s="7" t="s">
        <v>276</v>
      </c>
      <c r="D59" s="40" t="s">
        <v>286</v>
      </c>
      <c r="E59" s="7">
        <v>4</v>
      </c>
      <c r="F59" s="7" t="s">
        <v>283</v>
      </c>
      <c r="G59" s="19">
        <v>45007</v>
      </c>
      <c r="H59" s="7" t="s">
        <v>73</v>
      </c>
      <c r="I59" s="19" t="s">
        <v>33</v>
      </c>
      <c r="J59" s="7">
        <f>IFERROR(VLOOKUP(I59,Jueces!$A$1:$B$11,2,FALSE),"")</f>
        <v>4</v>
      </c>
      <c r="K59" s="7" t="s">
        <v>300</v>
      </c>
      <c r="L59" s="7" t="s">
        <v>285</v>
      </c>
    </row>
    <row r="60" spans="1:12" ht="30" customHeight="1">
      <c r="A60" s="172" t="str">
        <f t="shared" si="0"/>
        <v>22/03/20233</v>
      </c>
      <c r="B60" s="166">
        <f t="shared" si="1"/>
        <v>3</v>
      </c>
      <c r="C60" s="7" t="s">
        <v>180</v>
      </c>
      <c r="D60" s="40" t="s">
        <v>179</v>
      </c>
      <c r="E60" s="7">
        <v>3</v>
      </c>
      <c r="F60" s="7" t="s">
        <v>29</v>
      </c>
      <c r="G60" s="19">
        <v>45007</v>
      </c>
      <c r="H60" s="7" t="s">
        <v>76</v>
      </c>
      <c r="I60" s="19" t="s">
        <v>35</v>
      </c>
      <c r="J60" s="7">
        <f>IFERROR(VLOOKUP(I60,Jueces!$A$1:$B$11,2,FALSE),"")</f>
        <v>3</v>
      </c>
      <c r="K60" s="7" t="s">
        <v>190</v>
      </c>
      <c r="L60" s="7" t="s">
        <v>188</v>
      </c>
    </row>
    <row r="61" spans="1:12" ht="30" customHeight="1">
      <c r="A61" s="172" t="str">
        <f t="shared" si="0"/>
        <v>22/03/20234</v>
      </c>
      <c r="B61" s="166">
        <f t="shared" si="1"/>
        <v>4</v>
      </c>
      <c r="C61" s="7" t="s">
        <v>222</v>
      </c>
      <c r="D61" s="40" t="s">
        <v>223</v>
      </c>
      <c r="E61" s="7">
        <v>4</v>
      </c>
      <c r="F61" s="7" t="s">
        <v>283</v>
      </c>
      <c r="G61" s="19">
        <v>45007</v>
      </c>
      <c r="H61" s="7" t="s">
        <v>76</v>
      </c>
      <c r="I61" s="19" t="s">
        <v>78</v>
      </c>
      <c r="J61" s="7">
        <f>IFERROR(VLOOKUP(I61,Jueces!$A$1:$B$11,2,FALSE),"")</f>
        <v>8</v>
      </c>
      <c r="K61" s="7" t="s">
        <v>249</v>
      </c>
      <c r="L61" s="7" t="s">
        <v>241</v>
      </c>
    </row>
    <row r="62" spans="1:12" ht="30" customHeight="1">
      <c r="A62" s="172" t="str">
        <f t="shared" si="0"/>
        <v>22/03/20235</v>
      </c>
      <c r="B62" s="166">
        <f t="shared" si="1"/>
        <v>5</v>
      </c>
      <c r="C62" s="7" t="s">
        <v>219</v>
      </c>
      <c r="D62" s="40" t="s">
        <v>218</v>
      </c>
      <c r="E62" s="7">
        <v>3</v>
      </c>
      <c r="F62" s="7" t="s">
        <v>34</v>
      </c>
      <c r="G62" s="19">
        <v>45007</v>
      </c>
      <c r="H62" s="7" t="s">
        <v>75</v>
      </c>
      <c r="I62" s="19" t="s">
        <v>31</v>
      </c>
      <c r="J62" s="7">
        <f>IFERROR(VLOOKUP(I62,Jueces!$A$1:$B$11,2,FALSE),"")</f>
        <v>2</v>
      </c>
      <c r="K62" s="7" t="s">
        <v>247</v>
      </c>
      <c r="L62" s="7" t="s">
        <v>188</v>
      </c>
    </row>
    <row r="63" spans="1:12" ht="30" customHeight="1">
      <c r="A63" s="172" t="str">
        <f t="shared" si="0"/>
        <v>22/03/20236</v>
      </c>
      <c r="B63" s="166">
        <f t="shared" si="1"/>
        <v>6</v>
      </c>
      <c r="C63" s="7" t="s">
        <v>254</v>
      </c>
      <c r="D63" s="40" t="s">
        <v>256</v>
      </c>
      <c r="E63" s="7">
        <v>3</v>
      </c>
      <c r="F63" s="7" t="s">
        <v>32</v>
      </c>
      <c r="G63" s="19">
        <v>45007</v>
      </c>
      <c r="H63" s="7" t="s">
        <v>77</v>
      </c>
      <c r="I63" s="19" t="s">
        <v>33</v>
      </c>
      <c r="J63" s="7">
        <f>IFERROR(VLOOKUP(I63,Jueces!$A$1:$B$11,2,FALSE),"")</f>
        <v>4</v>
      </c>
      <c r="K63" s="7" t="s">
        <v>338</v>
      </c>
      <c r="L63" s="7" t="s">
        <v>266</v>
      </c>
    </row>
    <row r="64" spans="1:12" ht="30" customHeight="1">
      <c r="A64" s="172" t="str">
        <f t="shared" si="0"/>
        <v>23/03/20231</v>
      </c>
      <c r="B64" s="166">
        <f t="shared" si="1"/>
        <v>1</v>
      </c>
      <c r="C64" s="7" t="s">
        <v>224</v>
      </c>
      <c r="D64" s="40" t="s">
        <v>225</v>
      </c>
      <c r="E64" s="7">
        <v>4</v>
      </c>
      <c r="F64" s="7" t="s">
        <v>32</v>
      </c>
      <c r="G64" s="19">
        <v>45008</v>
      </c>
      <c r="H64" s="7" t="s">
        <v>73</v>
      </c>
      <c r="I64" s="19" t="s">
        <v>35</v>
      </c>
      <c r="J64" s="7">
        <f>IFERROR(VLOOKUP(I64,Jueces!$A$1:$B$11,2,FALSE),"")</f>
        <v>3</v>
      </c>
      <c r="K64" s="7" t="s">
        <v>240</v>
      </c>
      <c r="L64" s="7" t="s">
        <v>241</v>
      </c>
    </row>
    <row r="65" spans="1:12" ht="30" customHeight="1">
      <c r="A65" s="172" t="str">
        <f t="shared" si="0"/>
        <v>23/03/20232</v>
      </c>
      <c r="B65" s="166">
        <f t="shared" si="1"/>
        <v>2</v>
      </c>
      <c r="C65" s="7" t="s">
        <v>259</v>
      </c>
      <c r="D65" s="40" t="s">
        <v>205</v>
      </c>
      <c r="E65" s="7">
        <v>4</v>
      </c>
      <c r="F65" s="7" t="s">
        <v>1433</v>
      </c>
      <c r="G65" s="19">
        <v>45008</v>
      </c>
      <c r="H65" s="7" t="s">
        <v>73</v>
      </c>
      <c r="I65" s="19" t="s">
        <v>33</v>
      </c>
      <c r="J65" s="7">
        <f>IFERROR(VLOOKUP(I65,Jueces!$A$1:$B$11,2,FALSE),"")</f>
        <v>4</v>
      </c>
      <c r="K65" s="7" t="s">
        <v>242</v>
      </c>
      <c r="L65" s="7" t="s">
        <v>243</v>
      </c>
    </row>
    <row r="66" spans="1:12" ht="30" customHeight="1">
      <c r="A66" s="172" t="str">
        <f t="shared" si="0"/>
        <v>23/03/20233</v>
      </c>
      <c r="B66" s="166">
        <f t="shared" si="1"/>
        <v>3</v>
      </c>
      <c r="C66" s="7" t="s">
        <v>7</v>
      </c>
      <c r="D66" s="40" t="s">
        <v>316</v>
      </c>
      <c r="E66" s="7">
        <v>3</v>
      </c>
      <c r="F66" s="7" t="s">
        <v>283</v>
      </c>
      <c r="G66" s="19">
        <v>45008</v>
      </c>
      <c r="H66" s="7" t="s">
        <v>73</v>
      </c>
      <c r="I66" s="19" t="s">
        <v>78</v>
      </c>
      <c r="J66" s="7">
        <f>IFERROR(VLOOKUP(I66,Jueces!$A$1:$B$11,2,FALSE),"")</f>
        <v>8</v>
      </c>
      <c r="K66" s="7" t="s">
        <v>93</v>
      </c>
      <c r="L66" s="7" t="s">
        <v>317</v>
      </c>
    </row>
    <row r="67" spans="1:12" ht="30" customHeight="1">
      <c r="A67" s="172" t="str">
        <f t="shared" ref="A67:A130" si="2">CONCATENATE(TEXT($G67,"dd/mm/yyyy"),$B67)</f>
        <v>23/03/20234</v>
      </c>
      <c r="B67" s="166">
        <f t="shared" si="1"/>
        <v>4</v>
      </c>
      <c r="C67" s="7" t="s">
        <v>202</v>
      </c>
      <c r="D67" s="40" t="s">
        <v>201</v>
      </c>
      <c r="E67" s="7">
        <v>4</v>
      </c>
      <c r="F67" s="7" t="s">
        <v>29</v>
      </c>
      <c r="G67" s="19">
        <v>45008</v>
      </c>
      <c r="H67" s="7" t="s">
        <v>76</v>
      </c>
      <c r="I67" s="19" t="s">
        <v>35</v>
      </c>
      <c r="J67" s="7">
        <f>IFERROR(VLOOKUP(I67,Jueces!$A$1:$B$11,2,FALSE),"")</f>
        <v>3</v>
      </c>
      <c r="K67" s="7" t="s">
        <v>245</v>
      </c>
      <c r="L67" s="7" t="s">
        <v>169</v>
      </c>
    </row>
    <row r="68" spans="1:12" ht="30" customHeight="1">
      <c r="A68" s="172" t="str">
        <f t="shared" si="2"/>
        <v>23/03/20235</v>
      </c>
      <c r="B68" s="166">
        <f t="shared" ref="B68:B131" si="3">IF($G68=$G67,$B67+1,1)</f>
        <v>5</v>
      </c>
      <c r="C68" s="7" t="s">
        <v>236</v>
      </c>
      <c r="D68" s="40" t="s">
        <v>237</v>
      </c>
      <c r="E68" s="7">
        <v>3</v>
      </c>
      <c r="F68" s="7" t="s">
        <v>34</v>
      </c>
      <c r="G68" s="19">
        <v>45008</v>
      </c>
      <c r="H68" s="7" t="s">
        <v>228</v>
      </c>
      <c r="I68" s="19" t="s">
        <v>31</v>
      </c>
      <c r="J68" s="7">
        <f>IFERROR(VLOOKUP(I68,Jueces!$A$1:$B$11,2,FALSE),"")</f>
        <v>2</v>
      </c>
      <c r="K68" s="7" t="s">
        <v>271</v>
      </c>
      <c r="L68" s="7" t="s">
        <v>272</v>
      </c>
    </row>
    <row r="69" spans="1:12" ht="30" customHeight="1">
      <c r="A69" s="172" t="str">
        <f t="shared" si="2"/>
        <v>27/03/20231</v>
      </c>
      <c r="B69" s="166">
        <f t="shared" si="3"/>
        <v>1</v>
      </c>
      <c r="C69" s="7" t="s">
        <v>232</v>
      </c>
      <c r="D69" s="40" t="s">
        <v>231</v>
      </c>
      <c r="E69" s="7">
        <v>3</v>
      </c>
      <c r="F69" s="7" t="s">
        <v>43</v>
      </c>
      <c r="G69" s="19">
        <v>45012</v>
      </c>
      <c r="H69" s="7" t="s">
        <v>73</v>
      </c>
      <c r="I69" s="19" t="s">
        <v>31</v>
      </c>
      <c r="J69" s="7">
        <f>IFERROR(VLOOKUP(I69,Jueces!$A$1:$B$11,2,FALSE),"")</f>
        <v>2</v>
      </c>
      <c r="K69" s="7" t="s">
        <v>263</v>
      </c>
      <c r="L69" s="7" t="s">
        <v>188</v>
      </c>
    </row>
    <row r="70" spans="1:12" ht="30" customHeight="1">
      <c r="A70" s="172" t="str">
        <f t="shared" si="2"/>
        <v>27/03/20232</v>
      </c>
      <c r="B70" s="166">
        <f t="shared" si="3"/>
        <v>2</v>
      </c>
      <c r="C70" s="7" t="s">
        <v>212</v>
      </c>
      <c r="D70" s="40" t="s">
        <v>216</v>
      </c>
      <c r="E70" s="7">
        <v>4</v>
      </c>
      <c r="F70" s="7" t="s">
        <v>1433</v>
      </c>
      <c r="G70" s="19">
        <v>45012</v>
      </c>
      <c r="H70" s="7" t="s">
        <v>73</v>
      </c>
      <c r="I70" s="19" t="s">
        <v>33</v>
      </c>
      <c r="J70" s="7">
        <f>IFERROR(VLOOKUP(I70,Jueces!$A$1:$B$11,2,FALSE),"")</f>
        <v>4</v>
      </c>
      <c r="K70" s="7" t="s">
        <v>245</v>
      </c>
      <c r="L70" s="7" t="s">
        <v>241</v>
      </c>
    </row>
    <row r="71" spans="1:12" ht="30" customHeight="1">
      <c r="A71" s="172" t="str">
        <f t="shared" si="2"/>
        <v>27/03/20233</v>
      </c>
      <c r="B71" s="166">
        <f t="shared" si="3"/>
        <v>3</v>
      </c>
      <c r="C71" s="7" t="s">
        <v>324</v>
      </c>
      <c r="D71" s="40" t="s">
        <v>356</v>
      </c>
      <c r="E71" s="7">
        <v>4</v>
      </c>
      <c r="F71" s="7" t="s">
        <v>283</v>
      </c>
      <c r="G71" s="19">
        <v>45012</v>
      </c>
      <c r="H71" s="7" t="s">
        <v>73</v>
      </c>
      <c r="I71" s="19" t="s">
        <v>78</v>
      </c>
      <c r="J71" s="7">
        <f>IFERROR(VLOOKUP(I71,Jueces!$A$1:$B$11,2,FALSE),"")</f>
        <v>8</v>
      </c>
      <c r="K71" s="7" t="s">
        <v>330</v>
      </c>
      <c r="L71" s="7" t="s">
        <v>307</v>
      </c>
    </row>
    <row r="72" spans="1:12" ht="30" customHeight="1">
      <c r="A72" s="172" t="str">
        <f t="shared" si="2"/>
        <v>27/03/20234</v>
      </c>
      <c r="B72" s="166">
        <f t="shared" si="3"/>
        <v>4</v>
      </c>
      <c r="C72" s="7" t="s">
        <v>268</v>
      </c>
      <c r="D72" s="40" t="s">
        <v>269</v>
      </c>
      <c r="E72" s="7">
        <v>4</v>
      </c>
      <c r="F72" s="7" t="s">
        <v>1433</v>
      </c>
      <c r="G72" s="19">
        <v>45012</v>
      </c>
      <c r="H72" s="7" t="s">
        <v>76</v>
      </c>
      <c r="I72" s="19" t="s">
        <v>35</v>
      </c>
      <c r="J72" s="7">
        <f>IFERROR(VLOOKUP(I72,Jueces!$A$1:$B$11,2,FALSE),"")</f>
        <v>3</v>
      </c>
      <c r="K72" s="7" t="s">
        <v>290</v>
      </c>
      <c r="L72" s="7" t="s">
        <v>287</v>
      </c>
    </row>
    <row r="73" spans="1:12" ht="30" customHeight="1">
      <c r="A73" s="172" t="str">
        <f t="shared" si="2"/>
        <v>27/03/20235</v>
      </c>
      <c r="B73" s="166">
        <f t="shared" si="3"/>
        <v>5</v>
      </c>
      <c r="C73" s="7" t="s">
        <v>357</v>
      </c>
      <c r="D73" s="40" t="s">
        <v>358</v>
      </c>
      <c r="E73" s="7">
        <v>4</v>
      </c>
      <c r="F73" s="7" t="s">
        <v>32</v>
      </c>
      <c r="G73" s="19">
        <v>45012</v>
      </c>
      <c r="H73" s="7" t="s">
        <v>77</v>
      </c>
      <c r="I73" s="19" t="s">
        <v>33</v>
      </c>
      <c r="J73" s="7">
        <f>IFERROR(VLOOKUP(I73,Jueces!$A$1:$B$11,2,FALSE),"")</f>
        <v>4</v>
      </c>
      <c r="K73" s="7" t="s">
        <v>369</v>
      </c>
      <c r="L73" s="7" t="s">
        <v>377</v>
      </c>
    </row>
    <row r="74" spans="1:12" ht="30" customHeight="1">
      <c r="A74" s="172" t="str">
        <f t="shared" si="2"/>
        <v>27/03/20236</v>
      </c>
      <c r="B74" s="166">
        <f t="shared" si="3"/>
        <v>6</v>
      </c>
      <c r="C74" s="7" t="s">
        <v>114</v>
      </c>
      <c r="D74" s="40" t="s">
        <v>115</v>
      </c>
      <c r="E74" s="7">
        <v>3</v>
      </c>
      <c r="F74" s="7" t="s">
        <v>29</v>
      </c>
      <c r="G74" s="19">
        <v>45012</v>
      </c>
      <c r="H74" s="7" t="s">
        <v>228</v>
      </c>
      <c r="I74" s="19" t="s">
        <v>31</v>
      </c>
      <c r="J74" s="7">
        <f>IFERROR(VLOOKUP(I74,Jueces!$A$1:$B$11,2,FALSE),"")</f>
        <v>2</v>
      </c>
      <c r="K74" s="7" t="s">
        <v>313</v>
      </c>
      <c r="L74" s="7" t="s">
        <v>377</v>
      </c>
    </row>
    <row r="75" spans="1:12" ht="30" customHeight="1">
      <c r="A75" s="172" t="str">
        <f t="shared" si="2"/>
        <v>28/03/20231</v>
      </c>
      <c r="B75" s="166">
        <f t="shared" si="3"/>
        <v>1</v>
      </c>
      <c r="C75" s="7" t="s">
        <v>229</v>
      </c>
      <c r="D75" s="40" t="s">
        <v>230</v>
      </c>
      <c r="E75" s="7">
        <v>3</v>
      </c>
      <c r="F75" s="7" t="s">
        <v>32</v>
      </c>
      <c r="G75" s="19">
        <v>45013</v>
      </c>
      <c r="H75" s="7" t="s">
        <v>73</v>
      </c>
      <c r="I75" s="19" t="s">
        <v>35</v>
      </c>
      <c r="J75" s="7">
        <f>IFERROR(VLOOKUP(I75,Jueces!$A$1:$B$11,2,FALSE),"")</f>
        <v>3</v>
      </c>
      <c r="K75" s="7" t="s">
        <v>264</v>
      </c>
      <c r="L75" s="7" t="s">
        <v>265</v>
      </c>
    </row>
    <row r="76" spans="1:12" ht="30" customHeight="1">
      <c r="A76" s="172" t="str">
        <f t="shared" si="2"/>
        <v>28/03/20232</v>
      </c>
      <c r="B76" s="166">
        <f t="shared" si="3"/>
        <v>2</v>
      </c>
      <c r="C76" s="7" t="s">
        <v>311</v>
      </c>
      <c r="D76" s="40" t="s">
        <v>312</v>
      </c>
      <c r="E76" s="7">
        <v>3</v>
      </c>
      <c r="F76" s="7" t="s">
        <v>43</v>
      </c>
      <c r="G76" s="19">
        <v>45013</v>
      </c>
      <c r="H76" s="7" t="s">
        <v>73</v>
      </c>
      <c r="I76" s="19" t="s">
        <v>31</v>
      </c>
      <c r="J76" s="7">
        <f>IFERROR(VLOOKUP(I76,Jueces!$A$1:$B$11,2,FALSE),"")</f>
        <v>2</v>
      </c>
      <c r="K76" s="7" t="s">
        <v>313</v>
      </c>
      <c r="L76" s="7" t="s">
        <v>314</v>
      </c>
    </row>
    <row r="77" spans="1:12" ht="30" customHeight="1">
      <c r="A77" s="172" t="str">
        <f t="shared" si="2"/>
        <v>28/03/20233</v>
      </c>
      <c r="B77" s="166">
        <f t="shared" si="3"/>
        <v>3</v>
      </c>
      <c r="C77" s="7" t="s">
        <v>293</v>
      </c>
      <c r="D77" s="40" t="s">
        <v>279</v>
      </c>
      <c r="E77" s="7">
        <v>3</v>
      </c>
      <c r="F77" s="7" t="s">
        <v>29</v>
      </c>
      <c r="G77" s="19">
        <v>45013</v>
      </c>
      <c r="H77" s="7" t="s">
        <v>76</v>
      </c>
      <c r="I77" s="19" t="s">
        <v>35</v>
      </c>
      <c r="J77" s="7">
        <f>IFERROR(VLOOKUP(I77,Jueces!$A$1:$B$11,2,FALSE),"")</f>
        <v>3</v>
      </c>
      <c r="K77" s="7" t="s">
        <v>301</v>
      </c>
      <c r="L77" s="7" t="s">
        <v>302</v>
      </c>
    </row>
    <row r="78" spans="1:12" ht="30" customHeight="1">
      <c r="A78" s="172" t="str">
        <f t="shared" si="2"/>
        <v>28/03/20234</v>
      </c>
      <c r="B78" s="166">
        <f t="shared" si="3"/>
        <v>4</v>
      </c>
      <c r="C78" s="7" t="s">
        <v>238</v>
      </c>
      <c r="D78" s="40" t="s">
        <v>239</v>
      </c>
      <c r="E78" s="7">
        <v>3</v>
      </c>
      <c r="F78" s="7" t="s">
        <v>34</v>
      </c>
      <c r="G78" s="19">
        <v>45013</v>
      </c>
      <c r="H78" s="7" t="s">
        <v>228</v>
      </c>
      <c r="I78" s="19" t="s">
        <v>78</v>
      </c>
      <c r="J78" s="7">
        <f>IFERROR(VLOOKUP(I78,Jueces!$A$1:$B$11,2,FALSE),"")</f>
        <v>8</v>
      </c>
      <c r="K78" s="7" t="s">
        <v>277</v>
      </c>
      <c r="L78" s="7" t="s">
        <v>278</v>
      </c>
    </row>
    <row r="79" spans="1:12" ht="30" customHeight="1">
      <c r="A79" s="172" t="str">
        <f t="shared" si="2"/>
        <v>29/03/20231</v>
      </c>
      <c r="B79" s="166">
        <f t="shared" si="3"/>
        <v>1</v>
      </c>
      <c r="C79" s="7" t="s">
        <v>295</v>
      </c>
      <c r="D79" s="40" t="s">
        <v>297</v>
      </c>
      <c r="E79" s="7">
        <v>4</v>
      </c>
      <c r="F79" s="7" t="s">
        <v>32</v>
      </c>
      <c r="G79" s="19">
        <v>45014</v>
      </c>
      <c r="H79" s="7" t="s">
        <v>73</v>
      </c>
      <c r="I79" s="19" t="s">
        <v>33</v>
      </c>
      <c r="J79" s="7">
        <f>IFERROR(VLOOKUP(I79,Jueces!$A$1:$B$11,2,FALSE),"")</f>
        <v>4</v>
      </c>
      <c r="K79" s="7" t="s">
        <v>142</v>
      </c>
      <c r="L79" s="7" t="s">
        <v>287</v>
      </c>
    </row>
    <row r="80" spans="1:12" ht="30" customHeight="1">
      <c r="A80" s="172" t="str">
        <f t="shared" si="2"/>
        <v>29/03/20232</v>
      </c>
      <c r="B80" s="166">
        <f t="shared" si="3"/>
        <v>2</v>
      </c>
      <c r="C80" s="7" t="s">
        <v>294</v>
      </c>
      <c r="D80" s="40" t="s">
        <v>296</v>
      </c>
      <c r="E80" s="7">
        <v>4</v>
      </c>
      <c r="F80" s="7" t="s">
        <v>43</v>
      </c>
      <c r="G80" s="19">
        <v>45014</v>
      </c>
      <c r="H80" s="7" t="s">
        <v>76</v>
      </c>
      <c r="I80" s="19" t="s">
        <v>31</v>
      </c>
      <c r="J80" s="7">
        <f>IFERROR(VLOOKUP(I80,Jueces!$A$1:$B$11,2,FALSE),"")</f>
        <v>2</v>
      </c>
      <c r="K80" s="7" t="s">
        <v>303</v>
      </c>
      <c r="L80" s="7" t="s">
        <v>287</v>
      </c>
    </row>
    <row r="81" spans="1:12" ht="30" customHeight="1">
      <c r="A81" s="172" t="str">
        <f t="shared" si="2"/>
        <v>29/03/20233</v>
      </c>
      <c r="B81" s="166">
        <f t="shared" si="3"/>
        <v>3</v>
      </c>
      <c r="C81" s="7" t="s">
        <v>342</v>
      </c>
      <c r="D81" s="40" t="s">
        <v>348</v>
      </c>
      <c r="E81" s="7">
        <v>4</v>
      </c>
      <c r="F81" s="7" t="s">
        <v>29</v>
      </c>
      <c r="G81" s="19">
        <v>45014</v>
      </c>
      <c r="H81" s="7" t="s">
        <v>75</v>
      </c>
      <c r="I81" s="19" t="s">
        <v>33</v>
      </c>
      <c r="J81" s="7">
        <f>IFERROR(VLOOKUP(I81,Jueces!$A$1:$B$11,2,FALSE),"")</f>
        <v>4</v>
      </c>
      <c r="K81" s="7" t="s">
        <v>365</v>
      </c>
      <c r="L81" s="7" t="s">
        <v>584</v>
      </c>
    </row>
    <row r="82" spans="1:12" ht="30" customHeight="1">
      <c r="A82" s="172" t="str">
        <f t="shared" si="2"/>
        <v>29/03/20234</v>
      </c>
      <c r="B82" s="166">
        <f t="shared" si="3"/>
        <v>4</v>
      </c>
      <c r="C82" s="7" t="s">
        <v>502</v>
      </c>
      <c r="D82" s="40" t="s">
        <v>507</v>
      </c>
      <c r="E82" s="7">
        <v>4</v>
      </c>
      <c r="F82" s="7" t="s">
        <v>283</v>
      </c>
      <c r="G82" s="19">
        <v>45014</v>
      </c>
      <c r="H82" s="7" t="s">
        <v>547</v>
      </c>
      <c r="I82" s="19" t="s">
        <v>33</v>
      </c>
      <c r="J82" s="7">
        <f>IFERROR(VLOOKUP(I82,Jueces!$A$1:$B$11,2,FALSE),"")</f>
        <v>4</v>
      </c>
      <c r="K82" s="7" t="s">
        <v>380</v>
      </c>
      <c r="L82" s="7" t="s">
        <v>363</v>
      </c>
    </row>
    <row r="83" spans="1:12" ht="30" customHeight="1">
      <c r="A83" s="172" t="str">
        <f t="shared" si="2"/>
        <v>29/03/20235</v>
      </c>
      <c r="B83" s="166">
        <f t="shared" si="3"/>
        <v>5</v>
      </c>
      <c r="C83" s="7" t="s">
        <v>487</v>
      </c>
      <c r="D83" s="40" t="s">
        <v>486</v>
      </c>
      <c r="E83" s="7">
        <v>4</v>
      </c>
      <c r="F83" s="7" t="s">
        <v>1433</v>
      </c>
      <c r="G83" s="19">
        <v>45014</v>
      </c>
      <c r="H83" s="7" t="s">
        <v>228</v>
      </c>
      <c r="I83" s="19" t="s">
        <v>31</v>
      </c>
      <c r="J83" s="7">
        <f>IFERROR(VLOOKUP(I83,Jueces!$A$1:$B$11,2,FALSE),"")</f>
        <v>2</v>
      </c>
      <c r="K83" s="7" t="s">
        <v>512</v>
      </c>
      <c r="L83" s="7" t="s">
        <v>570</v>
      </c>
    </row>
    <row r="84" spans="1:12" ht="30" customHeight="1">
      <c r="A84" s="172" t="str">
        <f t="shared" si="2"/>
        <v>29/03/20236</v>
      </c>
      <c r="B84" s="166">
        <f t="shared" si="3"/>
        <v>6</v>
      </c>
      <c r="C84" s="7" t="s">
        <v>305</v>
      </c>
      <c r="D84" s="40" t="s">
        <v>306</v>
      </c>
      <c r="E84" s="7">
        <v>4</v>
      </c>
      <c r="F84" s="7" t="s">
        <v>34</v>
      </c>
      <c r="G84" s="19">
        <v>45014</v>
      </c>
      <c r="H84" s="7" t="s">
        <v>74</v>
      </c>
      <c r="I84" s="19" t="s">
        <v>33</v>
      </c>
      <c r="J84" s="7">
        <f>IFERROR(VLOOKUP(I84,Jueces!$A$1:$B$11,2,FALSE),"")</f>
        <v>4</v>
      </c>
      <c r="K84" s="7" t="s">
        <v>134</v>
      </c>
      <c r="L84" s="7" t="s">
        <v>287</v>
      </c>
    </row>
    <row r="85" spans="1:12" ht="30" customHeight="1">
      <c r="A85" s="172" t="str">
        <f t="shared" si="2"/>
        <v>30/03/20231</v>
      </c>
      <c r="B85" s="166">
        <f t="shared" si="3"/>
        <v>1</v>
      </c>
      <c r="C85" s="7" t="s">
        <v>318</v>
      </c>
      <c r="D85" s="40" t="s">
        <v>319</v>
      </c>
      <c r="E85" s="7">
        <v>4</v>
      </c>
      <c r="F85" s="7" t="s">
        <v>1433</v>
      </c>
      <c r="G85" s="19">
        <v>45015</v>
      </c>
      <c r="H85" s="7" t="s">
        <v>73</v>
      </c>
      <c r="I85" s="19" t="s">
        <v>31</v>
      </c>
      <c r="J85" s="7">
        <f>IFERROR(VLOOKUP(I85,Jueces!$A$1:$B$11,2,FALSE),"")</f>
        <v>2</v>
      </c>
      <c r="K85" s="7" t="s">
        <v>303</v>
      </c>
      <c r="L85" s="7" t="s">
        <v>287</v>
      </c>
    </row>
    <row r="86" spans="1:12" ht="30" customHeight="1">
      <c r="A86" s="172" t="str">
        <f t="shared" si="2"/>
        <v>30/03/20232</v>
      </c>
      <c r="B86" s="166">
        <f t="shared" si="3"/>
        <v>2</v>
      </c>
      <c r="C86" s="7" t="s">
        <v>274</v>
      </c>
      <c r="D86" s="40" t="s">
        <v>275</v>
      </c>
      <c r="E86" s="7">
        <v>4</v>
      </c>
      <c r="F86" s="7" t="s">
        <v>34</v>
      </c>
      <c r="G86" s="19">
        <v>45015</v>
      </c>
      <c r="H86" s="7" t="s">
        <v>73</v>
      </c>
      <c r="I86" s="19" t="s">
        <v>78</v>
      </c>
      <c r="J86" s="7">
        <f>IFERROR(VLOOKUP(I86,Jueces!$A$1:$B$11,2,FALSE),"")</f>
        <v>8</v>
      </c>
      <c r="K86" s="7" t="s">
        <v>304</v>
      </c>
      <c r="L86" s="7" t="s">
        <v>285</v>
      </c>
    </row>
    <row r="87" spans="1:12" ht="30" customHeight="1">
      <c r="A87" s="172" t="str">
        <f t="shared" si="2"/>
        <v>31/03/20231</v>
      </c>
      <c r="B87" s="166">
        <f t="shared" si="3"/>
        <v>1</v>
      </c>
      <c r="C87" s="7" t="s">
        <v>308</v>
      </c>
      <c r="D87" s="40" t="s">
        <v>683</v>
      </c>
      <c r="E87" s="7">
        <v>3</v>
      </c>
      <c r="F87" s="7" t="s">
        <v>32</v>
      </c>
      <c r="G87" s="19">
        <v>45016</v>
      </c>
      <c r="H87" s="7" t="s">
        <v>73</v>
      </c>
      <c r="I87" s="19" t="s">
        <v>35</v>
      </c>
      <c r="J87" s="7">
        <f>IFERROR(VLOOKUP(I87,Jueces!$A$1:$B$11,2,FALSE),"")</f>
        <v>3</v>
      </c>
      <c r="K87" s="7" t="s">
        <v>315</v>
      </c>
      <c r="L87" s="7" t="s">
        <v>307</v>
      </c>
    </row>
    <row r="88" spans="1:12" ht="30" customHeight="1">
      <c r="A88" s="172" t="str">
        <f t="shared" si="2"/>
        <v>31/03/20232</v>
      </c>
      <c r="B88" s="166">
        <f t="shared" si="3"/>
        <v>2</v>
      </c>
      <c r="C88" s="7" t="s">
        <v>467</v>
      </c>
      <c r="D88" s="40" t="s">
        <v>468</v>
      </c>
      <c r="E88" s="7">
        <v>4</v>
      </c>
      <c r="F88" s="7" t="s">
        <v>43</v>
      </c>
      <c r="G88" s="19">
        <v>45016</v>
      </c>
      <c r="H88" s="7" t="s">
        <v>73</v>
      </c>
      <c r="I88" s="19" t="s">
        <v>33</v>
      </c>
      <c r="J88" s="7">
        <f>IFERROR(VLOOKUP(I88,Jueces!$A$1:$B$11,2,FALSE),"")</f>
        <v>4</v>
      </c>
      <c r="K88" s="7" t="s">
        <v>411</v>
      </c>
      <c r="L88" s="7" t="s">
        <v>287</v>
      </c>
    </row>
    <row r="89" spans="1:12" ht="30" customHeight="1">
      <c r="A89" s="172" t="str">
        <f t="shared" si="2"/>
        <v>31/03/20233</v>
      </c>
      <c r="B89" s="166">
        <f t="shared" si="3"/>
        <v>3</v>
      </c>
      <c r="C89" s="7" t="s">
        <v>331</v>
      </c>
      <c r="D89" s="40" t="s">
        <v>332</v>
      </c>
      <c r="E89" s="7">
        <v>4</v>
      </c>
      <c r="F89" s="7" t="s">
        <v>34</v>
      </c>
      <c r="G89" s="19">
        <v>45016</v>
      </c>
      <c r="H89" s="7" t="s">
        <v>76</v>
      </c>
      <c r="I89" s="19" t="s">
        <v>33</v>
      </c>
      <c r="J89" s="7">
        <f>IFERROR(VLOOKUP(I89,Jueces!$A$1:$B$11,2,FALSE),"")</f>
        <v>4</v>
      </c>
      <c r="K89" s="7" t="s">
        <v>303</v>
      </c>
      <c r="L89" s="7" t="s">
        <v>287</v>
      </c>
    </row>
    <row r="90" spans="1:12" ht="30" customHeight="1">
      <c r="A90" s="172" t="str">
        <f t="shared" si="2"/>
        <v>03/04/20231</v>
      </c>
      <c r="B90" s="166">
        <f t="shared" si="3"/>
        <v>1</v>
      </c>
      <c r="C90" s="7" t="s">
        <v>250</v>
      </c>
      <c r="D90" s="40" t="s">
        <v>252</v>
      </c>
      <c r="E90" s="7">
        <v>3</v>
      </c>
      <c r="F90" s="7" t="s">
        <v>29</v>
      </c>
      <c r="G90" s="19">
        <v>45019</v>
      </c>
      <c r="H90" s="7" t="s">
        <v>73</v>
      </c>
      <c r="I90" s="19" t="s">
        <v>35</v>
      </c>
      <c r="J90" s="7">
        <f>IFERROR(VLOOKUP(I90,Jueces!$A$1:$B$11,2,FALSE),"")</f>
        <v>3</v>
      </c>
      <c r="K90" s="7" t="s">
        <v>289</v>
      </c>
      <c r="L90" s="7" t="s">
        <v>273</v>
      </c>
    </row>
    <row r="91" spans="1:12" ht="30" customHeight="1">
      <c r="A91" s="172" t="str">
        <f t="shared" si="2"/>
        <v>03/04/20232</v>
      </c>
      <c r="B91" s="166">
        <f t="shared" si="3"/>
        <v>2</v>
      </c>
      <c r="C91" s="7" t="s">
        <v>387</v>
      </c>
      <c r="D91" s="40" t="s">
        <v>390</v>
      </c>
      <c r="E91" s="7">
        <v>4</v>
      </c>
      <c r="F91" s="7" t="s">
        <v>1433</v>
      </c>
      <c r="G91" s="19">
        <v>45019</v>
      </c>
      <c r="H91" s="7" t="s">
        <v>73</v>
      </c>
      <c r="I91" s="19" t="s">
        <v>33</v>
      </c>
      <c r="J91" s="7">
        <f>IFERROR(VLOOKUP(I91,Jueces!$A$1:$B$11,2,FALSE),"")</f>
        <v>4</v>
      </c>
      <c r="K91" s="7" t="s">
        <v>405</v>
      </c>
      <c r="L91" s="7" t="s">
        <v>363</v>
      </c>
    </row>
    <row r="92" spans="1:12" ht="30" customHeight="1">
      <c r="A92" s="172" t="str">
        <f t="shared" si="2"/>
        <v>03/04/20233</v>
      </c>
      <c r="B92" s="166">
        <f t="shared" si="3"/>
        <v>3</v>
      </c>
      <c r="C92" s="7" t="s">
        <v>471</v>
      </c>
      <c r="D92" s="40" t="s">
        <v>325</v>
      </c>
      <c r="E92" s="7">
        <v>3</v>
      </c>
      <c r="F92" s="7" t="s">
        <v>43</v>
      </c>
      <c r="G92" s="19">
        <v>45019</v>
      </c>
      <c r="H92" s="7" t="s">
        <v>76</v>
      </c>
      <c r="I92" s="19" t="s">
        <v>31</v>
      </c>
      <c r="J92" s="7">
        <f>IFERROR(VLOOKUP(I92,Jueces!$A$1:$B$11,2,FALSE),"")</f>
        <v>2</v>
      </c>
      <c r="K92" s="7" t="s">
        <v>301</v>
      </c>
      <c r="L92" s="7" t="s">
        <v>302</v>
      </c>
    </row>
    <row r="93" spans="1:12" ht="30" customHeight="1">
      <c r="A93" s="172" t="str">
        <f t="shared" si="2"/>
        <v>03/04/20234</v>
      </c>
      <c r="B93" s="166">
        <f t="shared" si="3"/>
        <v>4</v>
      </c>
      <c r="C93" s="7" t="s">
        <v>333</v>
      </c>
      <c r="D93" s="40" t="s">
        <v>334</v>
      </c>
      <c r="E93" s="7">
        <v>3</v>
      </c>
      <c r="F93" s="7" t="s">
        <v>283</v>
      </c>
      <c r="G93" s="19">
        <v>45019</v>
      </c>
      <c r="H93" s="7" t="s">
        <v>75</v>
      </c>
      <c r="I93" s="19" t="s">
        <v>31</v>
      </c>
      <c r="J93" s="7">
        <f>IFERROR(VLOOKUP(I93,Jueces!$A$1:$B$11,2,FALSE),"")</f>
        <v>2</v>
      </c>
      <c r="K93" s="7" t="s">
        <v>315</v>
      </c>
      <c r="L93" s="7" t="s">
        <v>586</v>
      </c>
    </row>
    <row r="94" spans="1:12" ht="30" customHeight="1">
      <c r="A94" s="172" t="str">
        <f t="shared" si="2"/>
        <v>03/04/20235</v>
      </c>
      <c r="B94" s="166">
        <f t="shared" si="3"/>
        <v>5</v>
      </c>
      <c r="C94" s="7" t="s">
        <v>329</v>
      </c>
      <c r="D94" s="40" t="s">
        <v>328</v>
      </c>
      <c r="E94" s="7">
        <v>4</v>
      </c>
      <c r="F94" s="7" t="s">
        <v>34</v>
      </c>
      <c r="G94" s="19">
        <v>45019</v>
      </c>
      <c r="H94" s="7" t="s">
        <v>228</v>
      </c>
      <c r="I94" s="19" t="s">
        <v>33</v>
      </c>
      <c r="J94" s="7">
        <f>IFERROR(VLOOKUP(I94,Jueces!$A$1:$B$11,2,FALSE),"")</f>
        <v>4</v>
      </c>
      <c r="K94" s="7" t="s">
        <v>304</v>
      </c>
      <c r="L94" s="7" t="s">
        <v>287</v>
      </c>
    </row>
    <row r="95" spans="1:12" ht="30" customHeight="1">
      <c r="A95" s="172" t="str">
        <f t="shared" si="2"/>
        <v>04/04/20231</v>
      </c>
      <c r="B95" s="166">
        <f t="shared" si="3"/>
        <v>1</v>
      </c>
      <c r="C95" s="7" t="s">
        <v>222</v>
      </c>
      <c r="D95" s="40" t="s">
        <v>223</v>
      </c>
      <c r="E95" s="7">
        <v>4</v>
      </c>
      <c r="F95" s="7" t="s">
        <v>283</v>
      </c>
      <c r="G95" s="19">
        <v>45020</v>
      </c>
      <c r="H95" s="7" t="s">
        <v>73</v>
      </c>
      <c r="I95" s="19" t="s">
        <v>78</v>
      </c>
      <c r="J95" s="7">
        <f>IFERROR(VLOOKUP(I95,Jueces!$A$1:$B$11,2,FALSE),"")</f>
        <v>8</v>
      </c>
      <c r="K95" s="7" t="s">
        <v>249</v>
      </c>
      <c r="L95" s="7" t="s">
        <v>580</v>
      </c>
    </row>
    <row r="96" spans="1:12" ht="30" customHeight="1">
      <c r="A96" s="172" t="str">
        <f t="shared" si="2"/>
        <v>04/04/20232</v>
      </c>
      <c r="B96" s="166">
        <f t="shared" si="3"/>
        <v>2</v>
      </c>
      <c r="C96" s="7" t="s">
        <v>340</v>
      </c>
      <c r="D96" s="40" t="s">
        <v>346</v>
      </c>
      <c r="E96" s="7">
        <v>4</v>
      </c>
      <c r="F96" s="7" t="s">
        <v>29</v>
      </c>
      <c r="G96" s="19">
        <v>45020</v>
      </c>
      <c r="H96" s="7" t="s">
        <v>76</v>
      </c>
      <c r="I96" s="19" t="s">
        <v>31</v>
      </c>
      <c r="J96" s="7">
        <f>IFERROR(VLOOKUP(I96,Jueces!$A$1:$B$11,2,FALSE),"")</f>
        <v>2</v>
      </c>
      <c r="K96" s="7" t="s">
        <v>364</v>
      </c>
      <c r="L96" s="7" t="s">
        <v>287</v>
      </c>
    </row>
    <row r="97" spans="1:12" ht="30" customHeight="1">
      <c r="A97" s="172" t="str">
        <f t="shared" si="2"/>
        <v>05/04/20231</v>
      </c>
      <c r="B97" s="166">
        <f t="shared" si="3"/>
        <v>1</v>
      </c>
      <c r="C97" s="7" t="s">
        <v>335</v>
      </c>
      <c r="D97" s="40" t="s">
        <v>336</v>
      </c>
      <c r="E97" s="7">
        <v>4</v>
      </c>
      <c r="F97" s="7" t="s">
        <v>1433</v>
      </c>
      <c r="G97" s="19">
        <v>45021</v>
      </c>
      <c r="H97" s="7" t="s">
        <v>73</v>
      </c>
      <c r="I97" s="19" t="s">
        <v>31</v>
      </c>
      <c r="J97" s="7">
        <f>IFERROR(VLOOKUP(I97,Jueces!$A$1:$B$11,2,FALSE),"")</f>
        <v>2</v>
      </c>
      <c r="K97" s="7" t="s">
        <v>134</v>
      </c>
      <c r="L97" s="7" t="s">
        <v>287</v>
      </c>
    </row>
    <row r="98" spans="1:12" ht="30" customHeight="1">
      <c r="A98" s="172" t="str">
        <f t="shared" si="2"/>
        <v>05/04/20232</v>
      </c>
      <c r="B98" s="166">
        <f t="shared" si="3"/>
        <v>2</v>
      </c>
      <c r="C98" s="7" t="s">
        <v>385</v>
      </c>
      <c r="D98" s="40" t="s">
        <v>388</v>
      </c>
      <c r="E98" s="7">
        <v>4</v>
      </c>
      <c r="F98" s="7" t="s">
        <v>34</v>
      </c>
      <c r="G98" s="19">
        <v>45021</v>
      </c>
      <c r="H98" s="7" t="s">
        <v>73</v>
      </c>
      <c r="I98" s="19" t="s">
        <v>78</v>
      </c>
      <c r="J98" s="7">
        <f>IFERROR(VLOOKUP(I98,Jueces!$A$1:$B$11,2,FALSE),"")</f>
        <v>8</v>
      </c>
      <c r="K98" s="7" t="s">
        <v>392</v>
      </c>
      <c r="L98" s="7" t="s">
        <v>377</v>
      </c>
    </row>
    <row r="99" spans="1:12" ht="30" customHeight="1">
      <c r="A99" s="172" t="str">
        <f t="shared" si="2"/>
        <v>05/04/20233</v>
      </c>
      <c r="B99" s="166">
        <f t="shared" si="3"/>
        <v>3</v>
      </c>
      <c r="C99" s="7" t="s">
        <v>373</v>
      </c>
      <c r="D99" s="40" t="s">
        <v>374</v>
      </c>
      <c r="E99" s="7">
        <v>4</v>
      </c>
      <c r="F99" s="7" t="s">
        <v>1433</v>
      </c>
      <c r="G99" s="19">
        <v>45021</v>
      </c>
      <c r="H99" s="7" t="s">
        <v>76</v>
      </c>
      <c r="I99" s="19" t="s">
        <v>31</v>
      </c>
      <c r="J99" s="7">
        <f>IFERROR(VLOOKUP(I99,Jueces!$A$1:$B$11,2,FALSE),"")</f>
        <v>2</v>
      </c>
      <c r="K99" s="7" t="s">
        <v>375</v>
      </c>
      <c r="L99" s="7" t="s">
        <v>377</v>
      </c>
    </row>
    <row r="100" spans="1:12" ht="30" customHeight="1">
      <c r="A100" s="172" t="str">
        <f t="shared" si="2"/>
        <v>10/04/20231</v>
      </c>
      <c r="B100" s="166">
        <f t="shared" si="3"/>
        <v>1</v>
      </c>
      <c r="C100" s="7" t="s">
        <v>491</v>
      </c>
      <c r="D100" s="40" t="s">
        <v>490</v>
      </c>
      <c r="E100" s="7">
        <v>4</v>
      </c>
      <c r="F100" s="7" t="s">
        <v>32</v>
      </c>
      <c r="G100" s="19">
        <v>45026</v>
      </c>
      <c r="H100" s="7" t="s">
        <v>73</v>
      </c>
      <c r="I100" s="19" t="s">
        <v>33</v>
      </c>
      <c r="J100" s="7">
        <f>IFERROR(VLOOKUP(I100,Jueces!$A$1:$B$11,2,FALSE),"")</f>
        <v>4</v>
      </c>
      <c r="K100" s="7" t="s">
        <v>528</v>
      </c>
      <c r="L100" s="7" t="s">
        <v>363</v>
      </c>
    </row>
    <row r="101" spans="1:12" ht="30" customHeight="1">
      <c r="A101" s="172" t="str">
        <f t="shared" si="2"/>
        <v>10/04/20232</v>
      </c>
      <c r="B101" s="166">
        <f t="shared" si="3"/>
        <v>2</v>
      </c>
      <c r="C101" s="7" t="s">
        <v>417</v>
      </c>
      <c r="D101" s="40" t="s">
        <v>443</v>
      </c>
      <c r="E101" s="7">
        <v>4</v>
      </c>
      <c r="F101" s="7" t="s">
        <v>43</v>
      </c>
      <c r="G101" s="19">
        <v>45026</v>
      </c>
      <c r="H101" s="7" t="s">
        <v>73</v>
      </c>
      <c r="I101" s="19" t="s">
        <v>31</v>
      </c>
      <c r="J101" s="7">
        <f>IFERROR(VLOOKUP(I101,Jueces!$A$1:$B$11,2,FALSE),"")</f>
        <v>2</v>
      </c>
      <c r="K101" s="7" t="s">
        <v>313</v>
      </c>
      <c r="L101" s="7" t="s">
        <v>377</v>
      </c>
    </row>
    <row r="102" spans="1:12" ht="30" customHeight="1">
      <c r="A102" s="172" t="str">
        <f t="shared" si="2"/>
        <v>10/04/20233</v>
      </c>
      <c r="B102" s="166">
        <f t="shared" si="3"/>
        <v>3</v>
      </c>
      <c r="C102" s="7" t="s">
        <v>339</v>
      </c>
      <c r="D102" s="40" t="s">
        <v>345</v>
      </c>
      <c r="E102" s="7">
        <v>4</v>
      </c>
      <c r="F102" s="7" t="s">
        <v>29</v>
      </c>
      <c r="G102" s="19">
        <v>45026</v>
      </c>
      <c r="H102" s="7" t="s">
        <v>73</v>
      </c>
      <c r="I102" s="19" t="s">
        <v>35</v>
      </c>
      <c r="J102" s="7">
        <f>IFERROR(VLOOKUP(I102,Jueces!$A$1:$B$11,2,FALSE),"")</f>
        <v>3</v>
      </c>
      <c r="K102" s="7" t="s">
        <v>134</v>
      </c>
      <c r="L102" s="7" t="s">
        <v>363</v>
      </c>
    </row>
    <row r="103" spans="1:12" ht="30" customHeight="1">
      <c r="A103" s="172" t="str">
        <f t="shared" si="2"/>
        <v>10/04/20234</v>
      </c>
      <c r="B103" s="166">
        <f t="shared" si="3"/>
        <v>4</v>
      </c>
      <c r="C103" s="7" t="s">
        <v>351</v>
      </c>
      <c r="D103" s="40" t="s">
        <v>352</v>
      </c>
      <c r="E103" s="7">
        <v>4</v>
      </c>
      <c r="F103" s="7" t="s">
        <v>283</v>
      </c>
      <c r="G103" s="19">
        <v>45026</v>
      </c>
      <c r="H103" s="7" t="s">
        <v>73</v>
      </c>
      <c r="I103" s="19" t="s">
        <v>33</v>
      </c>
      <c r="J103" s="7">
        <f>IFERROR(VLOOKUP(I103,Jueces!$A$1:$B$11,2,FALSE),"")</f>
        <v>4</v>
      </c>
      <c r="K103" s="7" t="s">
        <v>368</v>
      </c>
      <c r="L103" s="7" t="s">
        <v>287</v>
      </c>
    </row>
    <row r="104" spans="1:12" ht="30" customHeight="1">
      <c r="A104" s="172" t="str">
        <f t="shared" si="2"/>
        <v>10/04/20235</v>
      </c>
      <c r="B104" s="166">
        <f t="shared" si="3"/>
        <v>5</v>
      </c>
      <c r="C104" s="7" t="s">
        <v>386</v>
      </c>
      <c r="D104" s="40" t="s">
        <v>389</v>
      </c>
      <c r="E104" s="7">
        <v>4</v>
      </c>
      <c r="F104" s="7" t="s">
        <v>1433</v>
      </c>
      <c r="G104" s="19">
        <v>45026</v>
      </c>
      <c r="H104" s="7" t="s">
        <v>76</v>
      </c>
      <c r="I104" s="19" t="s">
        <v>78</v>
      </c>
      <c r="J104" s="7">
        <f>IFERROR(VLOOKUP(I104,Jueces!$A$1:$B$11,2,FALSE),"")</f>
        <v>8</v>
      </c>
      <c r="K104" s="7" t="s">
        <v>303</v>
      </c>
      <c r="L104" s="7" t="s">
        <v>363</v>
      </c>
    </row>
    <row r="105" spans="1:12" ht="30" customHeight="1">
      <c r="A105" s="172" t="str">
        <f t="shared" si="2"/>
        <v>10/04/20236</v>
      </c>
      <c r="B105" s="166">
        <f t="shared" si="3"/>
        <v>6</v>
      </c>
      <c r="C105" s="7" t="s">
        <v>446</v>
      </c>
      <c r="D105" s="40" t="s">
        <v>588</v>
      </c>
      <c r="E105" s="7">
        <v>4</v>
      </c>
      <c r="F105" s="7" t="s">
        <v>34</v>
      </c>
      <c r="G105" s="19">
        <v>45026</v>
      </c>
      <c r="H105" s="7" t="s">
        <v>76</v>
      </c>
      <c r="I105" s="19" t="s">
        <v>35</v>
      </c>
      <c r="J105" s="7">
        <f>IFERROR(VLOOKUP(I105,Jueces!$A$1:$B$11,2,FALSE),"")</f>
        <v>3</v>
      </c>
      <c r="K105" s="7" t="s">
        <v>326</v>
      </c>
      <c r="L105" s="7" t="s">
        <v>377</v>
      </c>
    </row>
    <row r="106" spans="1:12" ht="30" customHeight="1">
      <c r="A106" s="172" t="str">
        <f t="shared" si="2"/>
        <v>11/04/20231</v>
      </c>
      <c r="B106" s="166">
        <f t="shared" si="3"/>
        <v>1</v>
      </c>
      <c r="C106" s="7" t="s">
        <v>341</v>
      </c>
      <c r="D106" s="40" t="s">
        <v>347</v>
      </c>
      <c r="E106" s="7">
        <v>4</v>
      </c>
      <c r="F106" s="7" t="s">
        <v>32</v>
      </c>
      <c r="G106" s="19">
        <v>45027</v>
      </c>
      <c r="H106" s="7" t="s">
        <v>73</v>
      </c>
      <c r="I106" s="19" t="s">
        <v>35</v>
      </c>
      <c r="J106" s="7">
        <f>IFERROR(VLOOKUP(I106,Jueces!$A$1:$B$11,2,FALSE),"")</f>
        <v>3</v>
      </c>
      <c r="K106" s="7" t="s">
        <v>289</v>
      </c>
      <c r="L106" s="7" t="s">
        <v>307</v>
      </c>
    </row>
    <row r="107" spans="1:12" ht="30" customHeight="1">
      <c r="A107" s="172" t="str">
        <f t="shared" si="2"/>
        <v>11/04/20232</v>
      </c>
      <c r="B107" s="166">
        <f t="shared" si="3"/>
        <v>2</v>
      </c>
      <c r="C107" s="7" t="s">
        <v>343</v>
      </c>
      <c r="D107" s="40" t="s">
        <v>349</v>
      </c>
      <c r="E107" s="7">
        <v>4</v>
      </c>
      <c r="F107" s="7" t="s">
        <v>43</v>
      </c>
      <c r="G107" s="19">
        <v>45027</v>
      </c>
      <c r="H107" s="7" t="s">
        <v>73</v>
      </c>
      <c r="I107" s="19" t="s">
        <v>31</v>
      </c>
      <c r="J107" s="7">
        <f>IFERROR(VLOOKUP(I107,Jueces!$A$1:$B$11,2,FALSE),"")</f>
        <v>2</v>
      </c>
      <c r="K107" s="7" t="s">
        <v>366</v>
      </c>
      <c r="L107" s="7" t="s">
        <v>287</v>
      </c>
    </row>
    <row r="108" spans="1:12" ht="30" customHeight="1">
      <c r="A108" s="172" t="str">
        <f t="shared" si="2"/>
        <v>11/04/20233</v>
      </c>
      <c r="B108" s="166">
        <f t="shared" si="3"/>
        <v>3</v>
      </c>
      <c r="C108" s="7" t="s">
        <v>395</v>
      </c>
      <c r="D108" s="40" t="s">
        <v>396</v>
      </c>
      <c r="E108" s="7">
        <v>4</v>
      </c>
      <c r="F108" s="7" t="s">
        <v>34</v>
      </c>
      <c r="G108" s="19">
        <v>45027</v>
      </c>
      <c r="H108" s="7" t="s">
        <v>73</v>
      </c>
      <c r="I108" s="19" t="s">
        <v>78</v>
      </c>
      <c r="J108" s="7">
        <f>IFERROR(VLOOKUP(I108,Jueces!$A$1:$B$11,2,FALSE),"")</f>
        <v>8</v>
      </c>
      <c r="K108" s="7" t="s">
        <v>401</v>
      </c>
      <c r="L108" s="7" t="s">
        <v>363</v>
      </c>
    </row>
    <row r="109" spans="1:12" ht="30" customHeight="1">
      <c r="A109" s="172" t="str">
        <f t="shared" si="2"/>
        <v>12/04/20231</v>
      </c>
      <c r="B109" s="166">
        <f t="shared" si="3"/>
        <v>1</v>
      </c>
      <c r="C109" s="7" t="s">
        <v>604</v>
      </c>
      <c r="D109" s="40" t="s">
        <v>603</v>
      </c>
      <c r="E109" s="7">
        <v>4</v>
      </c>
      <c r="F109" s="7" t="s">
        <v>568</v>
      </c>
      <c r="G109" s="19">
        <v>45028</v>
      </c>
      <c r="H109" s="7" t="s">
        <v>73</v>
      </c>
      <c r="I109" s="19" t="s">
        <v>35</v>
      </c>
      <c r="J109" s="7">
        <f>IFERROR(VLOOKUP(I109,Jueces!$A$1:$B$11,2,FALSE),"")</f>
        <v>3</v>
      </c>
      <c r="K109" s="7" t="s">
        <v>413</v>
      </c>
      <c r="L109" s="7" t="s">
        <v>602</v>
      </c>
    </row>
    <row r="110" spans="1:12" ht="30" customHeight="1">
      <c r="A110" s="172" t="str">
        <f t="shared" si="2"/>
        <v>12/04/20232</v>
      </c>
      <c r="B110" s="166">
        <f t="shared" si="3"/>
        <v>2</v>
      </c>
      <c r="C110" s="7" t="s">
        <v>544</v>
      </c>
      <c r="D110" s="40" t="s">
        <v>538</v>
      </c>
      <c r="E110" s="7">
        <v>4</v>
      </c>
      <c r="F110" s="7" t="s">
        <v>1433</v>
      </c>
      <c r="G110" s="19">
        <v>45028</v>
      </c>
      <c r="H110" s="7" t="s">
        <v>73</v>
      </c>
      <c r="I110" s="19" t="s">
        <v>35</v>
      </c>
      <c r="J110" s="7">
        <f>IFERROR(VLOOKUP(I110,Jueces!$A$1:$B$11,2,FALSE),"")</f>
        <v>3</v>
      </c>
      <c r="K110" s="7" t="s">
        <v>142</v>
      </c>
      <c r="L110" s="7" t="s">
        <v>363</v>
      </c>
    </row>
    <row r="111" spans="1:12" ht="30" customHeight="1">
      <c r="A111" s="172" t="str">
        <f t="shared" si="2"/>
        <v>12/04/20233</v>
      </c>
      <c r="B111" s="166">
        <f t="shared" si="3"/>
        <v>3</v>
      </c>
      <c r="C111" s="7" t="s">
        <v>378</v>
      </c>
      <c r="D111" s="40" t="s">
        <v>376</v>
      </c>
      <c r="E111" s="7">
        <v>4</v>
      </c>
      <c r="F111" s="7" t="s">
        <v>32</v>
      </c>
      <c r="G111" s="19">
        <v>45028</v>
      </c>
      <c r="H111" s="7" t="s">
        <v>73</v>
      </c>
      <c r="I111" s="19" t="s">
        <v>33</v>
      </c>
      <c r="J111" s="7">
        <f>IFERROR(VLOOKUP(I111,Jueces!$A$1:$B$11,2,FALSE),"")</f>
        <v>4</v>
      </c>
      <c r="K111" s="7" t="s">
        <v>313</v>
      </c>
      <c r="L111" s="7" t="s">
        <v>287</v>
      </c>
    </row>
    <row r="112" spans="1:12" ht="30" customHeight="1">
      <c r="A112" s="172" t="str">
        <f t="shared" si="2"/>
        <v>12/04/20234</v>
      </c>
      <c r="B112" s="166">
        <f t="shared" si="3"/>
        <v>4</v>
      </c>
      <c r="C112" s="7" t="s">
        <v>408</v>
      </c>
      <c r="D112" s="40" t="s">
        <v>404</v>
      </c>
      <c r="E112" s="7">
        <v>4</v>
      </c>
      <c r="F112" s="7" t="s">
        <v>29</v>
      </c>
      <c r="G112" s="19">
        <v>45028</v>
      </c>
      <c r="H112" s="7" t="s">
        <v>73</v>
      </c>
      <c r="I112" s="19" t="s">
        <v>78</v>
      </c>
      <c r="J112" s="7">
        <f>IFERROR(VLOOKUP(I112,Jueces!$A$1:$B$11,2,FALSE),"")</f>
        <v>8</v>
      </c>
      <c r="K112" s="7" t="s">
        <v>406</v>
      </c>
      <c r="L112" s="7" t="s">
        <v>407</v>
      </c>
    </row>
    <row r="113" spans="1:12" ht="30" customHeight="1">
      <c r="A113" s="172" t="str">
        <f t="shared" si="2"/>
        <v>13/04/20231</v>
      </c>
      <c r="B113" s="166">
        <f t="shared" si="3"/>
        <v>1</v>
      </c>
      <c r="C113" s="7" t="s">
        <v>402</v>
      </c>
      <c r="D113" s="40" t="s">
        <v>403</v>
      </c>
      <c r="E113" s="7">
        <v>4</v>
      </c>
      <c r="F113" s="7" t="s">
        <v>32</v>
      </c>
      <c r="G113" s="19">
        <v>45029</v>
      </c>
      <c r="H113" s="7" t="s">
        <v>73</v>
      </c>
      <c r="I113" s="19" t="s">
        <v>35</v>
      </c>
      <c r="J113" s="7">
        <f>IFERROR(VLOOKUP(I113,Jueces!$A$1:$B$11,2,FALSE),"")</f>
        <v>3</v>
      </c>
      <c r="K113" s="7" t="s">
        <v>102</v>
      </c>
      <c r="L113" s="7" t="s">
        <v>363</v>
      </c>
    </row>
    <row r="114" spans="1:12" ht="30" customHeight="1">
      <c r="A114" s="172" t="str">
        <f t="shared" si="2"/>
        <v>13/04/20232</v>
      </c>
      <c r="B114" s="166">
        <f t="shared" si="3"/>
        <v>2</v>
      </c>
      <c r="C114" s="7" t="s">
        <v>323</v>
      </c>
      <c r="D114" s="40" t="s">
        <v>633</v>
      </c>
      <c r="E114" s="7">
        <v>4</v>
      </c>
      <c r="F114" s="7" t="s">
        <v>43</v>
      </c>
      <c r="G114" s="19">
        <v>45029</v>
      </c>
      <c r="H114" s="7" t="s">
        <v>73</v>
      </c>
      <c r="I114" s="19" t="s">
        <v>31</v>
      </c>
      <c r="J114" s="7">
        <f>IFERROR(VLOOKUP(I114,Jueces!$A$1:$B$11,2,FALSE),"")</f>
        <v>2</v>
      </c>
      <c r="K114" s="7" t="s">
        <v>330</v>
      </c>
      <c r="L114" s="7" t="s">
        <v>287</v>
      </c>
    </row>
    <row r="115" spans="1:12" ht="30" customHeight="1">
      <c r="A115" s="172" t="str">
        <f t="shared" si="2"/>
        <v>13/04/20233</v>
      </c>
      <c r="B115" s="166">
        <f t="shared" si="3"/>
        <v>3</v>
      </c>
      <c r="C115" s="7" t="s">
        <v>489</v>
      </c>
      <c r="D115" s="40" t="s">
        <v>541</v>
      </c>
      <c r="E115" s="7">
        <v>4</v>
      </c>
      <c r="F115" s="7" t="s">
        <v>29</v>
      </c>
      <c r="G115" s="19">
        <v>45029</v>
      </c>
      <c r="H115" s="7" t="s">
        <v>76</v>
      </c>
      <c r="I115" s="19" t="s">
        <v>35</v>
      </c>
      <c r="J115" s="7">
        <f>IFERROR(VLOOKUP(I115,Jueces!$A$1:$B$11,2,FALSE),"")</f>
        <v>3</v>
      </c>
      <c r="K115" s="7" t="s">
        <v>313</v>
      </c>
      <c r="L115" s="7" t="s">
        <v>634</v>
      </c>
    </row>
    <row r="116" spans="1:12" ht="30" customHeight="1">
      <c r="A116" s="172" t="str">
        <f t="shared" si="2"/>
        <v>13/04/20234</v>
      </c>
      <c r="B116" s="166">
        <f t="shared" si="3"/>
        <v>4</v>
      </c>
      <c r="C116" s="7" t="s">
        <v>441</v>
      </c>
      <c r="D116" s="40" t="s">
        <v>444</v>
      </c>
      <c r="E116" s="7">
        <v>4</v>
      </c>
      <c r="F116" s="7" t="s">
        <v>283</v>
      </c>
      <c r="G116" s="19">
        <v>45029</v>
      </c>
      <c r="H116" s="7" t="s">
        <v>228</v>
      </c>
      <c r="I116" s="19" t="s">
        <v>78</v>
      </c>
      <c r="J116" s="7">
        <f>IFERROR(VLOOKUP(I116,Jueces!$A$1:$B$11,2,FALSE),"")</f>
        <v>8</v>
      </c>
      <c r="K116" s="7" t="s">
        <v>688</v>
      </c>
      <c r="L116" s="7" t="s">
        <v>363</v>
      </c>
    </row>
    <row r="117" spans="1:12" ht="30" customHeight="1">
      <c r="A117" s="172" t="str">
        <f t="shared" si="2"/>
        <v>14/04/20231</v>
      </c>
      <c r="B117" s="166">
        <f t="shared" si="3"/>
        <v>1</v>
      </c>
      <c r="C117" s="7" t="s">
        <v>418</v>
      </c>
      <c r="D117" s="40" t="s">
        <v>421</v>
      </c>
      <c r="E117" s="7">
        <v>4</v>
      </c>
      <c r="F117" s="7" t="s">
        <v>43</v>
      </c>
      <c r="G117" s="19">
        <v>45030</v>
      </c>
      <c r="H117" s="7" t="s">
        <v>73</v>
      </c>
      <c r="I117" s="19" t="s">
        <v>78</v>
      </c>
      <c r="J117" s="7">
        <f>IFERROR(VLOOKUP(I117,Jueces!$A$1:$B$11,2,FALSE),"")</f>
        <v>8</v>
      </c>
      <c r="K117" s="7" t="s">
        <v>192</v>
      </c>
      <c r="L117" s="7" t="s">
        <v>422</v>
      </c>
    </row>
    <row r="118" spans="1:12" ht="30" customHeight="1">
      <c r="A118" s="172" t="str">
        <f t="shared" si="2"/>
        <v>14/04/20232</v>
      </c>
      <c r="B118" s="166">
        <f t="shared" si="3"/>
        <v>2</v>
      </c>
      <c r="C118" s="7" t="s">
        <v>515</v>
      </c>
      <c r="D118" s="40" t="s">
        <v>518</v>
      </c>
      <c r="E118" s="7">
        <v>4</v>
      </c>
      <c r="F118" s="7" t="s">
        <v>29</v>
      </c>
      <c r="G118" s="19">
        <v>45030</v>
      </c>
      <c r="H118" s="7" t="s">
        <v>73</v>
      </c>
      <c r="I118" s="19" t="s">
        <v>35</v>
      </c>
      <c r="J118" s="7">
        <f>IFERROR(VLOOKUP(I118,Jueces!$A$1:$B$11,2,FALSE),"")</f>
        <v>3</v>
      </c>
      <c r="K118" s="7" t="s">
        <v>412</v>
      </c>
      <c r="L118" s="7" t="s">
        <v>638</v>
      </c>
    </row>
    <row r="119" spans="1:12" ht="30" customHeight="1">
      <c r="A119" s="172" t="str">
        <f t="shared" si="2"/>
        <v>14/04/20233</v>
      </c>
      <c r="B119" s="166">
        <f t="shared" si="3"/>
        <v>3</v>
      </c>
      <c r="C119" s="7" t="s">
        <v>539</v>
      </c>
      <c r="D119" s="40" t="s">
        <v>540</v>
      </c>
      <c r="E119" s="7">
        <v>3</v>
      </c>
      <c r="F119" s="7" t="s">
        <v>568</v>
      </c>
      <c r="G119" s="19">
        <v>45030</v>
      </c>
      <c r="H119" s="7" t="s">
        <v>73</v>
      </c>
      <c r="I119" s="19" t="s">
        <v>31</v>
      </c>
      <c r="J119" s="7">
        <f>IFERROR(VLOOKUP(I119,Jueces!$A$1:$B$11,2,FALSE),"")</f>
        <v>2</v>
      </c>
      <c r="K119" s="7" t="s">
        <v>413</v>
      </c>
      <c r="L119" s="7" t="s">
        <v>693</v>
      </c>
    </row>
    <row r="120" spans="1:12" ht="30" customHeight="1">
      <c r="A120" s="172" t="str">
        <f t="shared" si="2"/>
        <v>14/04/20234</v>
      </c>
      <c r="B120" s="166">
        <f t="shared" si="3"/>
        <v>4</v>
      </c>
      <c r="C120" s="7" t="s">
        <v>429</v>
      </c>
      <c r="D120" s="40" t="s">
        <v>646</v>
      </c>
      <c r="E120" s="7">
        <v>4</v>
      </c>
      <c r="F120" s="7" t="s">
        <v>34</v>
      </c>
      <c r="G120" s="19">
        <v>45030</v>
      </c>
      <c r="H120" s="7" t="s">
        <v>76</v>
      </c>
      <c r="I120" s="19" t="s">
        <v>78</v>
      </c>
      <c r="J120" s="7">
        <f>IFERROR(VLOOKUP(I120,Jueces!$A$1:$B$11,2,FALSE),"")</f>
        <v>8</v>
      </c>
      <c r="K120" s="7" t="s">
        <v>247</v>
      </c>
      <c r="L120" s="7" t="s">
        <v>693</v>
      </c>
    </row>
    <row r="121" spans="1:12" ht="30" customHeight="1">
      <c r="A121" s="172" t="str">
        <f t="shared" si="2"/>
        <v>17/04/20231</v>
      </c>
      <c r="B121" s="166">
        <f t="shared" si="3"/>
        <v>1</v>
      </c>
      <c r="C121" s="7" t="s">
        <v>462</v>
      </c>
      <c r="D121" s="40" t="s">
        <v>463</v>
      </c>
      <c r="E121" s="7">
        <v>4</v>
      </c>
      <c r="F121" s="7" t="s">
        <v>34</v>
      </c>
      <c r="G121" s="19">
        <v>45033</v>
      </c>
      <c r="H121" s="7" t="s">
        <v>73</v>
      </c>
      <c r="I121" s="19" t="s">
        <v>33</v>
      </c>
      <c r="J121" s="7">
        <f>IFERROR(VLOOKUP(I121,Jueces!$A$1:$B$11,2,FALSE),"")</f>
        <v>4</v>
      </c>
      <c r="K121" s="7" t="s">
        <v>409</v>
      </c>
      <c r="L121" s="7" t="s">
        <v>694</v>
      </c>
    </row>
    <row r="122" spans="1:12" ht="30" customHeight="1">
      <c r="A122" s="172" t="str">
        <f t="shared" si="2"/>
        <v>17/04/20232</v>
      </c>
      <c r="B122" s="166">
        <f t="shared" si="3"/>
        <v>2</v>
      </c>
      <c r="C122" s="7" t="s">
        <v>498</v>
      </c>
      <c r="D122" s="40" t="s">
        <v>499</v>
      </c>
      <c r="E122" s="7">
        <v>4</v>
      </c>
      <c r="F122" s="7" t="s">
        <v>32</v>
      </c>
      <c r="G122" s="19">
        <v>45033</v>
      </c>
      <c r="H122" s="7" t="s">
        <v>73</v>
      </c>
      <c r="I122" s="19" t="s">
        <v>78</v>
      </c>
      <c r="J122" s="7">
        <f>IFERROR(VLOOKUP(I122,Jueces!$A$1:$B$11,2,FALSE),"")</f>
        <v>8</v>
      </c>
      <c r="K122" s="7" t="s">
        <v>642</v>
      </c>
      <c r="L122" s="7" t="s">
        <v>695</v>
      </c>
    </row>
    <row r="123" spans="1:12" ht="30" customHeight="1">
      <c r="A123" s="172" t="str">
        <f t="shared" si="2"/>
        <v>17/04/20233</v>
      </c>
      <c r="B123" s="166">
        <f t="shared" si="3"/>
        <v>3</v>
      </c>
      <c r="C123" s="7" t="s">
        <v>427</v>
      </c>
      <c r="D123" s="40" t="s">
        <v>428</v>
      </c>
      <c r="E123" s="7">
        <v>4</v>
      </c>
      <c r="F123" s="7" t="s">
        <v>43</v>
      </c>
      <c r="G123" s="19">
        <v>45033</v>
      </c>
      <c r="H123" s="7" t="s">
        <v>228</v>
      </c>
      <c r="I123" s="19" t="s">
        <v>78</v>
      </c>
      <c r="J123" s="7">
        <f>IFERROR(VLOOKUP(I123,Jueces!$A$1:$B$11,2,FALSE),"")</f>
        <v>8</v>
      </c>
      <c r="K123" s="7" t="s">
        <v>247</v>
      </c>
      <c r="L123" s="7" t="s">
        <v>694</v>
      </c>
    </row>
    <row r="124" spans="1:12" ht="30" customHeight="1">
      <c r="A124" s="172" t="str">
        <f t="shared" si="2"/>
        <v>18/04/20231</v>
      </c>
      <c r="B124" s="166">
        <f t="shared" si="3"/>
        <v>1</v>
      </c>
      <c r="C124" s="7" t="s">
        <v>397</v>
      </c>
      <c r="D124" s="40" t="s">
        <v>398</v>
      </c>
      <c r="E124" s="7">
        <v>4</v>
      </c>
      <c r="F124" s="7" t="s">
        <v>283</v>
      </c>
      <c r="G124" s="19">
        <v>45034</v>
      </c>
      <c r="H124" s="7" t="s">
        <v>73</v>
      </c>
      <c r="I124" s="19" t="s">
        <v>33</v>
      </c>
      <c r="J124" s="7">
        <f>IFERROR(VLOOKUP(I124,Jueces!$A$1:$B$11,2,FALSE),"")</f>
        <v>4</v>
      </c>
      <c r="K124" s="7" t="s">
        <v>247</v>
      </c>
      <c r="L124" s="7" t="s">
        <v>695</v>
      </c>
    </row>
    <row r="125" spans="1:12" ht="30" customHeight="1">
      <c r="A125" s="172" t="str">
        <f t="shared" si="2"/>
        <v>18/04/20232</v>
      </c>
      <c r="B125" s="166">
        <f t="shared" si="3"/>
        <v>2</v>
      </c>
      <c r="C125" s="7" t="s">
        <v>464</v>
      </c>
      <c r="D125" s="40" t="s">
        <v>465</v>
      </c>
      <c r="E125" s="7">
        <v>3</v>
      </c>
      <c r="F125" s="7" t="s">
        <v>29</v>
      </c>
      <c r="G125" s="19">
        <v>45034</v>
      </c>
      <c r="H125" s="7" t="s">
        <v>73</v>
      </c>
      <c r="I125" s="19" t="s">
        <v>35</v>
      </c>
      <c r="J125" s="7">
        <f>IFERROR(VLOOKUP(I125,Jueces!$A$1:$B$11,2,FALSE),"")</f>
        <v>3</v>
      </c>
      <c r="K125" s="7" t="s">
        <v>688</v>
      </c>
      <c r="L125" s="7" t="s">
        <v>652</v>
      </c>
    </row>
    <row r="126" spans="1:12" ht="30" customHeight="1">
      <c r="A126" s="172" t="str">
        <f t="shared" si="2"/>
        <v>18/04/20233</v>
      </c>
      <c r="B126" s="166">
        <f t="shared" si="3"/>
        <v>3</v>
      </c>
      <c r="C126" s="7" t="s">
        <v>470</v>
      </c>
      <c r="D126" s="40" t="s">
        <v>647</v>
      </c>
      <c r="E126" s="7">
        <v>3</v>
      </c>
      <c r="F126" s="7" t="s">
        <v>1433</v>
      </c>
      <c r="G126" s="19">
        <v>45034</v>
      </c>
      <c r="H126" s="7" t="s">
        <v>73</v>
      </c>
      <c r="I126" s="19" t="s">
        <v>78</v>
      </c>
      <c r="J126" s="7">
        <f>IFERROR(VLOOKUP(I126,Jueces!$A$1:$B$11,2,FALSE),"")</f>
        <v>8</v>
      </c>
      <c r="K126" s="7" t="s">
        <v>380</v>
      </c>
      <c r="L126" s="7" t="s">
        <v>692</v>
      </c>
    </row>
    <row r="127" spans="1:12" ht="30" customHeight="1">
      <c r="A127" s="172" t="str">
        <f t="shared" si="2"/>
        <v>18/04/20234</v>
      </c>
      <c r="B127" s="166">
        <f t="shared" si="3"/>
        <v>4</v>
      </c>
      <c r="C127" s="7" t="s">
        <v>480</v>
      </c>
      <c r="D127" s="40" t="s">
        <v>479</v>
      </c>
      <c r="E127" s="7">
        <v>4</v>
      </c>
      <c r="F127" s="7" t="s">
        <v>32</v>
      </c>
      <c r="G127" s="19">
        <v>45034</v>
      </c>
      <c r="H127" s="7" t="s">
        <v>73</v>
      </c>
      <c r="I127" s="19" t="s">
        <v>31</v>
      </c>
      <c r="J127" s="7">
        <f>IFERROR(VLOOKUP(I127,Jueces!$A$1:$B$11,2,FALSE),"")</f>
        <v>2</v>
      </c>
      <c r="K127" s="7" t="s">
        <v>413</v>
      </c>
      <c r="L127" s="7" t="s">
        <v>694</v>
      </c>
    </row>
    <row r="128" spans="1:12" ht="30" customHeight="1">
      <c r="A128" s="172" t="str">
        <f t="shared" si="2"/>
        <v>18/04/20235</v>
      </c>
      <c r="B128" s="166">
        <f t="shared" si="3"/>
        <v>5</v>
      </c>
      <c r="C128" s="7" t="s">
        <v>503</v>
      </c>
      <c r="D128" s="40" t="s">
        <v>504</v>
      </c>
      <c r="E128" s="7">
        <v>4</v>
      </c>
      <c r="F128" s="7" t="s">
        <v>34</v>
      </c>
      <c r="G128" s="19">
        <v>45034</v>
      </c>
      <c r="H128" s="7" t="s">
        <v>76</v>
      </c>
      <c r="I128" s="19" t="s">
        <v>35</v>
      </c>
      <c r="J128" s="7">
        <f>IFERROR(VLOOKUP(I128,Jueces!$A$1:$B$11,2,FALSE),"")</f>
        <v>3</v>
      </c>
      <c r="K128" s="7" t="s">
        <v>411</v>
      </c>
      <c r="L128" s="7" t="s">
        <v>694</v>
      </c>
    </row>
    <row r="129" spans="1:12" ht="30" customHeight="1">
      <c r="A129" s="172" t="str">
        <f t="shared" si="2"/>
        <v>19/04/20231</v>
      </c>
      <c r="B129" s="166">
        <f t="shared" si="3"/>
        <v>1</v>
      </c>
      <c r="C129" s="7" t="s">
        <v>430</v>
      </c>
      <c r="D129" s="40" t="s">
        <v>431</v>
      </c>
      <c r="E129" s="7">
        <v>4</v>
      </c>
      <c r="F129" s="7" t="s">
        <v>1433</v>
      </c>
      <c r="G129" s="19">
        <v>45035</v>
      </c>
      <c r="H129" s="7" t="s">
        <v>73</v>
      </c>
      <c r="I129" s="19" t="s">
        <v>78</v>
      </c>
      <c r="J129" s="7">
        <f>IFERROR(VLOOKUP(I129,Jueces!$A$1:$B$11,2,FALSE),"")</f>
        <v>8</v>
      </c>
      <c r="K129" s="7" t="s">
        <v>313</v>
      </c>
      <c r="L129" s="7" t="s">
        <v>695</v>
      </c>
    </row>
    <row r="130" spans="1:12" ht="30" customHeight="1">
      <c r="A130" s="172" t="str">
        <f t="shared" si="2"/>
        <v>19/04/20232</v>
      </c>
      <c r="B130" s="166">
        <f t="shared" si="3"/>
        <v>2</v>
      </c>
      <c r="C130" s="7" t="s">
        <v>432</v>
      </c>
      <c r="D130" s="40" t="s">
        <v>433</v>
      </c>
      <c r="E130" s="7">
        <v>4</v>
      </c>
      <c r="F130" s="7" t="s">
        <v>32</v>
      </c>
      <c r="G130" s="19">
        <v>45035</v>
      </c>
      <c r="H130" s="7" t="s">
        <v>73</v>
      </c>
      <c r="I130" s="19" t="s">
        <v>33</v>
      </c>
      <c r="J130" s="7">
        <f>IFERROR(VLOOKUP(I130,Jueces!$A$1:$B$11,2,FALSE),"")</f>
        <v>4</v>
      </c>
      <c r="K130" s="7" t="s">
        <v>416</v>
      </c>
      <c r="L130" s="7" t="s">
        <v>694</v>
      </c>
    </row>
    <row r="131" spans="1:12" ht="30" customHeight="1">
      <c r="A131" s="172" t="str">
        <f t="shared" ref="A131:A194" si="4">CONCATENATE(TEXT($G131,"dd/mm/yyyy"),$B131)</f>
        <v>19/04/20233</v>
      </c>
      <c r="B131" s="166">
        <f t="shared" si="3"/>
        <v>3</v>
      </c>
      <c r="C131" s="7" t="s">
        <v>550</v>
      </c>
      <c r="D131" s="40" t="s">
        <v>551</v>
      </c>
      <c r="E131" s="7">
        <v>4</v>
      </c>
      <c r="F131" s="7" t="s">
        <v>568</v>
      </c>
      <c r="G131" s="19">
        <v>45035</v>
      </c>
      <c r="H131" s="7" t="s">
        <v>73</v>
      </c>
      <c r="I131" s="19" t="s">
        <v>31</v>
      </c>
      <c r="J131" s="7">
        <f>IFERROR(VLOOKUP(I131,Jueces!$A$1:$B$11,2,FALSE),"")</f>
        <v>2</v>
      </c>
      <c r="K131" s="7" t="s">
        <v>569</v>
      </c>
      <c r="L131" s="7" t="s">
        <v>567</v>
      </c>
    </row>
    <row r="132" spans="1:12" ht="30" customHeight="1">
      <c r="A132" s="172" t="str">
        <f t="shared" si="4"/>
        <v>19/04/20234</v>
      </c>
      <c r="B132" s="166">
        <f t="shared" ref="B132:B195" si="5">IF($G132=$G131,$B131+1,1)</f>
        <v>4</v>
      </c>
      <c r="C132" s="7" t="s">
        <v>517</v>
      </c>
      <c r="D132" s="40" t="s">
        <v>516</v>
      </c>
      <c r="E132" s="7">
        <v>4</v>
      </c>
      <c r="F132" s="7" t="s">
        <v>43</v>
      </c>
      <c r="G132" s="19">
        <v>45035</v>
      </c>
      <c r="H132" s="7" t="s">
        <v>76</v>
      </c>
      <c r="I132" s="19" t="s">
        <v>78</v>
      </c>
      <c r="J132" s="7">
        <f>IFERROR(VLOOKUP(I132,Jueces!$A$1:$B$11,2,FALSE),"")</f>
        <v>8</v>
      </c>
      <c r="K132" s="7" t="s">
        <v>313</v>
      </c>
      <c r="L132" s="7" t="s">
        <v>545</v>
      </c>
    </row>
    <row r="133" spans="1:12" ht="30" customHeight="1">
      <c r="A133" s="172" t="str">
        <f t="shared" si="4"/>
        <v>19/04/20235</v>
      </c>
      <c r="B133" s="166">
        <f t="shared" si="5"/>
        <v>5</v>
      </c>
      <c r="C133" s="7" t="s">
        <v>500</v>
      </c>
      <c r="D133" s="40" t="s">
        <v>501</v>
      </c>
      <c r="E133" s="7">
        <v>4</v>
      </c>
      <c r="F133" s="7" t="s">
        <v>283</v>
      </c>
      <c r="G133" s="19">
        <v>45035</v>
      </c>
      <c r="H133" s="7" t="s">
        <v>76</v>
      </c>
      <c r="I133" s="19" t="s">
        <v>35</v>
      </c>
      <c r="J133" s="7">
        <f>IFERROR(VLOOKUP(I133,Jueces!$A$1:$B$11,2,FALSE),"")</f>
        <v>3</v>
      </c>
      <c r="K133" s="7" t="s">
        <v>247</v>
      </c>
      <c r="L133" s="7" t="s">
        <v>695</v>
      </c>
    </row>
    <row r="134" spans="1:12" ht="30" customHeight="1">
      <c r="A134" s="172" t="str">
        <f t="shared" si="4"/>
        <v>19/04/20236</v>
      </c>
      <c r="B134" s="166">
        <f t="shared" si="5"/>
        <v>6</v>
      </c>
      <c r="C134" s="7" t="s">
        <v>439</v>
      </c>
      <c r="D134" s="40" t="s">
        <v>440</v>
      </c>
      <c r="E134" s="7">
        <v>4</v>
      </c>
      <c r="F134" s="7" t="s">
        <v>1433</v>
      </c>
      <c r="G134" s="19">
        <v>45035</v>
      </c>
      <c r="H134" s="7" t="s">
        <v>228</v>
      </c>
      <c r="I134" s="19" t="s">
        <v>31</v>
      </c>
      <c r="J134" s="7">
        <f>IFERROR(VLOOKUP(I134,Jueces!$A$1:$B$11,2,FALSE),"")</f>
        <v>2</v>
      </c>
      <c r="K134" s="7" t="s">
        <v>330</v>
      </c>
      <c r="L134" s="7" t="s">
        <v>695</v>
      </c>
    </row>
    <row r="135" spans="1:12" ht="30" customHeight="1">
      <c r="A135" s="172" t="str">
        <f t="shared" si="4"/>
        <v>20/04/20231</v>
      </c>
      <c r="B135" s="166">
        <f t="shared" si="5"/>
        <v>1</v>
      </c>
      <c r="C135" s="7" t="s">
        <v>522</v>
      </c>
      <c r="D135" s="40" t="s">
        <v>524</v>
      </c>
      <c r="E135" s="7">
        <v>4</v>
      </c>
      <c r="F135" s="7" t="s">
        <v>283</v>
      </c>
      <c r="G135" s="19">
        <v>45036</v>
      </c>
      <c r="H135" s="7" t="s">
        <v>73</v>
      </c>
      <c r="I135" s="19" t="s">
        <v>78</v>
      </c>
      <c r="J135" s="7">
        <f>IFERROR(VLOOKUP(I135,Jueces!$A$1:$B$11,2,FALSE),"")</f>
        <v>8</v>
      </c>
      <c r="K135" s="7" t="s">
        <v>313</v>
      </c>
      <c r="L135" s="7" t="s">
        <v>695</v>
      </c>
    </row>
    <row r="136" spans="1:12" ht="30" customHeight="1">
      <c r="A136" s="172" t="str">
        <f t="shared" si="4"/>
        <v>20/04/20232</v>
      </c>
      <c r="B136" s="166">
        <f t="shared" si="5"/>
        <v>2</v>
      </c>
      <c r="C136" s="7" t="s">
        <v>555</v>
      </c>
      <c r="D136" s="40" t="s">
        <v>557</v>
      </c>
      <c r="E136" s="7">
        <v>4</v>
      </c>
      <c r="F136" s="7" t="s">
        <v>568</v>
      </c>
      <c r="G136" s="19">
        <v>45036</v>
      </c>
      <c r="H136" s="7" t="s">
        <v>73</v>
      </c>
      <c r="I136" s="19" t="s">
        <v>33</v>
      </c>
      <c r="J136" s="7">
        <f>IFERROR(VLOOKUP(I136,Jueces!$A$1:$B$11,2,FALSE),"")</f>
        <v>4</v>
      </c>
      <c r="K136" s="7" t="s">
        <v>366</v>
      </c>
      <c r="L136" s="7" t="s">
        <v>690</v>
      </c>
    </row>
    <row r="137" spans="1:12" ht="30" customHeight="1">
      <c r="A137" s="172" t="str">
        <f t="shared" si="4"/>
        <v>20/04/20233</v>
      </c>
      <c r="B137" s="166">
        <f t="shared" si="5"/>
        <v>3</v>
      </c>
      <c r="C137" s="7" t="s">
        <v>379</v>
      </c>
      <c r="D137" s="40" t="s">
        <v>381</v>
      </c>
      <c r="E137" s="7">
        <v>4</v>
      </c>
      <c r="F137" s="7" t="s">
        <v>32</v>
      </c>
      <c r="G137" s="19">
        <v>45036</v>
      </c>
      <c r="H137" s="7" t="s">
        <v>987</v>
      </c>
      <c r="I137" s="19" t="s">
        <v>33</v>
      </c>
      <c r="J137" s="7">
        <f>IFERROR(VLOOKUP(I137,Jueces!$A$1:$B$11,2,FALSE),"")</f>
        <v>4</v>
      </c>
      <c r="K137" s="7" t="s">
        <v>380</v>
      </c>
      <c r="L137" s="7" t="s">
        <v>695</v>
      </c>
    </row>
    <row r="138" spans="1:12" ht="30" customHeight="1">
      <c r="A138" s="172" t="str">
        <f t="shared" si="4"/>
        <v>20/04/20234</v>
      </c>
      <c r="B138" s="166">
        <f t="shared" si="5"/>
        <v>4</v>
      </c>
      <c r="C138" s="7" t="s">
        <v>531</v>
      </c>
      <c r="D138" s="40" t="s">
        <v>534</v>
      </c>
      <c r="E138" s="7">
        <v>4</v>
      </c>
      <c r="F138" s="7" t="s">
        <v>1433</v>
      </c>
      <c r="G138" s="19">
        <v>45036</v>
      </c>
      <c r="H138" s="7" t="s">
        <v>228</v>
      </c>
      <c r="I138" s="19" t="s">
        <v>33</v>
      </c>
      <c r="J138" s="7">
        <f>IFERROR(VLOOKUP(I138,Jueces!$A$1:$B$11,2,FALSE),"")</f>
        <v>4</v>
      </c>
      <c r="K138" s="7" t="s">
        <v>365</v>
      </c>
      <c r="L138" s="7" t="s">
        <v>695</v>
      </c>
    </row>
    <row r="139" spans="1:12" ht="30" customHeight="1">
      <c r="A139" s="172" t="str">
        <f t="shared" si="4"/>
        <v>21/04/20231</v>
      </c>
      <c r="B139" s="166">
        <f t="shared" si="5"/>
        <v>1</v>
      </c>
      <c r="C139" s="7" t="s">
        <v>649</v>
      </c>
      <c r="D139" s="40" t="s">
        <v>650</v>
      </c>
      <c r="E139" s="7">
        <v>4</v>
      </c>
      <c r="F139" s="7" t="s">
        <v>1433</v>
      </c>
      <c r="G139" s="19">
        <v>45037</v>
      </c>
      <c r="H139" s="7" t="s">
        <v>73</v>
      </c>
      <c r="I139" s="19" t="s">
        <v>31</v>
      </c>
      <c r="J139" s="7">
        <f>IFERROR(VLOOKUP(I139,Jueces!$A$1:$B$11,2,FALSE),"")</f>
        <v>2</v>
      </c>
      <c r="K139" s="7" t="s">
        <v>600</v>
      </c>
      <c r="L139" s="7" t="s">
        <v>523</v>
      </c>
    </row>
    <row r="140" spans="1:12" ht="30" customHeight="1">
      <c r="A140" s="172" t="str">
        <f t="shared" si="4"/>
        <v>21/04/20232</v>
      </c>
      <c r="B140" s="166">
        <f t="shared" si="5"/>
        <v>2</v>
      </c>
      <c r="C140" s="7" t="s">
        <v>575</v>
      </c>
      <c r="D140" s="40" t="s">
        <v>574</v>
      </c>
      <c r="E140" s="7">
        <v>4</v>
      </c>
      <c r="F140" s="7" t="s">
        <v>568</v>
      </c>
      <c r="G140" s="19">
        <v>45037</v>
      </c>
      <c r="H140" s="7" t="s">
        <v>73</v>
      </c>
      <c r="I140" s="19" t="s">
        <v>33</v>
      </c>
      <c r="J140" s="7">
        <f>IFERROR(VLOOKUP(I140,Jueces!$A$1:$B$11,2,FALSE),"")</f>
        <v>4</v>
      </c>
      <c r="K140" s="7" t="s">
        <v>262</v>
      </c>
      <c r="L140" s="7" t="s">
        <v>287</v>
      </c>
    </row>
    <row r="141" spans="1:12" ht="30" customHeight="1">
      <c r="A141" s="172" t="str">
        <f t="shared" si="4"/>
        <v>24/04/20231</v>
      </c>
      <c r="B141" s="166">
        <f t="shared" si="5"/>
        <v>1</v>
      </c>
      <c r="C141" s="7" t="s">
        <v>454</v>
      </c>
      <c r="D141" s="40" t="s">
        <v>455</v>
      </c>
      <c r="E141" s="7">
        <v>4</v>
      </c>
      <c r="F141" s="7" t="s">
        <v>34</v>
      </c>
      <c r="G141" s="19">
        <v>45040</v>
      </c>
      <c r="H141" s="7" t="s">
        <v>73</v>
      </c>
      <c r="I141" s="19" t="s">
        <v>33</v>
      </c>
      <c r="J141" s="7">
        <f>IFERROR(VLOOKUP(I141,Jueces!$A$1:$B$11,2,FALSE),"")</f>
        <v>4</v>
      </c>
      <c r="K141" s="7" t="s">
        <v>247</v>
      </c>
      <c r="L141" s="7" t="s">
        <v>695</v>
      </c>
    </row>
    <row r="142" spans="1:12" ht="30" customHeight="1">
      <c r="A142" s="172" t="str">
        <f t="shared" si="4"/>
        <v>24/04/20232</v>
      </c>
      <c r="B142" s="166">
        <f t="shared" si="5"/>
        <v>2</v>
      </c>
      <c r="C142" s="7" t="s">
        <v>451</v>
      </c>
      <c r="D142" s="40" t="s">
        <v>452</v>
      </c>
      <c r="E142" s="7">
        <v>3</v>
      </c>
      <c r="F142" s="7" t="s">
        <v>32</v>
      </c>
      <c r="G142" s="19">
        <v>45040</v>
      </c>
      <c r="H142" s="7" t="s">
        <v>73</v>
      </c>
      <c r="I142" s="19" t="s">
        <v>35</v>
      </c>
      <c r="J142" s="7">
        <f>IFERROR(VLOOKUP(I142,Jueces!$A$1:$B$11,2,FALSE),"")</f>
        <v>3</v>
      </c>
      <c r="K142" s="7" t="s">
        <v>412</v>
      </c>
      <c r="L142" s="7" t="s">
        <v>453</v>
      </c>
    </row>
    <row r="143" spans="1:12" ht="30" customHeight="1">
      <c r="A143" s="172" t="str">
        <f t="shared" si="4"/>
        <v>24/04/20233</v>
      </c>
      <c r="B143" s="166">
        <f t="shared" si="5"/>
        <v>3</v>
      </c>
      <c r="C143" s="7" t="s">
        <v>592</v>
      </c>
      <c r="D143" s="40" t="s">
        <v>590</v>
      </c>
      <c r="E143" s="7">
        <v>4</v>
      </c>
      <c r="F143" s="7" t="s">
        <v>43</v>
      </c>
      <c r="G143" s="19">
        <v>45040</v>
      </c>
      <c r="H143" s="7" t="s">
        <v>73</v>
      </c>
      <c r="I143" s="19" t="s">
        <v>78</v>
      </c>
      <c r="J143" s="7">
        <f>IFERROR(VLOOKUP(I143,Jueces!$A$1:$B$11,2,FALSE),"")</f>
        <v>8</v>
      </c>
      <c r="K143" s="7" t="s">
        <v>409</v>
      </c>
      <c r="L143" s="7" t="s">
        <v>363</v>
      </c>
    </row>
    <row r="144" spans="1:12" ht="30" customHeight="1">
      <c r="A144" s="172" t="str">
        <f t="shared" si="4"/>
        <v>25/04/20231</v>
      </c>
      <c r="B144" s="166">
        <f t="shared" si="5"/>
        <v>1</v>
      </c>
      <c r="C144" s="7" t="s">
        <v>476</v>
      </c>
      <c r="D144" s="40" t="s">
        <v>478</v>
      </c>
      <c r="E144" s="7">
        <v>4</v>
      </c>
      <c r="F144" s="7" t="s">
        <v>43</v>
      </c>
      <c r="G144" s="19">
        <v>45041</v>
      </c>
      <c r="H144" s="7" t="s">
        <v>73</v>
      </c>
      <c r="I144" s="19" t="s">
        <v>33</v>
      </c>
      <c r="J144" s="7">
        <f>IFERROR(VLOOKUP(I144,Jueces!$A$1:$B$11,2,FALSE),"")</f>
        <v>4</v>
      </c>
      <c r="K144" s="7" t="s">
        <v>366</v>
      </c>
      <c r="L144" s="7" t="s">
        <v>695</v>
      </c>
    </row>
    <row r="145" spans="1:12" ht="30" customHeight="1">
      <c r="A145" s="172" t="str">
        <f t="shared" si="4"/>
        <v>25/04/20232</v>
      </c>
      <c r="B145" s="166">
        <f t="shared" si="5"/>
        <v>2</v>
      </c>
      <c r="C145" s="7" t="s">
        <v>437</v>
      </c>
      <c r="D145" s="40" t="s">
        <v>438</v>
      </c>
      <c r="E145" s="7">
        <v>4</v>
      </c>
      <c r="F145" s="7" t="s">
        <v>283</v>
      </c>
      <c r="G145" s="19">
        <v>45041</v>
      </c>
      <c r="H145" s="7" t="s">
        <v>75</v>
      </c>
      <c r="I145" s="19" t="s">
        <v>78</v>
      </c>
      <c r="J145" s="7">
        <f>IFERROR(VLOOKUP(I145,Jueces!$A$1:$B$11,2,FALSE),"")</f>
        <v>8</v>
      </c>
      <c r="K145" s="7" t="s">
        <v>412</v>
      </c>
      <c r="L145" s="7" t="s">
        <v>141</v>
      </c>
    </row>
    <row r="146" spans="1:12" ht="30" customHeight="1">
      <c r="A146" s="172" t="str">
        <f t="shared" si="4"/>
        <v>26/04/20231</v>
      </c>
      <c r="B146" s="166">
        <f t="shared" si="5"/>
        <v>1</v>
      </c>
      <c r="C146" s="7" t="s">
        <v>492</v>
      </c>
      <c r="D146" s="40" t="s">
        <v>527</v>
      </c>
      <c r="E146" s="7">
        <v>4</v>
      </c>
      <c r="F146" s="7" t="s">
        <v>1433</v>
      </c>
      <c r="G146" s="19">
        <v>45042</v>
      </c>
      <c r="H146" s="7" t="s">
        <v>73</v>
      </c>
      <c r="I146" s="19" t="s">
        <v>78</v>
      </c>
      <c r="J146" s="7">
        <f>IFERROR(VLOOKUP(I146,Jueces!$A$1:$B$11,2,FALSE),"")</f>
        <v>8</v>
      </c>
      <c r="K146" s="7" t="s">
        <v>508</v>
      </c>
      <c r="L146" s="7" t="s">
        <v>693</v>
      </c>
    </row>
    <row r="147" spans="1:12" ht="30" customHeight="1">
      <c r="A147" s="172" t="str">
        <f t="shared" si="4"/>
        <v>26/04/20232</v>
      </c>
      <c r="B147" s="166">
        <f t="shared" si="5"/>
        <v>2</v>
      </c>
      <c r="C147" s="7" t="s">
        <v>542</v>
      </c>
      <c r="D147" s="40" t="s">
        <v>543</v>
      </c>
      <c r="E147" s="7">
        <v>4</v>
      </c>
      <c r="F147" s="7" t="s">
        <v>43</v>
      </c>
      <c r="G147" s="19">
        <v>45042</v>
      </c>
      <c r="H147" s="7" t="s">
        <v>73</v>
      </c>
      <c r="I147" s="19" t="s">
        <v>33</v>
      </c>
      <c r="J147" s="7">
        <f>IFERROR(VLOOKUP(I147,Jueces!$A$1:$B$11,2,FALSE),"")</f>
        <v>4</v>
      </c>
      <c r="K147" s="7" t="s">
        <v>581</v>
      </c>
      <c r="L147" s="7" t="s">
        <v>695</v>
      </c>
    </row>
    <row r="148" spans="1:12" ht="30" customHeight="1">
      <c r="A148" s="172" t="str">
        <f t="shared" si="4"/>
        <v>26/04/20233</v>
      </c>
      <c r="B148" s="166">
        <f t="shared" si="5"/>
        <v>3</v>
      </c>
      <c r="C148" s="7" t="s">
        <v>495</v>
      </c>
      <c r="D148" s="40" t="s">
        <v>493</v>
      </c>
      <c r="E148" s="7">
        <v>4</v>
      </c>
      <c r="F148" s="7" t="s">
        <v>34</v>
      </c>
      <c r="G148" s="19">
        <v>45042</v>
      </c>
      <c r="H148" s="7" t="s">
        <v>75</v>
      </c>
      <c r="I148" s="19" t="s">
        <v>33</v>
      </c>
      <c r="J148" s="7">
        <f>IFERROR(VLOOKUP(I148,Jueces!$A$1:$B$11,2,FALSE),"")</f>
        <v>4</v>
      </c>
      <c r="K148" s="7" t="s">
        <v>414</v>
      </c>
      <c r="L148" s="7" t="s">
        <v>695</v>
      </c>
    </row>
    <row r="149" spans="1:12" ht="30" customHeight="1">
      <c r="A149" s="172" t="str">
        <f t="shared" si="4"/>
        <v>27/04/20231</v>
      </c>
      <c r="B149" s="166">
        <f t="shared" si="5"/>
        <v>1</v>
      </c>
      <c r="C149" s="7" t="s">
        <v>591</v>
      </c>
      <c r="D149" s="40" t="s">
        <v>601</v>
      </c>
      <c r="E149" s="7">
        <v>4</v>
      </c>
      <c r="F149" s="7" t="s">
        <v>29</v>
      </c>
      <c r="G149" s="19">
        <v>45043</v>
      </c>
      <c r="H149" s="7" t="s">
        <v>73</v>
      </c>
      <c r="I149" s="19" t="s">
        <v>35</v>
      </c>
      <c r="J149" s="7">
        <f>IFERROR(VLOOKUP(I149,Jueces!$A$1:$B$11,2,FALSE),"")</f>
        <v>3</v>
      </c>
      <c r="K149" s="7" t="s">
        <v>600</v>
      </c>
      <c r="L149" s="7" t="s">
        <v>287</v>
      </c>
    </row>
    <row r="150" spans="1:12" ht="30" customHeight="1">
      <c r="A150" s="172" t="str">
        <f t="shared" si="4"/>
        <v>27/04/20232</v>
      </c>
      <c r="B150" s="166">
        <f t="shared" si="5"/>
        <v>2</v>
      </c>
      <c r="C150" s="7" t="s">
        <v>552</v>
      </c>
      <c r="D150" s="40" t="s">
        <v>553</v>
      </c>
      <c r="E150" s="7">
        <v>4</v>
      </c>
      <c r="F150" s="7" t="s">
        <v>32</v>
      </c>
      <c r="G150" s="19">
        <v>45043</v>
      </c>
      <c r="H150" s="7" t="s">
        <v>76</v>
      </c>
      <c r="I150" s="19" t="s">
        <v>35</v>
      </c>
      <c r="J150" s="7">
        <f>IFERROR(VLOOKUP(I150,Jueces!$A$1:$B$11,2,FALSE),"")</f>
        <v>3</v>
      </c>
      <c r="K150" s="7" t="s">
        <v>582</v>
      </c>
      <c r="L150" s="7" t="s">
        <v>363</v>
      </c>
    </row>
    <row r="151" spans="1:12" ht="30" customHeight="1">
      <c r="A151" s="172" t="str">
        <f t="shared" si="4"/>
        <v>28/04/20231</v>
      </c>
      <c r="B151" s="166">
        <f t="shared" si="5"/>
        <v>1</v>
      </c>
      <c r="C151" s="7" t="s">
        <v>556</v>
      </c>
      <c r="D151" s="40" t="s">
        <v>558</v>
      </c>
      <c r="E151" s="7">
        <v>4</v>
      </c>
      <c r="F151" s="7" t="s">
        <v>43</v>
      </c>
      <c r="G151" s="19">
        <v>45044</v>
      </c>
      <c r="H151" s="7" t="s">
        <v>73</v>
      </c>
      <c r="I151" s="19" t="s">
        <v>31</v>
      </c>
      <c r="J151" s="7">
        <f>IFERROR(VLOOKUP(I151,Jueces!$A$1:$B$11,2,FALSE),"")</f>
        <v>2</v>
      </c>
      <c r="K151" s="7" t="s">
        <v>380</v>
      </c>
      <c r="L151" s="7" t="s">
        <v>579</v>
      </c>
    </row>
    <row r="152" spans="1:12" ht="30" customHeight="1">
      <c r="A152" s="172" t="str">
        <f t="shared" si="4"/>
        <v>28/04/20232</v>
      </c>
      <c r="B152" s="166">
        <f t="shared" si="5"/>
        <v>2</v>
      </c>
      <c r="C152" s="7" t="s">
        <v>623</v>
      </c>
      <c r="D152" s="40" t="s">
        <v>627</v>
      </c>
      <c r="E152" s="7">
        <v>4</v>
      </c>
      <c r="F152" s="7" t="s">
        <v>568</v>
      </c>
      <c r="G152" s="19">
        <v>45044</v>
      </c>
      <c r="H152" s="7" t="s">
        <v>73</v>
      </c>
      <c r="I152" s="19" t="s">
        <v>33</v>
      </c>
      <c r="J152" s="7">
        <f>IFERROR(VLOOKUP(I152,Jueces!$A$1:$B$11,2,FALSE),"")</f>
        <v>4</v>
      </c>
      <c r="K152" s="7" t="s">
        <v>413</v>
      </c>
      <c r="L152" s="7" t="s">
        <v>523</v>
      </c>
    </row>
    <row r="153" spans="1:12" ht="30" customHeight="1">
      <c r="A153" s="172" t="str">
        <f t="shared" si="4"/>
        <v>02/05/20231</v>
      </c>
      <c r="B153" s="166">
        <f t="shared" si="5"/>
        <v>1</v>
      </c>
      <c r="C153" s="7" t="s">
        <v>639</v>
      </c>
      <c r="D153" s="40" t="s">
        <v>672</v>
      </c>
      <c r="E153" s="7">
        <v>3</v>
      </c>
      <c r="F153" s="7" t="s">
        <v>568</v>
      </c>
      <c r="G153" s="19">
        <v>45048</v>
      </c>
      <c r="H153" s="7" t="s">
        <v>73</v>
      </c>
      <c r="I153" s="19" t="s">
        <v>35</v>
      </c>
      <c r="J153" s="7">
        <f>IFERROR(VLOOKUP(I153,Jueces!$A$1:$B$11,2,FALSE),"")</f>
        <v>3</v>
      </c>
      <c r="K153" s="7" t="s">
        <v>512</v>
      </c>
      <c r="L153" s="7" t="s">
        <v>694</v>
      </c>
    </row>
    <row r="154" spans="1:12" ht="30" customHeight="1">
      <c r="A154" s="172" t="str">
        <f t="shared" si="4"/>
        <v>02/05/20232</v>
      </c>
      <c r="B154" s="166">
        <f t="shared" si="5"/>
        <v>2</v>
      </c>
      <c r="C154" s="7" t="s">
        <v>446</v>
      </c>
      <c r="D154" s="40" t="s">
        <v>354</v>
      </c>
      <c r="E154" s="7">
        <v>4</v>
      </c>
      <c r="F154" s="7" t="s">
        <v>34</v>
      </c>
      <c r="G154" s="19">
        <v>45048</v>
      </c>
      <c r="H154" s="7" t="s">
        <v>686</v>
      </c>
      <c r="I154" s="19" t="s">
        <v>35</v>
      </c>
      <c r="J154" s="7">
        <f>IFERROR(VLOOKUP(I154,Jueces!$A$1:$B$11,2,FALSE),"")</f>
        <v>3</v>
      </c>
      <c r="K154" s="7" t="s">
        <v>582</v>
      </c>
      <c r="L154" s="7" t="s">
        <v>680</v>
      </c>
    </row>
    <row r="155" spans="1:12" ht="30" customHeight="1">
      <c r="A155" s="172" t="str">
        <f t="shared" si="4"/>
        <v>08/05/20231</v>
      </c>
      <c r="B155" s="166">
        <f t="shared" si="5"/>
        <v>1</v>
      </c>
      <c r="C155" s="7" t="s">
        <v>689</v>
      </c>
      <c r="D155" s="40" t="s">
        <v>685</v>
      </c>
      <c r="E155" s="7">
        <v>4</v>
      </c>
      <c r="F155" s="7" t="s">
        <v>43</v>
      </c>
      <c r="G155" s="19">
        <v>45054</v>
      </c>
      <c r="H155" s="7" t="s">
        <v>73</v>
      </c>
      <c r="I155" s="19" t="s">
        <v>33</v>
      </c>
      <c r="J155" s="7">
        <f>IFERROR(VLOOKUP(I155,Jueces!$A$1:$B$11,2,FALSE),"")</f>
        <v>4</v>
      </c>
      <c r="K155" s="7" t="s">
        <v>366</v>
      </c>
      <c r="L155" s="7" t="s">
        <v>691</v>
      </c>
    </row>
    <row r="156" spans="1:12" ht="30" customHeight="1">
      <c r="A156" s="172" t="str">
        <f t="shared" si="4"/>
        <v>09/05/20231</v>
      </c>
      <c r="B156" s="166">
        <f t="shared" si="5"/>
        <v>1</v>
      </c>
      <c r="C156" s="7" t="s">
        <v>687</v>
      </c>
      <c r="D156" s="40" t="s">
        <v>707</v>
      </c>
      <c r="E156" s="7">
        <v>3</v>
      </c>
      <c r="F156" s="7" t="s">
        <v>1433</v>
      </c>
      <c r="G156" s="19">
        <v>45055</v>
      </c>
      <c r="H156" s="7" t="s">
        <v>73</v>
      </c>
      <c r="I156" s="19" t="s">
        <v>35</v>
      </c>
      <c r="J156" s="7">
        <f>IFERROR(VLOOKUP(I156,Jueces!$A$1:$B$11,2,FALSE),"")</f>
        <v>3</v>
      </c>
      <c r="K156" s="7" t="s">
        <v>688</v>
      </c>
      <c r="L156" s="7" t="s">
        <v>715</v>
      </c>
    </row>
    <row r="157" spans="1:12" ht="30" customHeight="1">
      <c r="A157" s="172" t="str">
        <f t="shared" si="4"/>
        <v>09/05/20232</v>
      </c>
      <c r="B157" s="166">
        <f t="shared" si="5"/>
        <v>2</v>
      </c>
      <c r="C157" s="7" t="s">
        <v>708</v>
      </c>
      <c r="D157" s="40" t="s">
        <v>709</v>
      </c>
      <c r="E157" s="7">
        <v>8</v>
      </c>
      <c r="F157" s="7" t="s">
        <v>29</v>
      </c>
      <c r="G157" s="19">
        <v>45055</v>
      </c>
      <c r="H157" s="7" t="s">
        <v>73</v>
      </c>
      <c r="I157" s="19" t="s">
        <v>33</v>
      </c>
      <c r="J157" s="7">
        <f>IFERROR(VLOOKUP(I157,Jueces!$A$1:$B$11,2,FALSE),"")</f>
        <v>4</v>
      </c>
      <c r="K157" s="7" t="s">
        <v>184</v>
      </c>
      <c r="L157" s="7" t="s">
        <v>710</v>
      </c>
    </row>
    <row r="158" spans="1:12" ht="30" customHeight="1">
      <c r="A158" s="172" t="str">
        <f t="shared" si="4"/>
        <v>10/05/20231</v>
      </c>
      <c r="B158" s="166">
        <f t="shared" si="5"/>
        <v>1</v>
      </c>
      <c r="C158" s="7" t="s">
        <v>722</v>
      </c>
      <c r="D158" s="40" t="s">
        <v>721</v>
      </c>
      <c r="E158" s="7">
        <v>8</v>
      </c>
      <c r="F158" s="7" t="s">
        <v>34</v>
      </c>
      <c r="G158" s="19">
        <v>45056</v>
      </c>
      <c r="H158" s="7" t="s">
        <v>73</v>
      </c>
      <c r="I158" s="19" t="s">
        <v>35</v>
      </c>
      <c r="J158" s="7">
        <f>IFERROR(VLOOKUP(I158,Jueces!$A$1:$B$11,2,FALSE),"")</f>
        <v>3</v>
      </c>
      <c r="K158" s="7" t="s">
        <v>142</v>
      </c>
      <c r="L158" s="7" t="s">
        <v>710</v>
      </c>
    </row>
    <row r="159" spans="1:12" ht="30" customHeight="1">
      <c r="A159" s="172" t="str">
        <f t="shared" si="4"/>
        <v>11/05/20231</v>
      </c>
      <c r="B159" s="166">
        <f t="shared" si="5"/>
        <v>1</v>
      </c>
      <c r="C159" s="7" t="s">
        <v>720</v>
      </c>
      <c r="D159" s="40" t="s">
        <v>724</v>
      </c>
      <c r="E159" s="7">
        <v>8</v>
      </c>
      <c r="F159" s="7" t="s">
        <v>283</v>
      </c>
      <c r="G159" s="19">
        <v>45057</v>
      </c>
      <c r="H159" s="7" t="s">
        <v>73</v>
      </c>
      <c r="I159" s="19" t="s">
        <v>31</v>
      </c>
      <c r="J159" s="7">
        <f>IFERROR(VLOOKUP(I159,Jueces!$A$1:$B$11,2,FALSE),"")</f>
        <v>2</v>
      </c>
      <c r="K159" s="7" t="s">
        <v>248</v>
      </c>
      <c r="L159" s="7" t="s">
        <v>710</v>
      </c>
    </row>
    <row r="160" spans="1:12" ht="30" customHeight="1">
      <c r="A160" s="172" t="str">
        <f t="shared" si="4"/>
        <v>12/05/20231</v>
      </c>
      <c r="B160" s="166">
        <f t="shared" si="5"/>
        <v>1</v>
      </c>
      <c r="C160" s="7" t="s">
        <v>764</v>
      </c>
      <c r="D160" s="40" t="s">
        <v>739</v>
      </c>
      <c r="E160" s="7">
        <v>8</v>
      </c>
      <c r="F160" s="7" t="s">
        <v>1433</v>
      </c>
      <c r="G160" s="19">
        <v>45058</v>
      </c>
      <c r="H160" s="7" t="s">
        <v>73</v>
      </c>
      <c r="I160" s="19" t="s">
        <v>31</v>
      </c>
      <c r="J160" s="7">
        <f>IFERROR(VLOOKUP(I160,Jueces!$A$1:$B$11,2,FALSE),"")</f>
        <v>2</v>
      </c>
      <c r="K160" s="7" t="s">
        <v>413</v>
      </c>
      <c r="L160" s="7" t="s">
        <v>710</v>
      </c>
    </row>
    <row r="161" spans="1:12" ht="30" customHeight="1">
      <c r="A161" s="172" t="str">
        <f t="shared" si="4"/>
        <v>12/05/20232</v>
      </c>
      <c r="B161" s="166">
        <f t="shared" si="5"/>
        <v>2</v>
      </c>
      <c r="C161" s="7" t="s">
        <v>736</v>
      </c>
      <c r="D161" s="40" t="s">
        <v>738</v>
      </c>
      <c r="E161" s="7">
        <v>8</v>
      </c>
      <c r="F161" s="7" t="s">
        <v>32</v>
      </c>
      <c r="G161" s="19">
        <v>45058</v>
      </c>
      <c r="H161" s="7" t="s">
        <v>76</v>
      </c>
      <c r="I161" s="19" t="s">
        <v>33</v>
      </c>
      <c r="J161" s="7">
        <f>IFERROR(VLOOKUP(I161,Jueces!$A$1:$B$11,2,FALSE),"")</f>
        <v>4</v>
      </c>
      <c r="K161" s="7" t="s">
        <v>184</v>
      </c>
      <c r="L161" s="7" t="s">
        <v>710</v>
      </c>
    </row>
    <row r="162" spans="1:12" ht="30" customHeight="1">
      <c r="A162" s="172" t="str">
        <f t="shared" si="4"/>
        <v>15/05/20231</v>
      </c>
      <c r="B162" s="166">
        <f t="shared" si="5"/>
        <v>1</v>
      </c>
      <c r="C162" s="7" t="s">
        <v>761</v>
      </c>
      <c r="D162" s="40" t="s">
        <v>737</v>
      </c>
      <c r="E162" s="7">
        <v>8</v>
      </c>
      <c r="F162" s="7" t="s">
        <v>568</v>
      </c>
      <c r="G162" s="19">
        <v>45061</v>
      </c>
      <c r="H162" s="7" t="s">
        <v>73</v>
      </c>
      <c r="I162" s="19" t="s">
        <v>35</v>
      </c>
      <c r="J162" s="7">
        <f>IFERROR(VLOOKUP(I162,Jueces!$A$1:$B$11,2,FALSE),"")</f>
        <v>3</v>
      </c>
      <c r="K162" s="7" t="s">
        <v>210</v>
      </c>
      <c r="L162" s="7" t="s">
        <v>710</v>
      </c>
    </row>
    <row r="163" spans="1:12" ht="30" customHeight="1">
      <c r="A163" s="172" t="str">
        <f t="shared" si="4"/>
        <v>15/05/20232</v>
      </c>
      <c r="B163" s="166">
        <f t="shared" si="5"/>
        <v>2</v>
      </c>
      <c r="C163" s="7" t="s">
        <v>766</v>
      </c>
      <c r="D163" s="40" t="s">
        <v>762</v>
      </c>
      <c r="E163" s="7">
        <v>8</v>
      </c>
      <c r="F163" s="7" t="s">
        <v>283</v>
      </c>
      <c r="G163" s="19">
        <v>45061</v>
      </c>
      <c r="H163" s="7" t="s">
        <v>73</v>
      </c>
      <c r="I163" s="19" t="s">
        <v>33</v>
      </c>
      <c r="J163" s="7">
        <f>IFERROR(VLOOKUP(I163,Jueces!$A$1:$B$11,2,FALSE),"")</f>
        <v>4</v>
      </c>
      <c r="K163" s="7" t="s">
        <v>248</v>
      </c>
      <c r="L163" s="7" t="s">
        <v>767</v>
      </c>
    </row>
    <row r="164" spans="1:12" ht="30" customHeight="1">
      <c r="A164" s="172" t="str">
        <f t="shared" si="4"/>
        <v>16/05/20231</v>
      </c>
      <c r="B164" s="166">
        <f t="shared" si="5"/>
        <v>1</v>
      </c>
      <c r="C164" s="7" t="s">
        <v>765</v>
      </c>
      <c r="D164" s="40" t="s">
        <v>740</v>
      </c>
      <c r="E164" s="7">
        <v>8</v>
      </c>
      <c r="F164" s="7" t="s">
        <v>43</v>
      </c>
      <c r="G164" s="19">
        <v>45062</v>
      </c>
      <c r="H164" s="7" t="s">
        <v>73</v>
      </c>
      <c r="I164" s="19" t="s">
        <v>35</v>
      </c>
      <c r="J164" s="7">
        <f>IFERROR(VLOOKUP(I164,Jueces!$A$1:$B$11,2,FALSE),"")</f>
        <v>3</v>
      </c>
      <c r="K164" s="7" t="s">
        <v>248</v>
      </c>
      <c r="L164" s="7" t="s">
        <v>710</v>
      </c>
    </row>
    <row r="165" spans="1:12" ht="30" customHeight="1">
      <c r="A165" s="172" t="str">
        <f t="shared" si="4"/>
        <v>16/05/20232</v>
      </c>
      <c r="B165" s="166">
        <f t="shared" si="5"/>
        <v>2</v>
      </c>
      <c r="C165" s="7" t="s">
        <v>819</v>
      </c>
      <c r="D165" s="40" t="s">
        <v>780</v>
      </c>
      <c r="E165" s="7">
        <v>8</v>
      </c>
      <c r="F165" s="7" t="s">
        <v>1433</v>
      </c>
      <c r="G165" s="19">
        <v>45062</v>
      </c>
      <c r="H165" s="7" t="s">
        <v>1083</v>
      </c>
      <c r="I165" s="19" t="s">
        <v>31</v>
      </c>
      <c r="J165" s="7">
        <f>IFERROR(VLOOKUP(I165,Jueces!$A$1:$B$11,2,FALSE),"")</f>
        <v>2</v>
      </c>
      <c r="K165" s="7" t="s">
        <v>184</v>
      </c>
      <c r="L165" s="7" t="s">
        <v>723</v>
      </c>
    </row>
    <row r="166" spans="1:12" ht="30" customHeight="1">
      <c r="A166" s="172" t="str">
        <f t="shared" si="4"/>
        <v>17/05/20231</v>
      </c>
      <c r="B166" s="166">
        <f t="shared" si="5"/>
        <v>1</v>
      </c>
      <c r="C166" s="7" t="s">
        <v>768</v>
      </c>
      <c r="D166" s="40" t="s">
        <v>763</v>
      </c>
      <c r="E166" s="7">
        <v>8</v>
      </c>
      <c r="F166" s="7" t="s">
        <v>29</v>
      </c>
      <c r="G166" s="19">
        <v>45063</v>
      </c>
      <c r="H166" s="7" t="s">
        <v>73</v>
      </c>
      <c r="I166" s="19" t="s">
        <v>33</v>
      </c>
      <c r="J166" s="7">
        <f>IFERROR(VLOOKUP(I166,Jueces!$A$1:$B$11,2,FALSE),"")</f>
        <v>4</v>
      </c>
      <c r="K166" s="7" t="s">
        <v>803</v>
      </c>
      <c r="L166" s="7" t="s">
        <v>710</v>
      </c>
    </row>
    <row r="167" spans="1:12" ht="30" customHeight="1">
      <c r="A167" s="172" t="str">
        <f t="shared" si="4"/>
        <v>17/05/20232</v>
      </c>
      <c r="B167" s="166">
        <f t="shared" si="5"/>
        <v>2</v>
      </c>
      <c r="C167" s="7" t="s">
        <v>820</v>
      </c>
      <c r="D167" s="40" t="s">
        <v>784</v>
      </c>
      <c r="E167" s="7">
        <v>8</v>
      </c>
      <c r="F167" s="7" t="s">
        <v>43</v>
      </c>
      <c r="G167" s="19">
        <v>45063</v>
      </c>
      <c r="H167" s="7" t="s">
        <v>73</v>
      </c>
      <c r="I167" s="19" t="s">
        <v>35</v>
      </c>
      <c r="J167" s="7">
        <f>IFERROR(VLOOKUP(I167,Jueces!$A$1:$B$11,2,FALSE),"")</f>
        <v>3</v>
      </c>
      <c r="K167" s="7" t="s">
        <v>412</v>
      </c>
      <c r="L167" s="7" t="s">
        <v>767</v>
      </c>
    </row>
    <row r="168" spans="1:12" ht="30" customHeight="1">
      <c r="A168" s="172" t="str">
        <f t="shared" si="4"/>
        <v>18/05/20231</v>
      </c>
      <c r="B168" s="166">
        <f t="shared" si="5"/>
        <v>1</v>
      </c>
      <c r="C168" s="7" t="s">
        <v>781</v>
      </c>
      <c r="D168" s="40" t="s">
        <v>769</v>
      </c>
      <c r="E168" s="7">
        <v>8</v>
      </c>
      <c r="F168" s="7" t="s">
        <v>32</v>
      </c>
      <c r="G168" s="19">
        <v>45064</v>
      </c>
      <c r="H168" s="7" t="s">
        <v>73</v>
      </c>
      <c r="I168" s="19" t="s">
        <v>78</v>
      </c>
      <c r="J168" s="7">
        <f>IFERROR(VLOOKUP(I168,Jueces!$A$1:$B$11,2,FALSE),"")</f>
        <v>8</v>
      </c>
      <c r="K168" s="7" t="s">
        <v>642</v>
      </c>
      <c r="L168" s="7" t="s">
        <v>710</v>
      </c>
    </row>
    <row r="169" spans="1:12" ht="30" customHeight="1">
      <c r="A169" s="172" t="str">
        <f t="shared" si="4"/>
        <v>18/05/20232</v>
      </c>
      <c r="B169" s="166">
        <f t="shared" si="5"/>
        <v>2</v>
      </c>
      <c r="C169" s="7" t="s">
        <v>821</v>
      </c>
      <c r="D169" s="40" t="s">
        <v>830</v>
      </c>
      <c r="E169" s="7">
        <v>8</v>
      </c>
      <c r="F169" s="7" t="s">
        <v>34</v>
      </c>
      <c r="G169" s="19">
        <v>45064</v>
      </c>
      <c r="H169" s="7" t="s">
        <v>73</v>
      </c>
      <c r="I169" s="19" t="s">
        <v>33</v>
      </c>
      <c r="J169" s="7">
        <f>IFERROR(VLOOKUP(I169,Jueces!$A$1:$B$11,2,FALSE),"")</f>
        <v>4</v>
      </c>
      <c r="K169" s="7" t="s">
        <v>105</v>
      </c>
      <c r="L169" s="7" t="s">
        <v>711</v>
      </c>
    </row>
    <row r="170" spans="1:12" ht="30" customHeight="1">
      <c r="A170" s="172" t="str">
        <f t="shared" si="4"/>
        <v>18/05/20233</v>
      </c>
      <c r="B170" s="166">
        <f t="shared" si="5"/>
        <v>3</v>
      </c>
      <c r="C170" s="7" t="s">
        <v>863</v>
      </c>
      <c r="D170" s="40" t="s">
        <v>867</v>
      </c>
      <c r="E170" s="7">
        <v>8</v>
      </c>
      <c r="F170" s="7" t="s">
        <v>43</v>
      </c>
      <c r="G170" s="19">
        <v>45064</v>
      </c>
      <c r="H170" s="7" t="s">
        <v>686</v>
      </c>
      <c r="I170" s="19" t="s">
        <v>31</v>
      </c>
      <c r="J170" s="7">
        <f>IFERROR(VLOOKUP(I170,Jueces!$A$1:$B$11,2,FALSE),"")</f>
        <v>2</v>
      </c>
      <c r="K170" s="7" t="s">
        <v>798</v>
      </c>
      <c r="L170" s="7" t="s">
        <v>767</v>
      </c>
    </row>
    <row r="171" spans="1:12" ht="30" customHeight="1">
      <c r="A171" s="172" t="str">
        <f t="shared" si="4"/>
        <v>19/05/20231</v>
      </c>
      <c r="B171" s="166">
        <f t="shared" si="5"/>
        <v>1</v>
      </c>
      <c r="C171" s="7" t="s">
        <v>841</v>
      </c>
      <c r="D171" s="40" t="s">
        <v>840</v>
      </c>
      <c r="E171" s="7">
        <v>8</v>
      </c>
      <c r="F171" s="7" t="s">
        <v>34</v>
      </c>
      <c r="G171" s="19">
        <v>45065</v>
      </c>
      <c r="H171" s="7" t="s">
        <v>73</v>
      </c>
      <c r="I171" s="19" t="s">
        <v>35</v>
      </c>
      <c r="J171" s="7">
        <f>IFERROR(VLOOKUP(I171,Jueces!$A$1:$B$11,2,FALSE),"")</f>
        <v>3</v>
      </c>
      <c r="K171" s="7" t="s">
        <v>809</v>
      </c>
      <c r="L171" s="7" t="s">
        <v>767</v>
      </c>
    </row>
    <row r="172" spans="1:12" ht="30" customHeight="1">
      <c r="A172" s="172" t="str">
        <f t="shared" si="4"/>
        <v>19/05/20232</v>
      </c>
      <c r="B172" s="166">
        <f t="shared" si="5"/>
        <v>2</v>
      </c>
      <c r="C172" s="7" t="s">
        <v>822</v>
      </c>
      <c r="D172" s="40" t="s">
        <v>787</v>
      </c>
      <c r="E172" s="7">
        <v>8</v>
      </c>
      <c r="F172" s="7" t="s">
        <v>568</v>
      </c>
      <c r="G172" s="19">
        <v>45065</v>
      </c>
      <c r="H172" s="7" t="s">
        <v>73</v>
      </c>
      <c r="I172" s="19" t="s">
        <v>78</v>
      </c>
      <c r="J172" s="7">
        <f>IFERROR(VLOOKUP(I172,Jueces!$A$1:$B$11,2,FALSE),"")</f>
        <v>8</v>
      </c>
      <c r="K172" s="7" t="s">
        <v>262</v>
      </c>
      <c r="L172" s="7" t="s">
        <v>710</v>
      </c>
    </row>
    <row r="173" spans="1:12" ht="30" customHeight="1">
      <c r="A173" s="172" t="str">
        <f t="shared" si="4"/>
        <v>19/05/20233</v>
      </c>
      <c r="B173" s="166">
        <f t="shared" si="5"/>
        <v>3</v>
      </c>
      <c r="C173" s="7" t="s">
        <v>854</v>
      </c>
      <c r="D173" s="40" t="s">
        <v>849</v>
      </c>
      <c r="E173" s="7">
        <v>8</v>
      </c>
      <c r="F173" s="7" t="s">
        <v>1433</v>
      </c>
      <c r="G173" s="19">
        <v>45065</v>
      </c>
      <c r="H173" s="7" t="s">
        <v>686</v>
      </c>
      <c r="I173" s="19" t="s">
        <v>78</v>
      </c>
      <c r="J173" s="7">
        <f>IFERROR(VLOOKUP(I173,Jueces!$A$1:$B$11,2,FALSE),"")</f>
        <v>8</v>
      </c>
      <c r="K173" s="7" t="s">
        <v>807</v>
      </c>
      <c r="L173" s="7" t="s">
        <v>767</v>
      </c>
    </row>
    <row r="174" spans="1:12" ht="30" customHeight="1">
      <c r="A174" s="172" t="str">
        <f t="shared" si="4"/>
        <v>22/05/20231</v>
      </c>
      <c r="B174" s="166">
        <f t="shared" si="5"/>
        <v>1</v>
      </c>
      <c r="C174" s="7" t="s">
        <v>838</v>
      </c>
      <c r="D174" s="40" t="s">
        <v>832</v>
      </c>
      <c r="E174" s="7">
        <v>8</v>
      </c>
      <c r="F174" s="297" t="s">
        <v>568</v>
      </c>
      <c r="G174" s="19">
        <v>45068</v>
      </c>
      <c r="H174" s="7" t="s">
        <v>73</v>
      </c>
      <c r="I174" s="19" t="s">
        <v>33</v>
      </c>
      <c r="J174" s="7">
        <f>IFERROR(VLOOKUP(I174,Jueces!$A$1:$B$11,2,FALSE),"")</f>
        <v>4</v>
      </c>
      <c r="K174" s="7" t="s">
        <v>792</v>
      </c>
      <c r="L174" s="7" t="s">
        <v>723</v>
      </c>
    </row>
    <row r="175" spans="1:12" ht="30" customHeight="1">
      <c r="A175" s="172" t="str">
        <f t="shared" si="4"/>
        <v>22/05/20232</v>
      </c>
      <c r="B175" s="166">
        <f t="shared" si="5"/>
        <v>2</v>
      </c>
      <c r="C175" s="7" t="s">
        <v>824</v>
      </c>
      <c r="D175" s="40" t="s">
        <v>813</v>
      </c>
      <c r="E175" s="7">
        <v>8</v>
      </c>
      <c r="F175" s="7" t="s">
        <v>29</v>
      </c>
      <c r="G175" s="19">
        <v>45068</v>
      </c>
      <c r="H175" s="7" t="s">
        <v>73</v>
      </c>
      <c r="I175" s="19" t="s">
        <v>78</v>
      </c>
      <c r="J175" s="7">
        <f>IFERROR(VLOOKUP(I175,Jueces!$A$1:$B$11,2,FALSE),"")</f>
        <v>8</v>
      </c>
      <c r="K175" s="7" t="s">
        <v>807</v>
      </c>
      <c r="L175" s="7" t="s">
        <v>767</v>
      </c>
    </row>
    <row r="176" spans="1:12" ht="30" customHeight="1">
      <c r="A176" s="172" t="str">
        <f t="shared" si="4"/>
        <v>22/05/20233</v>
      </c>
      <c r="B176" s="166">
        <f t="shared" si="5"/>
        <v>3</v>
      </c>
      <c r="C176" s="7" t="s">
        <v>826</v>
      </c>
      <c r="D176" s="40" t="s">
        <v>892</v>
      </c>
      <c r="E176" s="7">
        <v>8</v>
      </c>
      <c r="F176" s="7" t="s">
        <v>1433</v>
      </c>
      <c r="G176" s="19">
        <v>45068</v>
      </c>
      <c r="H176" s="7" t="s">
        <v>686</v>
      </c>
      <c r="I176" s="19" t="s">
        <v>78</v>
      </c>
      <c r="J176" s="7">
        <f>IFERROR(VLOOKUP(I176,Jueces!$A$1:$B$11,2,FALSE),"")</f>
        <v>8</v>
      </c>
      <c r="K176" s="7" t="s">
        <v>803</v>
      </c>
      <c r="L176" s="7" t="s">
        <v>767</v>
      </c>
    </row>
    <row r="177" spans="1:12" ht="30" customHeight="1">
      <c r="A177" s="172" t="str">
        <f t="shared" si="4"/>
        <v>22/05/20234</v>
      </c>
      <c r="B177" s="166">
        <f t="shared" si="5"/>
        <v>4</v>
      </c>
      <c r="C177" s="7" t="s">
        <v>876</v>
      </c>
      <c r="D177" s="40" t="s">
        <v>865</v>
      </c>
      <c r="E177" s="7">
        <v>8</v>
      </c>
      <c r="F177" s="7" t="s">
        <v>32</v>
      </c>
      <c r="G177" s="19">
        <v>45068</v>
      </c>
      <c r="H177" s="7" t="s">
        <v>686</v>
      </c>
      <c r="I177" s="19" t="s">
        <v>33</v>
      </c>
      <c r="J177" s="7">
        <f>IFERROR(VLOOKUP(I177,Jueces!$A$1:$B$11,2,FALSE),"")</f>
        <v>4</v>
      </c>
      <c r="K177" s="7" t="s">
        <v>807</v>
      </c>
      <c r="L177" s="7" t="s">
        <v>723</v>
      </c>
    </row>
    <row r="178" spans="1:12" ht="30" customHeight="1">
      <c r="A178" s="172" t="str">
        <f t="shared" si="4"/>
        <v>23/05/20231</v>
      </c>
      <c r="B178" s="166">
        <f t="shared" si="5"/>
        <v>1</v>
      </c>
      <c r="C178" s="7" t="s">
        <v>825</v>
      </c>
      <c r="D178" s="40" t="s">
        <v>818</v>
      </c>
      <c r="E178" s="7">
        <v>8</v>
      </c>
      <c r="F178" s="7" t="s">
        <v>283</v>
      </c>
      <c r="G178" s="19">
        <v>45069</v>
      </c>
      <c r="H178" s="7" t="s">
        <v>73</v>
      </c>
      <c r="I178" s="19" t="s">
        <v>31</v>
      </c>
      <c r="J178" s="7">
        <f>IFERROR(VLOOKUP(I178,Jueces!$A$1:$B$11,2,FALSE),"")</f>
        <v>2</v>
      </c>
      <c r="K178" s="71" t="s">
        <v>828</v>
      </c>
      <c r="L178" s="7" t="s">
        <v>767</v>
      </c>
    </row>
    <row r="179" spans="1:12" ht="30" customHeight="1">
      <c r="A179" s="172" t="str">
        <f t="shared" si="4"/>
        <v>23/05/20232</v>
      </c>
      <c r="B179" s="166">
        <f t="shared" si="5"/>
        <v>2</v>
      </c>
      <c r="C179" s="7" t="s">
        <v>847</v>
      </c>
      <c r="D179" s="40" t="s">
        <v>848</v>
      </c>
      <c r="E179" s="7">
        <v>8</v>
      </c>
      <c r="F179" s="7" t="s">
        <v>43</v>
      </c>
      <c r="G179" s="19">
        <v>45069</v>
      </c>
      <c r="H179" s="7" t="s">
        <v>73</v>
      </c>
      <c r="I179" s="19" t="s">
        <v>35</v>
      </c>
      <c r="J179" s="7">
        <f>IFERROR(VLOOKUP(I179,Jueces!$A$1:$B$11,2,FALSE),"")</f>
        <v>3</v>
      </c>
      <c r="K179" s="7" t="s">
        <v>569</v>
      </c>
      <c r="L179" s="7" t="s">
        <v>783</v>
      </c>
    </row>
    <row r="180" spans="1:12" ht="30" customHeight="1">
      <c r="A180" s="172" t="str">
        <f t="shared" si="4"/>
        <v>23/05/20233</v>
      </c>
      <c r="B180" s="166">
        <f t="shared" si="5"/>
        <v>3</v>
      </c>
      <c r="C180" s="7" t="s">
        <v>877</v>
      </c>
      <c r="D180" s="40" t="s">
        <v>866</v>
      </c>
      <c r="E180" s="7">
        <v>8</v>
      </c>
      <c r="F180" s="7" t="s">
        <v>29</v>
      </c>
      <c r="G180" s="19">
        <v>45069</v>
      </c>
      <c r="H180" s="7" t="s">
        <v>73</v>
      </c>
      <c r="I180" s="19" t="s">
        <v>33</v>
      </c>
      <c r="J180" s="7">
        <f>IFERROR(VLOOKUP(I180,Jueces!$A$1:$B$11,2,FALSE),"")</f>
        <v>4</v>
      </c>
      <c r="K180" s="7" t="s">
        <v>811</v>
      </c>
      <c r="L180" s="7" t="s">
        <v>723</v>
      </c>
    </row>
    <row r="181" spans="1:12" ht="30" customHeight="1">
      <c r="A181" s="172" t="str">
        <f t="shared" si="4"/>
        <v>23/05/20234</v>
      </c>
      <c r="B181" s="166">
        <f t="shared" si="5"/>
        <v>4</v>
      </c>
      <c r="C181" s="7" t="s">
        <v>853</v>
      </c>
      <c r="D181" s="40" t="s">
        <v>844</v>
      </c>
      <c r="E181" s="7">
        <v>8</v>
      </c>
      <c r="F181" s="7" t="s">
        <v>32</v>
      </c>
      <c r="G181" s="19">
        <v>45069</v>
      </c>
      <c r="H181" s="7" t="s">
        <v>686</v>
      </c>
      <c r="I181" s="19" t="s">
        <v>31</v>
      </c>
      <c r="J181" s="7">
        <f>IFERROR(VLOOKUP(I181,Jueces!$A$1:$B$11,2,FALSE),"")</f>
        <v>2</v>
      </c>
      <c r="K181" s="7" t="s">
        <v>810</v>
      </c>
      <c r="L181" s="7" t="s">
        <v>767</v>
      </c>
    </row>
    <row r="182" spans="1:12" ht="30" customHeight="1">
      <c r="A182" s="172" t="str">
        <f t="shared" si="4"/>
        <v>24/05/20231</v>
      </c>
      <c r="B182" s="166">
        <f t="shared" si="5"/>
        <v>1</v>
      </c>
      <c r="C182" s="7" t="s">
        <v>894</v>
      </c>
      <c r="D182" s="40" t="s">
        <v>842</v>
      </c>
      <c r="E182" s="7">
        <v>8</v>
      </c>
      <c r="F182" s="7" t="s">
        <v>568</v>
      </c>
      <c r="G182" s="19">
        <v>45070</v>
      </c>
      <c r="H182" s="7" t="s">
        <v>73</v>
      </c>
      <c r="I182" s="19" t="s">
        <v>31</v>
      </c>
      <c r="J182" s="7">
        <f>IFERROR(VLOOKUP(I182,Jueces!$A$1:$B$11,2,FALSE),"")</f>
        <v>2</v>
      </c>
      <c r="K182" s="7" t="s">
        <v>828</v>
      </c>
      <c r="L182" s="7" t="s">
        <v>723</v>
      </c>
    </row>
    <row r="183" spans="1:12" ht="30" customHeight="1">
      <c r="A183" s="172" t="str">
        <f t="shared" si="4"/>
        <v>24/05/20232</v>
      </c>
      <c r="B183" s="166">
        <f t="shared" si="5"/>
        <v>2</v>
      </c>
      <c r="C183" s="7" t="s">
        <v>829</v>
      </c>
      <c r="D183" s="40" t="s">
        <v>814</v>
      </c>
      <c r="E183" s="7">
        <v>8</v>
      </c>
      <c r="F183" s="7" t="s">
        <v>34</v>
      </c>
      <c r="G183" s="19">
        <v>45070</v>
      </c>
      <c r="H183" s="7" t="s">
        <v>73</v>
      </c>
      <c r="I183" s="19" t="s">
        <v>78</v>
      </c>
      <c r="J183" s="7">
        <f>IFERROR(VLOOKUP(I183,Jueces!$A$1:$B$11,2,FALSE),"")</f>
        <v>8</v>
      </c>
      <c r="K183" s="7" t="s">
        <v>807</v>
      </c>
      <c r="L183" s="7" t="s">
        <v>767</v>
      </c>
    </row>
    <row r="184" spans="1:12" ht="30" customHeight="1">
      <c r="A184" s="172" t="str">
        <f t="shared" si="4"/>
        <v>24/05/20233</v>
      </c>
      <c r="B184" s="166">
        <f t="shared" si="5"/>
        <v>3</v>
      </c>
      <c r="C184" s="7" t="s">
        <v>852</v>
      </c>
      <c r="D184" s="40" t="s">
        <v>845</v>
      </c>
      <c r="E184" s="7">
        <v>8</v>
      </c>
      <c r="F184" s="7" t="s">
        <v>29</v>
      </c>
      <c r="G184" s="19">
        <v>45070</v>
      </c>
      <c r="H184" s="7" t="s">
        <v>686</v>
      </c>
      <c r="I184" s="19" t="s">
        <v>31</v>
      </c>
      <c r="J184" s="7">
        <f>IFERROR(VLOOKUP(I184,Jueces!$A$1:$B$11,2,FALSE),"")</f>
        <v>2</v>
      </c>
      <c r="K184" s="7" t="s">
        <v>789</v>
      </c>
      <c r="L184" s="7" t="s">
        <v>767</v>
      </c>
    </row>
    <row r="185" spans="1:12" ht="30" customHeight="1">
      <c r="A185" s="172" t="str">
        <f t="shared" si="4"/>
        <v>24/05/20234</v>
      </c>
      <c r="B185" s="166">
        <f t="shared" si="5"/>
        <v>4</v>
      </c>
      <c r="C185" s="7" t="s">
        <v>874</v>
      </c>
      <c r="D185" s="40" t="s">
        <v>875</v>
      </c>
      <c r="E185" s="7">
        <v>8</v>
      </c>
      <c r="F185" s="7" t="s">
        <v>1433</v>
      </c>
      <c r="G185" s="19">
        <v>45070</v>
      </c>
      <c r="H185" s="7" t="s">
        <v>686</v>
      </c>
      <c r="I185" s="19" t="s">
        <v>78</v>
      </c>
      <c r="J185" s="7">
        <f>IFERROR(VLOOKUP(I185,Jueces!$A$1:$B$11,2,FALSE),"")</f>
        <v>8</v>
      </c>
      <c r="K185" s="7" t="s">
        <v>827</v>
      </c>
      <c r="L185" s="7" t="s">
        <v>885</v>
      </c>
    </row>
    <row r="186" spans="1:12" ht="30" customHeight="1">
      <c r="A186" s="172" t="str">
        <f t="shared" si="4"/>
        <v>24/05/20235</v>
      </c>
      <c r="B186" s="166">
        <f t="shared" si="5"/>
        <v>5</v>
      </c>
      <c r="C186" s="7" t="s">
        <v>931</v>
      </c>
      <c r="D186" s="40" t="s">
        <v>921</v>
      </c>
      <c r="E186" s="7">
        <v>8</v>
      </c>
      <c r="F186" s="7" t="s">
        <v>1433</v>
      </c>
      <c r="G186" s="19">
        <v>45070</v>
      </c>
      <c r="H186" s="7" t="s">
        <v>76</v>
      </c>
      <c r="I186" s="19" t="s">
        <v>78</v>
      </c>
      <c r="J186" s="7">
        <f>IFERROR(VLOOKUP(I186,Jueces!$A$1:$B$11,2,FALSE),"")</f>
        <v>8</v>
      </c>
      <c r="K186" s="7" t="s">
        <v>401</v>
      </c>
      <c r="L186" s="7" t="s">
        <v>885</v>
      </c>
    </row>
    <row r="187" spans="1:12" ht="30" customHeight="1">
      <c r="A187" s="172" t="str">
        <f t="shared" si="4"/>
        <v>29/05/20231</v>
      </c>
      <c r="B187" s="166">
        <f t="shared" si="5"/>
        <v>1</v>
      </c>
      <c r="C187" s="7" t="s">
        <v>899</v>
      </c>
      <c r="D187" s="40" t="s">
        <v>893</v>
      </c>
      <c r="E187" s="7">
        <v>8</v>
      </c>
      <c r="F187" s="7" t="s">
        <v>32</v>
      </c>
      <c r="G187" s="19">
        <v>45075</v>
      </c>
      <c r="H187" s="15" t="s">
        <v>73</v>
      </c>
      <c r="I187" s="19" t="s">
        <v>35</v>
      </c>
      <c r="J187" s="7">
        <f>IFERROR(VLOOKUP(I187,Jueces!$A$1:$B$11,2,FALSE),"")</f>
        <v>3</v>
      </c>
      <c r="K187" s="7" t="s">
        <v>796</v>
      </c>
      <c r="L187" s="7" t="s">
        <v>895</v>
      </c>
    </row>
    <row r="188" spans="1:12" ht="30" customHeight="1">
      <c r="A188" s="172" t="str">
        <f t="shared" si="4"/>
        <v>29/05/20232</v>
      </c>
      <c r="B188" s="166">
        <f t="shared" si="5"/>
        <v>2</v>
      </c>
      <c r="C188" s="7" t="s">
        <v>882</v>
      </c>
      <c r="D188" s="40" t="s">
        <v>883</v>
      </c>
      <c r="E188" s="7">
        <v>8</v>
      </c>
      <c r="F188" s="7" t="s">
        <v>568</v>
      </c>
      <c r="G188" s="19">
        <v>45075</v>
      </c>
      <c r="H188" s="7" t="s">
        <v>73</v>
      </c>
      <c r="I188" s="19" t="s">
        <v>33</v>
      </c>
      <c r="J188" s="7">
        <f>IFERROR(VLOOKUP(I188,Jueces!$A$1:$B$11,2,FALSE),"")</f>
        <v>4</v>
      </c>
      <c r="K188" s="7" t="s">
        <v>805</v>
      </c>
      <c r="L188" s="7" t="s">
        <v>884</v>
      </c>
    </row>
    <row r="189" spans="1:12" ht="30" customHeight="1">
      <c r="A189" s="172" t="str">
        <f t="shared" si="4"/>
        <v>29/05/20233</v>
      </c>
      <c r="B189" s="166">
        <f t="shared" si="5"/>
        <v>3</v>
      </c>
      <c r="C189" s="7" t="s">
        <v>871</v>
      </c>
      <c r="D189" s="40" t="s">
        <v>851</v>
      </c>
      <c r="E189" s="7">
        <v>8</v>
      </c>
      <c r="F189" s="7" t="s">
        <v>1433</v>
      </c>
      <c r="G189" s="19">
        <v>45075</v>
      </c>
      <c r="H189" s="7" t="s">
        <v>73</v>
      </c>
      <c r="I189" s="19" t="s">
        <v>31</v>
      </c>
      <c r="J189" s="7">
        <f>IFERROR(VLOOKUP(I189,Jueces!$A$1:$B$11,2,FALSE),"")</f>
        <v>2</v>
      </c>
      <c r="K189" s="7" t="s">
        <v>1030</v>
      </c>
      <c r="L189" s="7" t="s">
        <v>1029</v>
      </c>
    </row>
    <row r="190" spans="1:12" ht="30" customHeight="1">
      <c r="A190" s="172" t="str">
        <f t="shared" si="4"/>
        <v>29/05/20234</v>
      </c>
      <c r="B190" s="166">
        <f t="shared" si="5"/>
        <v>4</v>
      </c>
      <c r="C190" s="7" t="s">
        <v>887</v>
      </c>
      <c r="D190" s="40" t="s">
        <v>888</v>
      </c>
      <c r="E190" s="7">
        <v>8</v>
      </c>
      <c r="F190" s="7" t="s">
        <v>1433</v>
      </c>
      <c r="G190" s="19">
        <v>45075</v>
      </c>
      <c r="H190" s="7" t="s">
        <v>686</v>
      </c>
      <c r="I190" s="19" t="s">
        <v>78</v>
      </c>
      <c r="J190" s="7">
        <f>IFERROR(VLOOKUP(I190,Jueces!$A$1:$B$11,2,FALSE),"")</f>
        <v>8</v>
      </c>
      <c r="K190" s="7" t="s">
        <v>804</v>
      </c>
      <c r="L190" s="7" t="s">
        <v>891</v>
      </c>
    </row>
    <row r="191" spans="1:12" ht="30" customHeight="1">
      <c r="A191" s="172" t="str">
        <f t="shared" si="4"/>
        <v>29/05/20235</v>
      </c>
      <c r="B191" s="166">
        <f t="shared" si="5"/>
        <v>5</v>
      </c>
      <c r="C191" s="7" t="s">
        <v>880</v>
      </c>
      <c r="D191" s="40" t="s">
        <v>869</v>
      </c>
      <c r="E191" s="7">
        <v>8</v>
      </c>
      <c r="F191" s="7" t="s">
        <v>283</v>
      </c>
      <c r="G191" s="19">
        <v>45075</v>
      </c>
      <c r="H191" s="7" t="s">
        <v>686</v>
      </c>
      <c r="I191" s="19" t="s">
        <v>35</v>
      </c>
      <c r="J191" s="7">
        <f>IFERROR(VLOOKUP(I191,Jueces!$A$1:$B$11,2,FALSE),"")</f>
        <v>3</v>
      </c>
      <c r="K191" s="7" t="s">
        <v>789</v>
      </c>
      <c r="L191" s="7" t="s">
        <v>712</v>
      </c>
    </row>
    <row r="192" spans="1:12" ht="30" customHeight="1">
      <c r="A192" s="172" t="str">
        <f t="shared" si="4"/>
        <v>30/05/20231</v>
      </c>
      <c r="B192" s="166">
        <f t="shared" si="5"/>
        <v>1</v>
      </c>
      <c r="C192" s="7" t="s">
        <v>942</v>
      </c>
      <c r="D192" s="40" t="s">
        <v>944</v>
      </c>
      <c r="E192" s="7">
        <v>2</v>
      </c>
      <c r="F192" s="7" t="s">
        <v>43</v>
      </c>
      <c r="G192" s="19">
        <v>45076</v>
      </c>
      <c r="H192" s="7" t="s">
        <v>73</v>
      </c>
      <c r="I192" s="19" t="s">
        <v>35</v>
      </c>
      <c r="J192" s="7">
        <f>IFERROR(VLOOKUP(I192,Jueces!$A$1:$B$11,2,FALSE),"")</f>
        <v>3</v>
      </c>
      <c r="K192" s="7" t="s">
        <v>191</v>
      </c>
      <c r="L192" s="7" t="s">
        <v>975</v>
      </c>
    </row>
    <row r="193" spans="1:12" ht="30" customHeight="1">
      <c r="A193" s="172" t="str">
        <f t="shared" si="4"/>
        <v>31/05/20231</v>
      </c>
      <c r="B193" s="166">
        <f t="shared" si="5"/>
        <v>1</v>
      </c>
      <c r="C193" s="7" t="s">
        <v>912</v>
      </c>
      <c r="D193" s="40" t="s">
        <v>856</v>
      </c>
      <c r="E193" s="7">
        <v>8</v>
      </c>
      <c r="F193" s="7" t="s">
        <v>34</v>
      </c>
      <c r="G193" s="19">
        <v>45077</v>
      </c>
      <c r="H193" s="7" t="s">
        <v>73</v>
      </c>
      <c r="I193" s="19" t="s">
        <v>33</v>
      </c>
      <c r="J193" s="7">
        <f>IFERROR(VLOOKUP(I193,Jueces!$A$1:$B$11,2,FALSE),"")</f>
        <v>4</v>
      </c>
      <c r="K193" s="7" t="s">
        <v>810</v>
      </c>
      <c r="L193" s="7" t="s">
        <v>885</v>
      </c>
    </row>
    <row r="194" spans="1:12" ht="30" customHeight="1">
      <c r="A194" s="172" t="str">
        <f t="shared" si="4"/>
        <v>31/05/20232</v>
      </c>
      <c r="B194" s="166">
        <f t="shared" si="5"/>
        <v>2</v>
      </c>
      <c r="C194" s="7" t="s">
        <v>904</v>
      </c>
      <c r="D194" s="40" t="s">
        <v>915</v>
      </c>
      <c r="E194" s="7">
        <v>8</v>
      </c>
      <c r="F194" s="7" t="s">
        <v>43</v>
      </c>
      <c r="G194" s="19">
        <v>45077</v>
      </c>
      <c r="H194" s="7" t="s">
        <v>73</v>
      </c>
      <c r="I194" s="19" t="s">
        <v>31</v>
      </c>
      <c r="J194" s="7">
        <f>IFERROR(VLOOKUP(I194,Jueces!$A$1:$B$11,2,FALSE),"")</f>
        <v>2</v>
      </c>
      <c r="K194" s="7" t="s">
        <v>262</v>
      </c>
      <c r="L194" s="7" t="s">
        <v>723</v>
      </c>
    </row>
    <row r="195" spans="1:12" ht="30" customHeight="1">
      <c r="A195" s="172" t="str">
        <f t="shared" ref="A195:A258" si="6">CONCATENATE(TEXT($G195,"dd/mm/yyyy"),$B195)</f>
        <v>31/05/20233</v>
      </c>
      <c r="B195" s="166">
        <f t="shared" si="5"/>
        <v>3</v>
      </c>
      <c r="C195" s="7" t="s">
        <v>913</v>
      </c>
      <c r="D195" s="40" t="s">
        <v>890</v>
      </c>
      <c r="E195" s="7">
        <v>8</v>
      </c>
      <c r="F195" s="7" t="s">
        <v>32</v>
      </c>
      <c r="G195" s="19">
        <v>45077</v>
      </c>
      <c r="H195" s="7" t="s">
        <v>686</v>
      </c>
      <c r="I195" s="19" t="s">
        <v>78</v>
      </c>
      <c r="J195" s="7">
        <f>IFERROR(VLOOKUP(I195,Jueces!$A$1:$B$11,2,FALSE),"")</f>
        <v>8</v>
      </c>
      <c r="K195" s="7" t="s">
        <v>805</v>
      </c>
      <c r="L195" s="7" t="s">
        <v>723</v>
      </c>
    </row>
    <row r="196" spans="1:12" ht="30" customHeight="1">
      <c r="A196" s="172" t="str">
        <f t="shared" si="6"/>
        <v>31/05/20234</v>
      </c>
      <c r="B196" s="166">
        <f t="shared" ref="B196:B259" si="7">IF($G196=$G195,$B195+1,1)</f>
        <v>4</v>
      </c>
      <c r="C196" s="7" t="s">
        <v>943</v>
      </c>
      <c r="D196" s="40" t="s">
        <v>976</v>
      </c>
      <c r="E196" s="7">
        <v>8</v>
      </c>
      <c r="F196" s="7" t="s">
        <v>29</v>
      </c>
      <c r="G196" s="19">
        <v>45077</v>
      </c>
      <c r="H196" s="7" t="s">
        <v>228</v>
      </c>
      <c r="I196" s="19" t="s">
        <v>31</v>
      </c>
      <c r="J196" s="7">
        <f>IFERROR(VLOOKUP(I196,Jueces!$A$1:$B$11,2,FALSE),"")</f>
        <v>2</v>
      </c>
      <c r="K196" s="7" t="s">
        <v>326</v>
      </c>
      <c r="L196" s="7" t="s">
        <v>885</v>
      </c>
    </row>
    <row r="197" spans="1:12" ht="30" customHeight="1">
      <c r="A197" s="172" t="str">
        <f t="shared" si="6"/>
        <v>01/06/20231</v>
      </c>
      <c r="B197" s="166">
        <f t="shared" si="7"/>
        <v>1</v>
      </c>
      <c r="C197" s="7" t="s">
        <v>786</v>
      </c>
      <c r="D197" s="40" t="s">
        <v>992</v>
      </c>
      <c r="E197" s="7">
        <v>8</v>
      </c>
      <c r="F197" s="7" t="s">
        <v>32</v>
      </c>
      <c r="G197" s="19">
        <v>45078</v>
      </c>
      <c r="H197" s="7" t="s">
        <v>73</v>
      </c>
      <c r="I197" s="19" t="s">
        <v>33</v>
      </c>
      <c r="J197" s="7">
        <f>IFERROR(VLOOKUP(I197,Jueces!$A$1:$B$11,2,FALSE),"")</f>
        <v>4</v>
      </c>
      <c r="K197" s="7" t="s">
        <v>804</v>
      </c>
      <c r="L197" s="7" t="s">
        <v>835</v>
      </c>
    </row>
    <row r="198" spans="1:12" ht="30" customHeight="1">
      <c r="A198" s="172" t="str">
        <f t="shared" si="6"/>
        <v>01/06/20232</v>
      </c>
      <c r="B198" s="166">
        <f t="shared" si="7"/>
        <v>2</v>
      </c>
      <c r="C198" s="7" t="s">
        <v>864</v>
      </c>
      <c r="D198" s="40" t="s">
        <v>868</v>
      </c>
      <c r="E198" s="7">
        <v>8</v>
      </c>
      <c r="F198" s="7" t="s">
        <v>43</v>
      </c>
      <c r="G198" s="19">
        <v>45078</v>
      </c>
      <c r="H198" s="7" t="s">
        <v>73</v>
      </c>
      <c r="I198" s="19" t="s">
        <v>35</v>
      </c>
      <c r="J198" s="7">
        <f>IFERROR(VLOOKUP(I198,Jueces!$A$1:$B$11,2,FALSE),"")</f>
        <v>3</v>
      </c>
      <c r="K198" s="7" t="s">
        <v>801</v>
      </c>
      <c r="L198" s="7" t="s">
        <v>881</v>
      </c>
    </row>
    <row r="199" spans="1:12" ht="30" customHeight="1">
      <c r="A199" s="172" t="str">
        <f t="shared" si="6"/>
        <v>01/06/20233</v>
      </c>
      <c r="B199" s="166">
        <f t="shared" si="7"/>
        <v>3</v>
      </c>
      <c r="C199" s="7" t="s">
        <v>956</v>
      </c>
      <c r="D199" s="40" t="s">
        <v>957</v>
      </c>
      <c r="E199" s="7">
        <v>8</v>
      </c>
      <c r="F199" s="7" t="s">
        <v>1433</v>
      </c>
      <c r="G199" s="19">
        <v>45078</v>
      </c>
      <c r="H199" s="7" t="s">
        <v>73</v>
      </c>
      <c r="I199" s="19" t="s">
        <v>78</v>
      </c>
      <c r="J199" s="7">
        <f>IFERROR(VLOOKUP(I199,Jueces!$A$1:$B$11,2,FALSE),"")</f>
        <v>8</v>
      </c>
      <c r="K199" s="7" t="s">
        <v>805</v>
      </c>
      <c r="L199" s="7" t="s">
        <v>1028</v>
      </c>
    </row>
    <row r="200" spans="1:12" ht="30" customHeight="1">
      <c r="A200" s="172" t="str">
        <f t="shared" si="6"/>
        <v>01/06/20234</v>
      </c>
      <c r="B200" s="166">
        <f t="shared" si="7"/>
        <v>4</v>
      </c>
      <c r="C200" s="7" t="s">
        <v>843</v>
      </c>
      <c r="D200" s="40" t="s">
        <v>850</v>
      </c>
      <c r="E200" s="7">
        <v>8</v>
      </c>
      <c r="F200" s="7" t="s">
        <v>283</v>
      </c>
      <c r="G200" s="19">
        <v>45078</v>
      </c>
      <c r="H200" s="7" t="s">
        <v>686</v>
      </c>
      <c r="I200" s="19" t="s">
        <v>78</v>
      </c>
      <c r="J200" s="7">
        <f>IFERROR(VLOOKUP(I200,Jueces!$A$1:$B$11,2,FALSE),"")</f>
        <v>8</v>
      </c>
      <c r="K200" s="7" t="s">
        <v>809</v>
      </c>
      <c r="L200" s="7" t="s">
        <v>767</v>
      </c>
    </row>
    <row r="201" spans="1:12" ht="30" customHeight="1">
      <c r="A201" s="172" t="str">
        <f t="shared" si="6"/>
        <v>01/06/20235</v>
      </c>
      <c r="B201" s="166">
        <f t="shared" si="7"/>
        <v>5</v>
      </c>
      <c r="C201" s="63" t="s">
        <v>879</v>
      </c>
      <c r="D201" s="64" t="s">
        <v>878</v>
      </c>
      <c r="E201" s="63">
        <v>8</v>
      </c>
      <c r="F201" s="63" t="s">
        <v>29</v>
      </c>
      <c r="G201" s="65">
        <v>45078</v>
      </c>
      <c r="H201" s="63" t="s">
        <v>686</v>
      </c>
      <c r="I201" s="65" t="s">
        <v>33</v>
      </c>
      <c r="J201" s="7">
        <f>IFERROR(VLOOKUP(I201,Jueces!$A$1:$B$11,2,FALSE),"")</f>
        <v>4</v>
      </c>
      <c r="K201" s="63" t="s">
        <v>808</v>
      </c>
      <c r="L201" s="63" t="s">
        <v>885</v>
      </c>
    </row>
    <row r="202" spans="1:12" ht="30" customHeight="1">
      <c r="A202" s="172" t="str">
        <f t="shared" si="6"/>
        <v>01/06/20236</v>
      </c>
      <c r="B202" s="166">
        <f t="shared" si="7"/>
        <v>6</v>
      </c>
      <c r="C202" s="63" t="s">
        <v>958</v>
      </c>
      <c r="D202" s="64" t="s">
        <v>959</v>
      </c>
      <c r="E202" s="63">
        <v>8</v>
      </c>
      <c r="F202" s="63" t="s">
        <v>568</v>
      </c>
      <c r="G202" s="65">
        <v>45078</v>
      </c>
      <c r="H202" s="63" t="s">
        <v>77</v>
      </c>
      <c r="I202" s="65" t="s">
        <v>78</v>
      </c>
      <c r="J202" s="7">
        <f>IFERROR(VLOOKUP(I202,Jueces!$A$1:$B$11,2,FALSE),"")</f>
        <v>8</v>
      </c>
      <c r="K202" s="63" t="s">
        <v>798</v>
      </c>
      <c r="L202" s="63" t="s">
        <v>86</v>
      </c>
    </row>
    <row r="203" spans="1:12" ht="30" customHeight="1">
      <c r="A203" s="172" t="str">
        <f t="shared" si="6"/>
        <v>01/06/20237</v>
      </c>
      <c r="B203" s="166">
        <f t="shared" si="7"/>
        <v>7</v>
      </c>
      <c r="C203" s="63" t="s">
        <v>984</v>
      </c>
      <c r="D203" s="64" t="s">
        <v>985</v>
      </c>
      <c r="E203" s="63">
        <v>3</v>
      </c>
      <c r="F203" s="63" t="s">
        <v>43</v>
      </c>
      <c r="G203" s="65">
        <v>45078</v>
      </c>
      <c r="H203" s="63" t="s">
        <v>987</v>
      </c>
      <c r="I203" s="65" t="s">
        <v>35</v>
      </c>
      <c r="J203" s="7">
        <f>IFERROR(VLOOKUP(I203,Jueces!$A$1:$B$11,2,FALSE),"")</f>
        <v>3</v>
      </c>
      <c r="K203" s="63" t="s">
        <v>181</v>
      </c>
      <c r="L203" s="63" t="s">
        <v>1028</v>
      </c>
    </row>
    <row r="204" spans="1:12" ht="30" customHeight="1">
      <c r="A204" s="172" t="str">
        <f t="shared" si="6"/>
        <v>02/06/20231</v>
      </c>
      <c r="B204" s="166">
        <f t="shared" si="7"/>
        <v>1</v>
      </c>
      <c r="C204" s="63" t="s">
        <v>889</v>
      </c>
      <c r="D204" s="64" t="s">
        <v>977</v>
      </c>
      <c r="E204" s="63">
        <v>8</v>
      </c>
      <c r="F204" s="63" t="s">
        <v>29</v>
      </c>
      <c r="G204" s="65">
        <v>45079</v>
      </c>
      <c r="H204" s="63" t="s">
        <v>997</v>
      </c>
      <c r="I204" s="65" t="s">
        <v>78</v>
      </c>
      <c r="J204" s="7">
        <f>IFERROR(VLOOKUP(I204,Jueces!$A$1:$B$11,2,FALSE),"")</f>
        <v>8</v>
      </c>
      <c r="K204" s="63" t="s">
        <v>801</v>
      </c>
      <c r="L204" s="63" t="s">
        <v>914</v>
      </c>
    </row>
    <row r="205" spans="1:12" ht="30" customHeight="1">
      <c r="A205" s="172" t="str">
        <f t="shared" si="6"/>
        <v>02/06/20232</v>
      </c>
      <c r="B205" s="166">
        <f t="shared" si="7"/>
        <v>2</v>
      </c>
      <c r="C205" s="7" t="s">
        <v>834</v>
      </c>
      <c r="D205" s="40" t="s">
        <v>836</v>
      </c>
      <c r="E205" s="7">
        <v>8</v>
      </c>
      <c r="F205" s="7" t="s">
        <v>1433</v>
      </c>
      <c r="G205" s="19">
        <v>45079</v>
      </c>
      <c r="H205" s="7" t="s">
        <v>73</v>
      </c>
      <c r="I205" s="19" t="s">
        <v>35</v>
      </c>
      <c r="J205" s="7">
        <f>IFERROR(VLOOKUP(I205,Jueces!$A$1:$B$11,2,FALSE),"")</f>
        <v>3</v>
      </c>
      <c r="K205" s="7" t="s">
        <v>798</v>
      </c>
      <c r="L205" s="7" t="s">
        <v>711</v>
      </c>
    </row>
    <row r="206" spans="1:12" ht="30" customHeight="1">
      <c r="A206" s="172" t="str">
        <f t="shared" si="6"/>
        <v>02/06/20233</v>
      </c>
      <c r="B206" s="166">
        <f t="shared" si="7"/>
        <v>3</v>
      </c>
      <c r="C206" s="63" t="s">
        <v>898</v>
      </c>
      <c r="D206" s="64" t="s">
        <v>870</v>
      </c>
      <c r="E206" s="63">
        <v>8</v>
      </c>
      <c r="F206" s="63" t="s">
        <v>283</v>
      </c>
      <c r="G206" s="65">
        <v>45079</v>
      </c>
      <c r="H206" s="63" t="s">
        <v>686</v>
      </c>
      <c r="I206" s="65" t="s">
        <v>78</v>
      </c>
      <c r="J206" s="7">
        <f>IFERROR(VLOOKUP(I206,Jueces!$A$1:$B$11,2,FALSE),"")</f>
        <v>8</v>
      </c>
      <c r="K206" s="63" t="s">
        <v>326</v>
      </c>
      <c r="L206" s="63" t="s">
        <v>767</v>
      </c>
    </row>
    <row r="207" spans="1:12" ht="30" customHeight="1">
      <c r="A207" s="172" t="str">
        <f t="shared" si="6"/>
        <v>02/06/20234</v>
      </c>
      <c r="B207" s="166">
        <f t="shared" si="7"/>
        <v>4</v>
      </c>
      <c r="C207" s="63" t="s">
        <v>936</v>
      </c>
      <c r="D207" s="64" t="s">
        <v>937</v>
      </c>
      <c r="E207" s="63">
        <v>8</v>
      </c>
      <c r="F207" s="63" t="s">
        <v>568</v>
      </c>
      <c r="G207" s="65">
        <v>45079</v>
      </c>
      <c r="H207" s="63" t="s">
        <v>686</v>
      </c>
      <c r="I207" s="65" t="s">
        <v>33</v>
      </c>
      <c r="J207" s="7">
        <f>IFERROR(VLOOKUP(I207,Jueces!$A$1:$B$11,2,FALSE),"")</f>
        <v>4</v>
      </c>
      <c r="K207" s="63" t="s">
        <v>801</v>
      </c>
      <c r="L207" s="63" t="s">
        <v>1005</v>
      </c>
    </row>
    <row r="208" spans="1:12" ht="30" customHeight="1">
      <c r="A208" s="172" t="str">
        <f t="shared" si="6"/>
        <v>02/06/20235</v>
      </c>
      <c r="B208" s="166">
        <f t="shared" si="7"/>
        <v>5</v>
      </c>
      <c r="C208" s="63" t="s">
        <v>933</v>
      </c>
      <c r="D208" s="64" t="s">
        <v>920</v>
      </c>
      <c r="E208" s="63">
        <v>8</v>
      </c>
      <c r="F208" s="63" t="s">
        <v>34</v>
      </c>
      <c r="G208" s="65">
        <v>45079</v>
      </c>
      <c r="H208" s="63" t="s">
        <v>686</v>
      </c>
      <c r="I208" s="65" t="s">
        <v>35</v>
      </c>
      <c r="J208" s="7">
        <f>IFERROR(VLOOKUP(I208,Jueces!$A$1:$B$11,2,FALSE),"")</f>
        <v>3</v>
      </c>
      <c r="K208" s="63" t="s">
        <v>277</v>
      </c>
      <c r="L208" s="63" t="s">
        <v>710</v>
      </c>
    </row>
    <row r="209" spans="1:12" ht="30" customHeight="1">
      <c r="A209" s="172" t="str">
        <f t="shared" si="6"/>
        <v>05/06/20231</v>
      </c>
      <c r="B209" s="166">
        <f t="shared" si="7"/>
        <v>1</v>
      </c>
      <c r="C209" s="7" t="s">
        <v>919</v>
      </c>
      <c r="D209" s="40" t="s">
        <v>1034</v>
      </c>
      <c r="E209" s="7">
        <v>8</v>
      </c>
      <c r="F209" s="7" t="s">
        <v>568</v>
      </c>
      <c r="G209" s="19">
        <v>45082</v>
      </c>
      <c r="H209" s="7" t="s">
        <v>73</v>
      </c>
      <c r="I209" s="19" t="s">
        <v>33</v>
      </c>
      <c r="J209" s="7">
        <f>IFERROR(VLOOKUP(I209,Jueces!$A$1:$B$11,2,FALSE),"")</f>
        <v>4</v>
      </c>
      <c r="K209" s="7" t="s">
        <v>406</v>
      </c>
      <c r="L209" s="7" t="s">
        <v>767</v>
      </c>
    </row>
    <row r="210" spans="1:12" ht="30" customHeight="1">
      <c r="A210" s="172" t="str">
        <f t="shared" si="6"/>
        <v>05/06/20232</v>
      </c>
      <c r="B210" s="166">
        <f t="shared" si="7"/>
        <v>2</v>
      </c>
      <c r="C210" s="7" t="s">
        <v>968</v>
      </c>
      <c r="D210" s="40" t="s">
        <v>969</v>
      </c>
      <c r="E210" s="7">
        <v>8</v>
      </c>
      <c r="F210" s="7" t="s">
        <v>1433</v>
      </c>
      <c r="G210" s="19">
        <v>45082</v>
      </c>
      <c r="H210" s="7" t="s">
        <v>73</v>
      </c>
      <c r="I210" s="19" t="s">
        <v>78</v>
      </c>
      <c r="J210" s="7">
        <f>IFERROR(VLOOKUP(I210,Jueces!$A$1:$B$11,2,FALSE),"")</f>
        <v>8</v>
      </c>
      <c r="K210" s="7" t="s">
        <v>569</v>
      </c>
      <c r="L210" s="7" t="s">
        <v>970</v>
      </c>
    </row>
    <row r="211" spans="1:12" ht="30" customHeight="1">
      <c r="A211" s="172" t="str">
        <f t="shared" si="6"/>
        <v>05/06/20233</v>
      </c>
      <c r="B211" s="166">
        <f t="shared" si="7"/>
        <v>3</v>
      </c>
      <c r="C211" s="63" t="s">
        <v>925</v>
      </c>
      <c r="D211" s="64" t="s">
        <v>926</v>
      </c>
      <c r="E211" s="63">
        <v>8</v>
      </c>
      <c r="F211" s="63" t="s">
        <v>32</v>
      </c>
      <c r="G211" s="65">
        <v>45082</v>
      </c>
      <c r="H211" s="63" t="s">
        <v>686</v>
      </c>
      <c r="I211" s="65" t="s">
        <v>33</v>
      </c>
      <c r="J211" s="7">
        <f>IFERROR(VLOOKUP(I211,Jueces!$A$1:$B$11,2,FALSE),"")</f>
        <v>4</v>
      </c>
      <c r="K211" s="63" t="s">
        <v>792</v>
      </c>
      <c r="L211" s="63" t="s">
        <v>767</v>
      </c>
    </row>
    <row r="212" spans="1:12" ht="30" customHeight="1">
      <c r="A212" s="172" t="str">
        <f t="shared" si="6"/>
        <v>05/06/20234</v>
      </c>
      <c r="B212" s="166">
        <f t="shared" si="7"/>
        <v>4</v>
      </c>
      <c r="C212" s="63" t="s">
        <v>973</v>
      </c>
      <c r="D212" s="64" t="s">
        <v>965</v>
      </c>
      <c r="E212" s="63">
        <v>8</v>
      </c>
      <c r="F212" s="63" t="s">
        <v>283</v>
      </c>
      <c r="G212" s="65">
        <v>45082</v>
      </c>
      <c r="H212" s="63" t="s">
        <v>228</v>
      </c>
      <c r="I212" s="65" t="s">
        <v>78</v>
      </c>
      <c r="J212" s="7">
        <f>IFERROR(VLOOKUP(I212,Jueces!$A$1:$B$11,2,FALSE),"")</f>
        <v>8</v>
      </c>
      <c r="K212" s="63" t="s">
        <v>793</v>
      </c>
      <c r="L212" s="63" t="s">
        <v>1299</v>
      </c>
    </row>
    <row r="213" spans="1:12" ht="30" customHeight="1">
      <c r="A213" s="172" t="str">
        <f t="shared" si="6"/>
        <v>06/06/20231</v>
      </c>
      <c r="B213" s="166">
        <f t="shared" si="7"/>
        <v>1</v>
      </c>
      <c r="C213" s="63" t="s">
        <v>839</v>
      </c>
      <c r="D213" s="64" t="s">
        <v>831</v>
      </c>
      <c r="E213" s="63">
        <v>8</v>
      </c>
      <c r="F213" s="63" t="s">
        <v>43</v>
      </c>
      <c r="G213" s="65">
        <v>45083</v>
      </c>
      <c r="H213" s="63" t="s">
        <v>73</v>
      </c>
      <c r="I213" s="65" t="s">
        <v>35</v>
      </c>
      <c r="J213" s="7">
        <f>IFERROR(VLOOKUP(I213,Jueces!$A$1:$B$11,2,FALSE),"")</f>
        <v>3</v>
      </c>
      <c r="K213" s="63" t="s">
        <v>1067</v>
      </c>
      <c r="L213" s="63" t="s">
        <v>767</v>
      </c>
    </row>
    <row r="214" spans="1:12" ht="30" customHeight="1">
      <c r="A214" s="172" t="str">
        <f t="shared" si="6"/>
        <v>06/06/20232</v>
      </c>
      <c r="B214" s="166">
        <f t="shared" si="7"/>
        <v>2</v>
      </c>
      <c r="C214" s="63" t="s">
        <v>974</v>
      </c>
      <c r="D214" s="64" t="s">
        <v>962</v>
      </c>
      <c r="E214" s="63">
        <v>8</v>
      </c>
      <c r="F214" s="63" t="s">
        <v>29</v>
      </c>
      <c r="G214" s="65">
        <v>45083</v>
      </c>
      <c r="H214" s="63" t="s">
        <v>73</v>
      </c>
      <c r="I214" s="65" t="s">
        <v>33</v>
      </c>
      <c r="J214" s="7">
        <f>IFERROR(VLOOKUP(I214,Jueces!$A$1:$B$11,2,FALSE),"")</f>
        <v>4</v>
      </c>
      <c r="K214" s="63" t="s">
        <v>810</v>
      </c>
      <c r="L214" s="63" t="s">
        <v>885</v>
      </c>
    </row>
    <row r="215" spans="1:12" ht="30" customHeight="1">
      <c r="A215" s="172" t="str">
        <f t="shared" si="6"/>
        <v>06/06/20233</v>
      </c>
      <c r="B215" s="166">
        <f t="shared" si="7"/>
        <v>3</v>
      </c>
      <c r="C215" s="63" t="s">
        <v>963</v>
      </c>
      <c r="D215" s="64" t="s">
        <v>964</v>
      </c>
      <c r="E215" s="63">
        <v>8</v>
      </c>
      <c r="F215" s="63" t="s">
        <v>34</v>
      </c>
      <c r="G215" s="65">
        <v>45083</v>
      </c>
      <c r="H215" s="63" t="s">
        <v>686</v>
      </c>
      <c r="I215" s="65" t="s">
        <v>35</v>
      </c>
      <c r="J215" s="7">
        <f>IFERROR(VLOOKUP(I215,Jueces!$A$1:$B$11,2,FALSE),"")</f>
        <v>3</v>
      </c>
      <c r="K215" s="63" t="s">
        <v>416</v>
      </c>
      <c r="L215" s="63" t="s">
        <v>885</v>
      </c>
    </row>
    <row r="216" spans="1:12" ht="30" customHeight="1">
      <c r="A216" s="172" t="str">
        <f t="shared" si="6"/>
        <v>06/06/20234</v>
      </c>
      <c r="B216" s="166">
        <f t="shared" si="7"/>
        <v>4</v>
      </c>
      <c r="C216" s="63" t="s">
        <v>966</v>
      </c>
      <c r="D216" s="64" t="s">
        <v>967</v>
      </c>
      <c r="E216" s="63">
        <v>8</v>
      </c>
      <c r="F216" s="63" t="s">
        <v>32</v>
      </c>
      <c r="G216" s="65">
        <v>45083</v>
      </c>
      <c r="H216" s="63" t="s">
        <v>686</v>
      </c>
      <c r="I216" s="65" t="s">
        <v>33</v>
      </c>
      <c r="J216" s="7">
        <f>IFERROR(VLOOKUP(I216,Jueces!$A$1:$B$11,2,FALSE),"")</f>
        <v>4</v>
      </c>
      <c r="K216" s="64" t="s">
        <v>799</v>
      </c>
      <c r="L216" s="63" t="s">
        <v>981</v>
      </c>
    </row>
    <row r="217" spans="1:12" ht="30" customHeight="1">
      <c r="A217" s="172" t="str">
        <f t="shared" si="6"/>
        <v>07/06/20231</v>
      </c>
      <c r="B217" s="166">
        <f t="shared" si="7"/>
        <v>1</v>
      </c>
      <c r="C217" s="63" t="s">
        <v>855</v>
      </c>
      <c r="D217" s="64" t="s">
        <v>886</v>
      </c>
      <c r="E217" s="63">
        <v>2</v>
      </c>
      <c r="F217" s="63" t="s">
        <v>34</v>
      </c>
      <c r="G217" s="65">
        <v>45084</v>
      </c>
      <c r="H217" s="63" t="s">
        <v>73</v>
      </c>
      <c r="I217" s="65" t="s">
        <v>33</v>
      </c>
      <c r="J217" s="7">
        <f>IFERROR(VLOOKUP(I217,Jueces!$A$1:$B$11,2,FALSE),"")</f>
        <v>4</v>
      </c>
      <c r="K217" s="63" t="s">
        <v>415</v>
      </c>
      <c r="L217" s="63" t="s">
        <v>767</v>
      </c>
    </row>
    <row r="218" spans="1:12" ht="30" customHeight="1">
      <c r="A218" s="172" t="str">
        <f t="shared" si="6"/>
        <v>07/06/20232</v>
      </c>
      <c r="B218" s="166">
        <f t="shared" si="7"/>
        <v>2</v>
      </c>
      <c r="C218" s="63" t="s">
        <v>979</v>
      </c>
      <c r="D218" s="64" t="s">
        <v>980</v>
      </c>
      <c r="E218" s="63">
        <v>8</v>
      </c>
      <c r="F218" s="63" t="s">
        <v>1433</v>
      </c>
      <c r="G218" s="65">
        <v>45084</v>
      </c>
      <c r="H218" s="63" t="s">
        <v>73</v>
      </c>
      <c r="I218" s="65" t="s">
        <v>35</v>
      </c>
      <c r="J218" s="7">
        <f>IFERROR(VLOOKUP(I218,Jueces!$A$1:$B$11,2,FALSE),"")</f>
        <v>3</v>
      </c>
      <c r="K218" s="63" t="s">
        <v>811</v>
      </c>
      <c r="L218" s="63" t="s">
        <v>723</v>
      </c>
    </row>
    <row r="219" spans="1:12" ht="30" customHeight="1">
      <c r="A219" s="172" t="str">
        <f t="shared" si="6"/>
        <v>07/06/20233</v>
      </c>
      <c r="B219" s="166">
        <f t="shared" si="7"/>
        <v>3</v>
      </c>
      <c r="C219" s="63" t="s">
        <v>998</v>
      </c>
      <c r="D219" s="64" t="s">
        <v>995</v>
      </c>
      <c r="E219" s="63">
        <v>8</v>
      </c>
      <c r="F219" s="63" t="s">
        <v>1433</v>
      </c>
      <c r="G219" s="65">
        <v>45084</v>
      </c>
      <c r="H219" s="63" t="s">
        <v>686</v>
      </c>
      <c r="I219" s="65" t="s">
        <v>35</v>
      </c>
      <c r="J219" s="7">
        <f>IFERROR(VLOOKUP(I219,Jueces!$A$1:$B$11,2,FALSE),"")</f>
        <v>3</v>
      </c>
      <c r="K219" s="63" t="s">
        <v>811</v>
      </c>
      <c r="L219" s="63" t="s">
        <v>723</v>
      </c>
    </row>
    <row r="220" spans="1:12" ht="30" customHeight="1">
      <c r="A220" s="172" t="str">
        <f t="shared" si="6"/>
        <v>08/06/20231</v>
      </c>
      <c r="B220" s="166">
        <f t="shared" si="7"/>
        <v>1</v>
      </c>
      <c r="C220" s="63" t="s">
        <v>1051</v>
      </c>
      <c r="D220" s="64" t="s">
        <v>1052</v>
      </c>
      <c r="E220" s="63">
        <v>2</v>
      </c>
      <c r="F220" s="63" t="s">
        <v>1433</v>
      </c>
      <c r="G220" s="65">
        <v>45085</v>
      </c>
      <c r="H220" s="63" t="s">
        <v>73</v>
      </c>
      <c r="I220" s="65" t="s">
        <v>78</v>
      </c>
      <c r="J220" s="7">
        <f>IFERROR(VLOOKUP(I220,Jueces!$A$1:$B$11,2,FALSE),"")</f>
        <v>8</v>
      </c>
      <c r="K220" s="63" t="s">
        <v>810</v>
      </c>
      <c r="L220" s="63" t="s">
        <v>711</v>
      </c>
    </row>
    <row r="221" spans="1:12" ht="30" customHeight="1">
      <c r="A221" s="172" t="str">
        <f t="shared" si="6"/>
        <v>08/06/20232</v>
      </c>
      <c r="B221" s="166">
        <f t="shared" si="7"/>
        <v>2</v>
      </c>
      <c r="C221" s="63" t="s">
        <v>1027</v>
      </c>
      <c r="D221" s="64" t="s">
        <v>1049</v>
      </c>
      <c r="E221" s="63">
        <v>8</v>
      </c>
      <c r="F221" s="63" t="s">
        <v>283</v>
      </c>
      <c r="G221" s="65">
        <v>45085</v>
      </c>
      <c r="H221" s="63" t="s">
        <v>686</v>
      </c>
      <c r="I221" s="65" t="s">
        <v>33</v>
      </c>
      <c r="J221" s="7">
        <f>IFERROR(VLOOKUP(I221,Jueces!$A$1:$B$11,2,FALSE),"")</f>
        <v>4</v>
      </c>
      <c r="K221" s="63" t="s">
        <v>800</v>
      </c>
      <c r="L221" s="63" t="s">
        <v>1044</v>
      </c>
    </row>
    <row r="222" spans="1:12" ht="30" customHeight="1">
      <c r="A222" s="172" t="str">
        <f t="shared" si="6"/>
        <v>08/06/20233</v>
      </c>
      <c r="B222" s="166">
        <f t="shared" si="7"/>
        <v>3</v>
      </c>
      <c r="C222" s="63" t="s">
        <v>1040</v>
      </c>
      <c r="D222" s="64" t="s">
        <v>1041</v>
      </c>
      <c r="E222" s="63">
        <v>2</v>
      </c>
      <c r="F222" s="63" t="s">
        <v>43</v>
      </c>
      <c r="G222" s="65">
        <v>45085</v>
      </c>
      <c r="H222" s="63" t="s">
        <v>686</v>
      </c>
      <c r="I222" s="65" t="s">
        <v>35</v>
      </c>
      <c r="J222" s="7">
        <f>IFERROR(VLOOKUP(I222,Jueces!$A$1:$B$11,2,FALSE),"")</f>
        <v>3</v>
      </c>
      <c r="K222" s="63" t="s">
        <v>807</v>
      </c>
      <c r="L222" s="63" t="s">
        <v>711</v>
      </c>
    </row>
    <row r="223" spans="1:12" ht="30" customHeight="1">
      <c r="A223" s="172" t="str">
        <f t="shared" si="6"/>
        <v>09/06/20231</v>
      </c>
      <c r="B223" s="166">
        <f t="shared" si="7"/>
        <v>1</v>
      </c>
      <c r="C223" s="63" t="s">
        <v>1055</v>
      </c>
      <c r="D223" s="64" t="s">
        <v>1056</v>
      </c>
      <c r="E223" s="63">
        <v>2</v>
      </c>
      <c r="F223" s="63" t="s">
        <v>1433</v>
      </c>
      <c r="G223" s="65">
        <v>45086</v>
      </c>
      <c r="H223" s="63" t="s">
        <v>73</v>
      </c>
      <c r="I223" s="65" t="s">
        <v>78</v>
      </c>
      <c r="J223" s="7">
        <f>IFERROR(VLOOKUP(I223,Jueces!$A$1:$B$11,2,FALSE),"")</f>
        <v>8</v>
      </c>
      <c r="K223" s="63" t="s">
        <v>810</v>
      </c>
      <c r="L223" s="63" t="s">
        <v>314</v>
      </c>
    </row>
    <row r="224" spans="1:12" ht="30" customHeight="1">
      <c r="A224" s="172" t="str">
        <f t="shared" si="6"/>
        <v>09/06/20232</v>
      </c>
      <c r="B224" s="166">
        <f t="shared" si="7"/>
        <v>2</v>
      </c>
      <c r="C224" s="63" t="s">
        <v>1057</v>
      </c>
      <c r="D224" s="64" t="s">
        <v>1058</v>
      </c>
      <c r="E224" s="63">
        <v>2</v>
      </c>
      <c r="F224" s="63" t="s">
        <v>29</v>
      </c>
      <c r="G224" s="65">
        <v>45086</v>
      </c>
      <c r="H224" s="63" t="s">
        <v>73</v>
      </c>
      <c r="I224" s="65" t="s">
        <v>33</v>
      </c>
      <c r="J224" s="7">
        <f>IFERROR(VLOOKUP(I224,Jueces!$A$1:$B$11,2,FALSE),"")</f>
        <v>4</v>
      </c>
      <c r="K224" s="63" t="s">
        <v>809</v>
      </c>
      <c r="L224" s="63" t="s">
        <v>711</v>
      </c>
    </row>
    <row r="225" spans="1:12" ht="30" customHeight="1">
      <c r="A225" s="172" t="str">
        <f t="shared" si="6"/>
        <v>09/06/20233</v>
      </c>
      <c r="B225" s="166">
        <f t="shared" si="7"/>
        <v>3</v>
      </c>
      <c r="C225" s="63" t="s">
        <v>1053</v>
      </c>
      <c r="D225" s="64" t="s">
        <v>1054</v>
      </c>
      <c r="E225" s="63">
        <v>2</v>
      </c>
      <c r="F225" s="63" t="s">
        <v>32</v>
      </c>
      <c r="G225" s="65">
        <v>45086</v>
      </c>
      <c r="H225" s="63" t="s">
        <v>686</v>
      </c>
      <c r="I225" s="65" t="s">
        <v>78</v>
      </c>
      <c r="J225" s="7">
        <f>IFERROR(VLOOKUP(I225,Jueces!$A$1:$B$11,2,FALSE),"")</f>
        <v>8</v>
      </c>
      <c r="K225" s="63" t="s">
        <v>809</v>
      </c>
      <c r="L225" s="63" t="s">
        <v>712</v>
      </c>
    </row>
    <row r="226" spans="1:12" ht="30" customHeight="1">
      <c r="A226" s="172" t="str">
        <f t="shared" si="6"/>
        <v>12/06/20231</v>
      </c>
      <c r="B226" s="166">
        <f t="shared" si="7"/>
        <v>1</v>
      </c>
      <c r="C226" s="7" t="s">
        <v>1069</v>
      </c>
      <c r="D226" s="64" t="s">
        <v>1077</v>
      </c>
      <c r="E226" s="63">
        <v>2</v>
      </c>
      <c r="F226" s="63" t="s">
        <v>283</v>
      </c>
      <c r="G226" s="65">
        <v>45089</v>
      </c>
      <c r="H226" s="63" t="s">
        <v>73</v>
      </c>
      <c r="I226" s="65" t="s">
        <v>35</v>
      </c>
      <c r="J226" s="7">
        <f>IFERROR(VLOOKUP(I226,Jueces!$A$1:$B$11,2,FALSE),"")</f>
        <v>3</v>
      </c>
      <c r="K226" s="63" t="s">
        <v>1067</v>
      </c>
      <c r="L226" s="63" t="s">
        <v>711</v>
      </c>
    </row>
    <row r="227" spans="1:12" ht="30" customHeight="1">
      <c r="A227" s="172" t="str">
        <f t="shared" si="6"/>
        <v>13/06/20231</v>
      </c>
      <c r="B227" s="166">
        <f t="shared" si="7"/>
        <v>1</v>
      </c>
      <c r="C227" s="63" t="s">
        <v>1070</v>
      </c>
      <c r="D227" s="64" t="s">
        <v>1068</v>
      </c>
      <c r="E227" s="63">
        <v>2</v>
      </c>
      <c r="F227" s="63" t="s">
        <v>43</v>
      </c>
      <c r="G227" s="65">
        <v>45090</v>
      </c>
      <c r="H227" s="63" t="s">
        <v>73</v>
      </c>
      <c r="I227" s="65" t="s">
        <v>78</v>
      </c>
      <c r="J227" s="7">
        <f>IFERROR(VLOOKUP(I227,Jueces!$A$1:$B$11,2,FALSE),"")</f>
        <v>8</v>
      </c>
      <c r="K227" s="63" t="s">
        <v>582</v>
      </c>
      <c r="L227" s="63" t="s">
        <v>711</v>
      </c>
    </row>
    <row r="228" spans="1:12" ht="30" customHeight="1">
      <c r="A228" s="172" t="str">
        <f t="shared" si="6"/>
        <v>13/06/20232</v>
      </c>
      <c r="B228" s="166">
        <f t="shared" si="7"/>
        <v>2</v>
      </c>
      <c r="C228" s="63" t="s">
        <v>1091</v>
      </c>
      <c r="D228" s="64" t="s">
        <v>1090</v>
      </c>
      <c r="E228" s="63">
        <v>2</v>
      </c>
      <c r="F228" s="63" t="s">
        <v>32</v>
      </c>
      <c r="G228" s="65">
        <v>45090</v>
      </c>
      <c r="H228" s="63" t="s">
        <v>73</v>
      </c>
      <c r="I228" s="65" t="s">
        <v>35</v>
      </c>
      <c r="J228" s="7">
        <f>IFERROR(VLOOKUP(I228,Jueces!$A$1:$B$11,2,FALSE),"")</f>
        <v>3</v>
      </c>
      <c r="K228" s="63" t="s">
        <v>1300</v>
      </c>
      <c r="L228" s="63" t="s">
        <v>1175</v>
      </c>
    </row>
    <row r="229" spans="1:12" ht="30" customHeight="1">
      <c r="A229" s="172" t="str">
        <f t="shared" si="6"/>
        <v>14/06/20231</v>
      </c>
      <c r="B229" s="166">
        <f t="shared" si="7"/>
        <v>1</v>
      </c>
      <c r="C229" s="63" t="s">
        <v>1074</v>
      </c>
      <c r="D229" s="64" t="s">
        <v>1072</v>
      </c>
      <c r="E229" s="63">
        <v>2</v>
      </c>
      <c r="F229" s="63" t="s">
        <v>29</v>
      </c>
      <c r="G229" s="65">
        <v>45091</v>
      </c>
      <c r="H229" s="63" t="s">
        <v>73</v>
      </c>
      <c r="I229" s="65" t="s">
        <v>35</v>
      </c>
      <c r="J229" s="7">
        <f>IFERROR(VLOOKUP(I229,Jueces!$A$1:$B$11,2,FALSE),"")</f>
        <v>3</v>
      </c>
      <c r="K229" s="63" t="s">
        <v>811</v>
      </c>
      <c r="L229" s="63" t="s">
        <v>711</v>
      </c>
    </row>
    <row r="230" spans="1:12" ht="30" customHeight="1">
      <c r="A230" s="172" t="str">
        <f t="shared" si="6"/>
        <v>14/06/20232</v>
      </c>
      <c r="B230" s="166">
        <f t="shared" si="7"/>
        <v>2</v>
      </c>
      <c r="C230" s="7" t="s">
        <v>1107</v>
      </c>
      <c r="D230" s="40" t="s">
        <v>1108</v>
      </c>
      <c r="E230" s="7">
        <v>2</v>
      </c>
      <c r="F230" s="7" t="s">
        <v>1433</v>
      </c>
      <c r="G230" s="19">
        <v>45091</v>
      </c>
      <c r="H230" s="7" t="s">
        <v>73</v>
      </c>
      <c r="I230" s="19" t="s">
        <v>78</v>
      </c>
      <c r="J230" s="7">
        <f>IFERROR(VLOOKUP(I230,Jueces!$A$1:$B$11,2,FALSE),"")</f>
        <v>8</v>
      </c>
      <c r="K230" s="7" t="s">
        <v>810</v>
      </c>
      <c r="L230" s="7" t="s">
        <v>712</v>
      </c>
    </row>
    <row r="231" spans="1:12" ht="30" customHeight="1">
      <c r="A231" s="172" t="str">
        <f t="shared" si="6"/>
        <v>14/06/20233</v>
      </c>
      <c r="B231" s="166">
        <f t="shared" si="7"/>
        <v>3</v>
      </c>
      <c r="C231" s="7" t="s">
        <v>1076</v>
      </c>
      <c r="D231" s="40" t="s">
        <v>1087</v>
      </c>
      <c r="E231" s="7">
        <v>2</v>
      </c>
      <c r="F231" s="7" t="s">
        <v>43</v>
      </c>
      <c r="G231" s="19">
        <v>45091</v>
      </c>
      <c r="H231" s="7" t="s">
        <v>1083</v>
      </c>
      <c r="I231" s="19" t="s">
        <v>35</v>
      </c>
      <c r="J231" s="7">
        <f>IFERROR(VLOOKUP(I231,Jueces!$A$1:$B$11,2,FALSE),"")</f>
        <v>3</v>
      </c>
      <c r="K231" s="7" t="s">
        <v>806</v>
      </c>
      <c r="L231" s="7" t="s">
        <v>712</v>
      </c>
    </row>
    <row r="232" spans="1:12" ht="30" customHeight="1">
      <c r="A232" s="172" t="str">
        <f t="shared" si="6"/>
        <v>15/06/20231</v>
      </c>
      <c r="B232" s="166">
        <f t="shared" si="7"/>
        <v>1</v>
      </c>
      <c r="C232" s="63" t="s">
        <v>1075</v>
      </c>
      <c r="D232" s="64" t="s">
        <v>1073</v>
      </c>
      <c r="E232" s="63">
        <v>2</v>
      </c>
      <c r="F232" s="63" t="s">
        <v>32</v>
      </c>
      <c r="G232" s="65">
        <v>45092</v>
      </c>
      <c r="H232" s="63" t="s">
        <v>73</v>
      </c>
      <c r="I232" s="65" t="s">
        <v>35</v>
      </c>
      <c r="J232" s="7">
        <f>IFERROR(VLOOKUP(I232,Jueces!$A$1:$B$11,2,FALSE),"")</f>
        <v>3</v>
      </c>
      <c r="K232" s="63" t="s">
        <v>1067</v>
      </c>
      <c r="L232" s="63" t="s">
        <v>711</v>
      </c>
    </row>
    <row r="233" spans="1:12" ht="30" customHeight="1">
      <c r="A233" s="172" t="str">
        <f t="shared" si="6"/>
        <v>15/06/20232</v>
      </c>
      <c r="B233" s="166">
        <f t="shared" si="7"/>
        <v>2</v>
      </c>
      <c r="C233" s="63" t="s">
        <v>1085</v>
      </c>
      <c r="D233" s="64" t="s">
        <v>1086</v>
      </c>
      <c r="E233" s="63">
        <v>2</v>
      </c>
      <c r="F233" s="63" t="s">
        <v>1433</v>
      </c>
      <c r="G233" s="65">
        <v>45092</v>
      </c>
      <c r="H233" s="63" t="s">
        <v>73</v>
      </c>
      <c r="I233" s="65" t="s">
        <v>78</v>
      </c>
      <c r="J233" s="7">
        <f>IFERROR(VLOOKUP(I233,Jueces!$A$1:$B$11,2,FALSE),"")</f>
        <v>8</v>
      </c>
      <c r="K233" s="63" t="s">
        <v>1176</v>
      </c>
      <c r="L233" s="63" t="s">
        <v>1175</v>
      </c>
    </row>
    <row r="234" spans="1:12" ht="30" customHeight="1">
      <c r="A234" s="172" t="str">
        <f t="shared" si="6"/>
        <v>15/06/20233</v>
      </c>
      <c r="B234" s="166">
        <f t="shared" si="7"/>
        <v>3</v>
      </c>
      <c r="C234" s="63" t="s">
        <v>1089</v>
      </c>
      <c r="D234" s="64" t="s">
        <v>1088</v>
      </c>
      <c r="E234" s="63">
        <v>2</v>
      </c>
      <c r="F234" s="63" t="s">
        <v>29</v>
      </c>
      <c r="G234" s="65">
        <v>45092</v>
      </c>
      <c r="H234" s="63" t="s">
        <v>1083</v>
      </c>
      <c r="I234" s="65" t="s">
        <v>78</v>
      </c>
      <c r="J234" s="7">
        <f>IFERROR(VLOOKUP(I234,Jueces!$A$1:$B$11,2,FALSE),"")</f>
        <v>8</v>
      </c>
      <c r="K234" s="63" t="s">
        <v>807</v>
      </c>
      <c r="L234" s="63" t="s">
        <v>712</v>
      </c>
    </row>
    <row r="235" spans="1:12" ht="30" customHeight="1">
      <c r="A235" s="172" t="str">
        <f t="shared" si="6"/>
        <v>15/06/20234</v>
      </c>
      <c r="B235" s="166">
        <f t="shared" si="7"/>
        <v>4</v>
      </c>
      <c r="C235" s="63" t="s">
        <v>1103</v>
      </c>
      <c r="D235" s="64" t="s">
        <v>1188</v>
      </c>
      <c r="E235" s="63">
        <v>2</v>
      </c>
      <c r="F235" s="63" t="s">
        <v>1434</v>
      </c>
      <c r="G235" s="65">
        <v>45092</v>
      </c>
      <c r="H235" s="63" t="s">
        <v>1083</v>
      </c>
      <c r="I235" s="65" t="s">
        <v>35</v>
      </c>
      <c r="J235" s="7">
        <f>IFERROR(VLOOKUP(I235,Jueces!$A$1:$B$11,2,FALSE),"")</f>
        <v>3</v>
      </c>
      <c r="K235" s="63" t="s">
        <v>805</v>
      </c>
      <c r="L235" s="63" t="s">
        <v>1104</v>
      </c>
    </row>
    <row r="236" spans="1:12" ht="30" customHeight="1">
      <c r="A236" s="172" t="str">
        <f t="shared" si="6"/>
        <v>16/06/20231</v>
      </c>
      <c r="B236" s="166">
        <f t="shared" si="7"/>
        <v>1</v>
      </c>
      <c r="C236" s="63" t="s">
        <v>1097</v>
      </c>
      <c r="D236" s="64" t="s">
        <v>1098</v>
      </c>
      <c r="E236" s="63">
        <v>2</v>
      </c>
      <c r="F236" s="63" t="s">
        <v>43</v>
      </c>
      <c r="G236" s="65">
        <v>45093</v>
      </c>
      <c r="H236" s="63" t="s">
        <v>73</v>
      </c>
      <c r="I236" s="65" t="s">
        <v>78</v>
      </c>
      <c r="J236" s="7">
        <f>IFERROR(VLOOKUP(I236,Jueces!$A$1:$B$11,2,FALSE),"")</f>
        <v>8</v>
      </c>
      <c r="K236" s="63" t="s">
        <v>1067</v>
      </c>
      <c r="L236" s="63" t="s">
        <v>712</v>
      </c>
    </row>
    <row r="237" spans="1:12" ht="30" customHeight="1">
      <c r="A237" s="172" t="str">
        <f t="shared" si="6"/>
        <v>16/06/20232</v>
      </c>
      <c r="B237" s="166">
        <f t="shared" si="7"/>
        <v>2</v>
      </c>
      <c r="C237" s="63" t="s">
        <v>1096</v>
      </c>
      <c r="D237" s="64" t="s">
        <v>1082</v>
      </c>
      <c r="E237" s="63">
        <v>3</v>
      </c>
      <c r="F237" s="63" t="s">
        <v>283</v>
      </c>
      <c r="G237" s="65">
        <v>45093</v>
      </c>
      <c r="H237" s="63" t="s">
        <v>1083</v>
      </c>
      <c r="I237" s="65" t="s">
        <v>31</v>
      </c>
      <c r="J237" s="7">
        <f>IFERROR(VLOOKUP(I237,Jueces!$A$1:$B$11,2,FALSE),"")</f>
        <v>2</v>
      </c>
      <c r="K237" s="63" t="s">
        <v>181</v>
      </c>
      <c r="L237" s="63" t="s">
        <v>712</v>
      </c>
    </row>
    <row r="238" spans="1:12" ht="30" customHeight="1">
      <c r="A238" s="172" t="str">
        <f t="shared" si="6"/>
        <v>16/06/20233</v>
      </c>
      <c r="B238" s="166">
        <f t="shared" si="7"/>
        <v>3</v>
      </c>
      <c r="C238" s="63" t="s">
        <v>1100</v>
      </c>
      <c r="D238" s="64" t="s">
        <v>1101</v>
      </c>
      <c r="E238" s="63">
        <v>2</v>
      </c>
      <c r="F238" s="63" t="s">
        <v>32</v>
      </c>
      <c r="G238" s="65">
        <v>45093</v>
      </c>
      <c r="H238" s="63" t="s">
        <v>1083</v>
      </c>
      <c r="I238" s="65" t="s">
        <v>78</v>
      </c>
      <c r="J238" s="7">
        <f>IFERROR(VLOOKUP(I238,Jueces!$A$1:$B$11,2,FALSE),"")</f>
        <v>8</v>
      </c>
      <c r="K238" s="63" t="s">
        <v>326</v>
      </c>
      <c r="L238" s="63" t="s">
        <v>1102</v>
      </c>
    </row>
    <row r="239" spans="1:12" ht="30" customHeight="1">
      <c r="A239" s="172" t="str">
        <f t="shared" si="6"/>
        <v>16/06/20234</v>
      </c>
      <c r="B239" s="166">
        <f t="shared" si="7"/>
        <v>4</v>
      </c>
      <c r="C239" s="63" t="s">
        <v>1071</v>
      </c>
      <c r="D239" s="64" t="s">
        <v>1059</v>
      </c>
      <c r="E239" s="63">
        <v>4</v>
      </c>
      <c r="F239" s="63" t="s">
        <v>1433</v>
      </c>
      <c r="G239" s="65">
        <v>45093</v>
      </c>
      <c r="H239" s="63" t="s">
        <v>77</v>
      </c>
      <c r="I239" s="65" t="s">
        <v>31</v>
      </c>
      <c r="J239" s="7">
        <f>IFERROR(VLOOKUP(I239,Jueces!$A$1:$B$11,2,FALSE),"")</f>
        <v>2</v>
      </c>
      <c r="K239" s="63" t="s">
        <v>812</v>
      </c>
      <c r="L239" s="63" t="s">
        <v>1063</v>
      </c>
    </row>
    <row r="240" spans="1:12" ht="30" customHeight="1">
      <c r="A240" s="172" t="str">
        <f t="shared" si="6"/>
        <v>16/06/20235</v>
      </c>
      <c r="B240" s="166">
        <f t="shared" si="7"/>
        <v>5</v>
      </c>
      <c r="C240" s="63" t="s">
        <v>1141</v>
      </c>
      <c r="D240" s="64" t="s">
        <v>1138</v>
      </c>
      <c r="E240" s="63">
        <v>2</v>
      </c>
      <c r="F240" s="63" t="s">
        <v>1433</v>
      </c>
      <c r="G240" s="65">
        <v>45093</v>
      </c>
      <c r="H240" s="63" t="s">
        <v>1146</v>
      </c>
      <c r="I240" s="65" t="s">
        <v>31</v>
      </c>
      <c r="J240" s="7">
        <f>IFERROR(VLOOKUP(I240,Jueces!$A$1:$B$11,2,FALSE),"")</f>
        <v>2</v>
      </c>
      <c r="K240" s="63" t="s">
        <v>810</v>
      </c>
      <c r="L240" s="63" t="s">
        <v>712</v>
      </c>
    </row>
    <row r="241" spans="1:12" ht="30" customHeight="1">
      <c r="A241" s="172" t="str">
        <f t="shared" si="6"/>
        <v>21/06/20231</v>
      </c>
      <c r="B241" s="166">
        <f t="shared" si="7"/>
        <v>1</v>
      </c>
      <c r="C241" s="63" t="s">
        <v>1143</v>
      </c>
      <c r="D241" s="64" t="s">
        <v>1212</v>
      </c>
      <c r="E241" s="63">
        <v>8</v>
      </c>
      <c r="F241" s="63" t="s">
        <v>283</v>
      </c>
      <c r="G241" s="65">
        <v>45098</v>
      </c>
      <c r="H241" s="63" t="s">
        <v>73</v>
      </c>
      <c r="I241" s="65" t="s">
        <v>31</v>
      </c>
      <c r="J241" s="7">
        <f>IFERROR(VLOOKUP(I241,Jueces!$A$1:$B$11,2,FALSE),"")</f>
        <v>2</v>
      </c>
      <c r="K241" s="63" t="s">
        <v>1301</v>
      </c>
      <c r="L241" s="63" t="s">
        <v>767</v>
      </c>
    </row>
    <row r="242" spans="1:12" ht="30" customHeight="1">
      <c r="A242" s="172" t="str">
        <f t="shared" si="6"/>
        <v>21/06/20232</v>
      </c>
      <c r="B242" s="166">
        <f t="shared" si="7"/>
        <v>2</v>
      </c>
      <c r="C242" s="63" t="s">
        <v>1106</v>
      </c>
      <c r="D242" s="64" t="s">
        <v>1214</v>
      </c>
      <c r="E242" s="63">
        <v>2</v>
      </c>
      <c r="F242" s="63" t="s">
        <v>1434</v>
      </c>
      <c r="G242" s="65">
        <v>45098</v>
      </c>
      <c r="H242" s="63" t="s">
        <v>73</v>
      </c>
      <c r="I242" s="65" t="s">
        <v>78</v>
      </c>
      <c r="J242" s="7">
        <f>IFERROR(VLOOKUP(I242,Jueces!$A$1:$B$11,2,FALSE),"")</f>
        <v>8</v>
      </c>
      <c r="K242" s="63" t="s">
        <v>1176</v>
      </c>
      <c r="L242" s="63" t="s">
        <v>1175</v>
      </c>
    </row>
    <row r="243" spans="1:12" ht="30" customHeight="1">
      <c r="A243" s="172" t="str">
        <f t="shared" si="6"/>
        <v>21/06/20233</v>
      </c>
      <c r="B243" s="166">
        <f t="shared" si="7"/>
        <v>3</v>
      </c>
      <c r="C243" s="63" t="s">
        <v>1109</v>
      </c>
      <c r="D243" s="64" t="s">
        <v>1213</v>
      </c>
      <c r="E243" s="63">
        <v>2</v>
      </c>
      <c r="F243" s="63" t="s">
        <v>32</v>
      </c>
      <c r="G243" s="65">
        <v>45098</v>
      </c>
      <c r="H243" s="70" t="s">
        <v>1083</v>
      </c>
      <c r="I243" s="65" t="s">
        <v>78</v>
      </c>
      <c r="J243" s="7">
        <f>IFERROR(VLOOKUP(I243,Jueces!$A$1:$B$11,2,FALSE),"")</f>
        <v>8</v>
      </c>
      <c r="K243" s="63" t="s">
        <v>807</v>
      </c>
      <c r="L243" s="63" t="s">
        <v>171</v>
      </c>
    </row>
    <row r="244" spans="1:12" ht="30" customHeight="1">
      <c r="A244" s="172" t="str">
        <f t="shared" si="6"/>
        <v>21/06/20234</v>
      </c>
      <c r="B244" s="166">
        <f t="shared" si="7"/>
        <v>4</v>
      </c>
      <c r="C244" s="63" t="s">
        <v>1197</v>
      </c>
      <c r="D244" s="64" t="s">
        <v>1215</v>
      </c>
      <c r="E244" s="63">
        <v>2</v>
      </c>
      <c r="F244" s="63" t="s">
        <v>1433</v>
      </c>
      <c r="G244" s="65">
        <v>45098</v>
      </c>
      <c r="H244" s="70" t="s">
        <v>1206</v>
      </c>
      <c r="I244" s="65" t="s">
        <v>31</v>
      </c>
      <c r="J244" s="7">
        <f>IFERROR(VLOOKUP(I244,Jueces!$A$1:$B$11,2,FALSE),"")</f>
        <v>2</v>
      </c>
      <c r="K244" s="63" t="s">
        <v>809</v>
      </c>
      <c r="L244" s="63" t="s">
        <v>712</v>
      </c>
    </row>
    <row r="245" spans="1:12" ht="30" customHeight="1">
      <c r="A245" s="172" t="str">
        <f t="shared" si="6"/>
        <v>22/06/20231</v>
      </c>
      <c r="B245" s="166">
        <f t="shared" si="7"/>
        <v>1</v>
      </c>
      <c r="C245" s="63" t="s">
        <v>1110</v>
      </c>
      <c r="D245" s="64" t="s">
        <v>1198</v>
      </c>
      <c r="E245" s="63">
        <v>2</v>
      </c>
      <c r="F245" s="63" t="s">
        <v>283</v>
      </c>
      <c r="G245" s="65">
        <v>45099</v>
      </c>
      <c r="H245" s="63" t="s">
        <v>73</v>
      </c>
      <c r="I245" s="65" t="s">
        <v>31</v>
      </c>
      <c r="J245" s="7">
        <f>IFERROR(VLOOKUP(I245,Jueces!$A$1:$B$11,2,FALSE),"")</f>
        <v>2</v>
      </c>
      <c r="K245" s="63" t="s">
        <v>406</v>
      </c>
      <c r="L245" s="63" t="s">
        <v>171</v>
      </c>
    </row>
    <row r="246" spans="1:12" ht="30" customHeight="1">
      <c r="A246" s="172" t="str">
        <f t="shared" si="6"/>
        <v>22/06/20232</v>
      </c>
      <c r="B246" s="166">
        <f t="shared" si="7"/>
        <v>2</v>
      </c>
      <c r="C246" s="63" t="s">
        <v>1118</v>
      </c>
      <c r="D246" s="64" t="s">
        <v>1113</v>
      </c>
      <c r="E246" s="63">
        <v>2</v>
      </c>
      <c r="F246" s="63" t="s">
        <v>43</v>
      </c>
      <c r="G246" s="65">
        <v>45099</v>
      </c>
      <c r="H246" s="63" t="s">
        <v>73</v>
      </c>
      <c r="I246" s="65" t="s">
        <v>78</v>
      </c>
      <c r="J246" s="7">
        <f>IFERROR(VLOOKUP(I246,Jueces!$A$1:$B$11,2,FALSE),"")</f>
        <v>8</v>
      </c>
      <c r="K246" s="63" t="s">
        <v>789</v>
      </c>
      <c r="L246" s="63" t="s">
        <v>1285</v>
      </c>
    </row>
    <row r="247" spans="1:12" ht="30" customHeight="1">
      <c r="A247" s="172" t="str">
        <f t="shared" si="6"/>
        <v>22/06/20233</v>
      </c>
      <c r="B247" s="166">
        <f t="shared" si="7"/>
        <v>3</v>
      </c>
      <c r="C247" s="63" t="s">
        <v>1116</v>
      </c>
      <c r="D247" s="64" t="s">
        <v>1111</v>
      </c>
      <c r="E247" s="63">
        <v>2</v>
      </c>
      <c r="F247" s="63" t="s">
        <v>1433</v>
      </c>
      <c r="G247" s="65">
        <v>45099</v>
      </c>
      <c r="H247" s="70" t="s">
        <v>1083</v>
      </c>
      <c r="I247" s="65" t="s">
        <v>31</v>
      </c>
      <c r="J247" s="7">
        <f>IFERROR(VLOOKUP(I247,Jueces!$A$1:$B$11,2,FALSE),"")</f>
        <v>2</v>
      </c>
      <c r="K247" s="63" t="s">
        <v>806</v>
      </c>
      <c r="L247" s="63" t="s">
        <v>712</v>
      </c>
    </row>
    <row r="248" spans="1:12" ht="30" customHeight="1">
      <c r="A248" s="172" t="str">
        <f t="shared" si="6"/>
        <v>23/06/20231</v>
      </c>
      <c r="B248" s="166">
        <f t="shared" si="7"/>
        <v>1</v>
      </c>
      <c r="C248" s="63" t="s">
        <v>1117</v>
      </c>
      <c r="D248" s="64" t="s">
        <v>1137</v>
      </c>
      <c r="E248" s="63">
        <v>2</v>
      </c>
      <c r="F248" s="63" t="s">
        <v>43</v>
      </c>
      <c r="G248" s="65">
        <v>45100</v>
      </c>
      <c r="H248" s="63" t="s">
        <v>73</v>
      </c>
      <c r="I248" s="65" t="s">
        <v>31</v>
      </c>
      <c r="J248" s="7">
        <f>IFERROR(VLOOKUP(I248,Jueces!$A$1:$B$11,2,FALSE),"")</f>
        <v>2</v>
      </c>
      <c r="K248" s="63" t="s">
        <v>569</v>
      </c>
      <c r="L248" s="63" t="s">
        <v>1289</v>
      </c>
    </row>
    <row r="249" spans="1:12" ht="30" customHeight="1">
      <c r="A249" s="172" t="str">
        <f t="shared" si="6"/>
        <v>23/06/20232</v>
      </c>
      <c r="B249" s="166">
        <f t="shared" si="7"/>
        <v>2</v>
      </c>
      <c r="C249" s="63" t="s">
        <v>1115</v>
      </c>
      <c r="D249" s="64" t="s">
        <v>1112</v>
      </c>
      <c r="E249" s="63">
        <v>2</v>
      </c>
      <c r="F249" s="63" t="s">
        <v>283</v>
      </c>
      <c r="G249" s="65">
        <v>45100</v>
      </c>
      <c r="H249" s="63" t="s">
        <v>73</v>
      </c>
      <c r="I249" s="65" t="s">
        <v>78</v>
      </c>
      <c r="J249" s="7">
        <f>IFERROR(VLOOKUP(I249,Jueces!$A$1:$B$11,2,FALSE),"")</f>
        <v>8</v>
      </c>
      <c r="K249" s="63" t="s">
        <v>810</v>
      </c>
      <c r="L249" s="63" t="s">
        <v>712</v>
      </c>
    </row>
    <row r="250" spans="1:12" ht="30" customHeight="1">
      <c r="A250" s="172" t="str">
        <f t="shared" si="6"/>
        <v>23/06/20233</v>
      </c>
      <c r="B250" s="166">
        <f t="shared" si="7"/>
        <v>3</v>
      </c>
      <c r="C250" s="63" t="s">
        <v>1140</v>
      </c>
      <c r="D250" s="64" t="s">
        <v>1139</v>
      </c>
      <c r="E250" s="63">
        <v>2</v>
      </c>
      <c r="F250" s="63" t="s">
        <v>32</v>
      </c>
      <c r="G250" s="65">
        <v>45100</v>
      </c>
      <c r="H250" s="63" t="s">
        <v>1083</v>
      </c>
      <c r="I250" s="65" t="s">
        <v>78</v>
      </c>
      <c r="J250" s="7">
        <f>IFERROR(VLOOKUP(I250,Jueces!$A$1:$B$11,2,FALSE),"")</f>
        <v>8</v>
      </c>
      <c r="K250" s="63" t="s">
        <v>806</v>
      </c>
      <c r="L250" s="63" t="s">
        <v>712</v>
      </c>
    </row>
    <row r="251" spans="1:12" ht="30" customHeight="1">
      <c r="A251" s="172" t="str">
        <f t="shared" si="6"/>
        <v>23/06/20234</v>
      </c>
      <c r="B251" s="166">
        <f t="shared" si="7"/>
        <v>4</v>
      </c>
      <c r="C251" s="63" t="s">
        <v>1150</v>
      </c>
      <c r="D251" s="64" t="s">
        <v>1149</v>
      </c>
      <c r="E251" s="63">
        <v>2</v>
      </c>
      <c r="F251" s="63" t="s">
        <v>1434</v>
      </c>
      <c r="G251" s="65">
        <v>45100</v>
      </c>
      <c r="H251" s="63" t="s">
        <v>1083</v>
      </c>
      <c r="I251" s="65" t="s">
        <v>31</v>
      </c>
      <c r="J251" s="7">
        <f>IFERROR(VLOOKUP(I251,Jueces!$A$1:$B$11,2,FALSE),"")</f>
        <v>2</v>
      </c>
      <c r="K251" s="63" t="s">
        <v>807</v>
      </c>
      <c r="L251" s="63" t="s">
        <v>692</v>
      </c>
    </row>
    <row r="252" spans="1:12" ht="30" customHeight="1">
      <c r="A252" s="172" t="str">
        <f t="shared" si="6"/>
        <v>23/06/20235</v>
      </c>
      <c r="B252" s="166">
        <f t="shared" si="7"/>
        <v>5</v>
      </c>
      <c r="C252" s="63" t="s">
        <v>1277</v>
      </c>
      <c r="D252" s="64" t="s">
        <v>3024</v>
      </c>
      <c r="E252" s="63">
        <v>2</v>
      </c>
      <c r="F252" s="63" t="s">
        <v>1433</v>
      </c>
      <c r="G252" s="65">
        <v>45100</v>
      </c>
      <c r="H252" s="63" t="s">
        <v>1206</v>
      </c>
      <c r="I252" s="65" t="s">
        <v>31</v>
      </c>
      <c r="J252" s="7">
        <f>IFERROR(VLOOKUP(I252,Jueces!$A$1:$B$11,2,FALSE),"")</f>
        <v>2</v>
      </c>
      <c r="K252" s="63" t="s">
        <v>805</v>
      </c>
      <c r="L252" s="63" t="s">
        <v>1302</v>
      </c>
    </row>
    <row r="253" spans="1:12" ht="30" customHeight="1">
      <c r="A253" s="172" t="str">
        <f t="shared" si="6"/>
        <v>26/06/20231</v>
      </c>
      <c r="B253" s="166">
        <f t="shared" si="7"/>
        <v>1</v>
      </c>
      <c r="C253" s="63" t="s">
        <v>1105</v>
      </c>
      <c r="D253" s="64" t="s">
        <v>1348</v>
      </c>
      <c r="E253" s="63">
        <v>2</v>
      </c>
      <c r="F253" s="63" t="s">
        <v>283</v>
      </c>
      <c r="G253" s="65">
        <v>45103</v>
      </c>
      <c r="H253" s="70" t="s">
        <v>73</v>
      </c>
      <c r="I253" s="65" t="s">
        <v>33</v>
      </c>
      <c r="J253" s="7">
        <f>IFERROR(VLOOKUP(I253,Jueces!$A$1:$B$11,2,FALSE),"")</f>
        <v>4</v>
      </c>
      <c r="K253" s="63" t="s">
        <v>809</v>
      </c>
      <c r="L253" s="63" t="s">
        <v>711</v>
      </c>
    </row>
    <row r="254" spans="1:12" ht="30" customHeight="1">
      <c r="A254" s="172" t="str">
        <f t="shared" si="6"/>
        <v>26/06/20232</v>
      </c>
      <c r="B254" s="166">
        <f t="shared" si="7"/>
        <v>2</v>
      </c>
      <c r="C254" s="63" t="s">
        <v>1147</v>
      </c>
      <c r="D254" s="64" t="s">
        <v>1148</v>
      </c>
      <c r="E254" s="63">
        <v>2</v>
      </c>
      <c r="F254" s="63" t="s">
        <v>29</v>
      </c>
      <c r="G254" s="65">
        <v>45103</v>
      </c>
      <c r="H254" s="63" t="s">
        <v>73</v>
      </c>
      <c r="I254" s="65" t="s">
        <v>31</v>
      </c>
      <c r="J254" s="7">
        <f>IFERROR(VLOOKUP(I254,Jueces!$A$1:$B$11,2,FALSE),"")</f>
        <v>2</v>
      </c>
      <c r="K254" s="63" t="s">
        <v>805</v>
      </c>
      <c r="L254" s="63" t="s">
        <v>1175</v>
      </c>
    </row>
    <row r="255" spans="1:12" ht="30" customHeight="1">
      <c r="A255" s="172" t="str">
        <f t="shared" si="6"/>
        <v>26/06/20233</v>
      </c>
      <c r="B255" s="166">
        <f t="shared" si="7"/>
        <v>3</v>
      </c>
      <c r="C255" s="63" t="s">
        <v>1208</v>
      </c>
      <c r="D255" s="64" t="s">
        <v>1349</v>
      </c>
      <c r="E255" s="63">
        <v>2</v>
      </c>
      <c r="F255" s="63" t="s">
        <v>32</v>
      </c>
      <c r="G255" s="65">
        <v>45103</v>
      </c>
      <c r="H255" s="63" t="s">
        <v>73</v>
      </c>
      <c r="I255" s="65" t="s">
        <v>1217</v>
      </c>
      <c r="J255" s="7">
        <f>IFERROR(VLOOKUP(I255,Jueces!$A$1:$B$11,2,FALSE),"")</f>
        <v>7</v>
      </c>
      <c r="K255" s="63" t="s">
        <v>810</v>
      </c>
      <c r="L255" s="63" t="s">
        <v>1329</v>
      </c>
    </row>
    <row r="256" spans="1:12" ht="30" customHeight="1">
      <c r="A256" s="172" t="str">
        <f t="shared" si="6"/>
        <v>26/06/20234</v>
      </c>
      <c r="B256" s="166">
        <f t="shared" si="7"/>
        <v>4</v>
      </c>
      <c r="C256" s="63" t="s">
        <v>1244</v>
      </c>
      <c r="D256" s="64" t="s">
        <v>1245</v>
      </c>
      <c r="E256" s="63">
        <v>2</v>
      </c>
      <c r="F256" s="63" t="s">
        <v>1433</v>
      </c>
      <c r="G256" s="65">
        <v>45103</v>
      </c>
      <c r="H256" s="63" t="s">
        <v>73</v>
      </c>
      <c r="I256" s="65" t="s">
        <v>1218</v>
      </c>
      <c r="J256" s="7" t="s">
        <v>1341</v>
      </c>
      <c r="K256" s="63" t="s">
        <v>796</v>
      </c>
      <c r="L256" s="63" t="s">
        <v>1283</v>
      </c>
    </row>
    <row r="257" spans="1:12" ht="30" customHeight="1">
      <c r="A257" s="172" t="str">
        <f t="shared" si="6"/>
        <v>26/06/20235</v>
      </c>
      <c r="B257" s="166">
        <f t="shared" si="7"/>
        <v>5</v>
      </c>
      <c r="C257" s="63" t="s">
        <v>1142</v>
      </c>
      <c r="D257" s="64" t="s">
        <v>1347</v>
      </c>
      <c r="E257" s="63">
        <v>2</v>
      </c>
      <c r="F257" s="63" t="s">
        <v>1434</v>
      </c>
      <c r="G257" s="65">
        <v>45103</v>
      </c>
      <c r="H257" s="63" t="s">
        <v>1083</v>
      </c>
      <c r="I257" s="65" t="s">
        <v>31</v>
      </c>
      <c r="J257" s="7">
        <f>IFERROR(VLOOKUP(I257,Jueces!$A$1:$B$11,2,FALSE),"")</f>
        <v>2</v>
      </c>
      <c r="K257" s="63" t="s">
        <v>809</v>
      </c>
      <c r="L257" s="63" t="s">
        <v>713</v>
      </c>
    </row>
    <row r="258" spans="1:12" ht="30" customHeight="1">
      <c r="A258" s="172" t="str">
        <f t="shared" si="6"/>
        <v>26/06/20236</v>
      </c>
      <c r="B258" s="166">
        <f t="shared" si="7"/>
        <v>6</v>
      </c>
      <c r="C258" s="7" t="s">
        <v>1190</v>
      </c>
      <c r="D258" s="40" t="s">
        <v>1346</v>
      </c>
      <c r="E258" s="7">
        <v>2</v>
      </c>
      <c r="F258" s="7" t="s">
        <v>1435</v>
      </c>
      <c r="G258" s="19">
        <v>45103</v>
      </c>
      <c r="H258" s="7" t="s">
        <v>77</v>
      </c>
      <c r="I258" s="19" t="s">
        <v>33</v>
      </c>
      <c r="J258" s="7">
        <f>IFERROR(VLOOKUP(I258,Jueces!$A$1:$B$11,2,FALSE),"")</f>
        <v>4</v>
      </c>
      <c r="K258" s="7" t="s">
        <v>811</v>
      </c>
      <c r="L258" s="7" t="s">
        <v>1329</v>
      </c>
    </row>
    <row r="259" spans="1:12" ht="30" customHeight="1">
      <c r="A259" s="172" t="str">
        <f t="shared" ref="A259:A322" si="8">CONCATENATE(TEXT($G259,"dd/mm/yyyy"),$B259)</f>
        <v>27/06/20231</v>
      </c>
      <c r="B259" s="166">
        <f t="shared" si="7"/>
        <v>1</v>
      </c>
      <c r="C259" s="63" t="s">
        <v>1158</v>
      </c>
      <c r="D259" s="64" t="s">
        <v>1350</v>
      </c>
      <c r="E259" s="63">
        <v>2</v>
      </c>
      <c r="F259" s="63" t="s">
        <v>32</v>
      </c>
      <c r="G259" s="65">
        <v>45104</v>
      </c>
      <c r="H259" s="63" t="s">
        <v>73</v>
      </c>
      <c r="I259" s="65" t="s">
        <v>31</v>
      </c>
      <c r="J259" s="7">
        <f>IFERROR(VLOOKUP(I259,Jueces!$A$1:$B$11,2,FALSE),"")</f>
        <v>2</v>
      </c>
      <c r="K259" s="63" t="s">
        <v>569</v>
      </c>
      <c r="L259" s="63" t="s">
        <v>712</v>
      </c>
    </row>
    <row r="260" spans="1:12" ht="30" customHeight="1">
      <c r="A260" s="172" t="str">
        <f t="shared" si="8"/>
        <v>27/06/20232</v>
      </c>
      <c r="B260" s="166">
        <f t="shared" ref="B260:B323" si="9">IF($G260=$G259,$B259+1,1)</f>
        <v>2</v>
      </c>
      <c r="C260" s="63" t="s">
        <v>1179</v>
      </c>
      <c r="D260" s="64" t="s">
        <v>1351</v>
      </c>
      <c r="E260" s="63">
        <v>2</v>
      </c>
      <c r="F260" s="63" t="s">
        <v>1434</v>
      </c>
      <c r="G260" s="65">
        <v>45104</v>
      </c>
      <c r="H260" s="63" t="s">
        <v>73</v>
      </c>
      <c r="I260" s="65" t="s">
        <v>33</v>
      </c>
      <c r="J260" s="7">
        <f>IFERROR(VLOOKUP(I260,Jueces!$A$1:$B$11,2,FALSE),"")</f>
        <v>4</v>
      </c>
      <c r="K260" s="63" t="s">
        <v>801</v>
      </c>
      <c r="L260" s="63" t="s">
        <v>711</v>
      </c>
    </row>
    <row r="261" spans="1:12" ht="30" customHeight="1">
      <c r="A261" s="172" t="str">
        <f t="shared" si="8"/>
        <v>27/06/20233</v>
      </c>
      <c r="B261" s="166">
        <f t="shared" si="9"/>
        <v>3</v>
      </c>
      <c r="C261" s="63" t="s">
        <v>1269</v>
      </c>
      <c r="D261" s="64" t="s">
        <v>1368</v>
      </c>
      <c r="E261" s="63">
        <v>3</v>
      </c>
      <c r="F261" s="63" t="s">
        <v>283</v>
      </c>
      <c r="G261" s="65">
        <v>45104</v>
      </c>
      <c r="H261" s="63" t="s">
        <v>73</v>
      </c>
      <c r="I261" s="65" t="s">
        <v>1216</v>
      </c>
      <c r="J261" s="7">
        <f>IFERROR(VLOOKUP(I261,Jueces!$A$1:$B$11,2,FALSE),"")</f>
        <v>1</v>
      </c>
      <c r="K261" s="63" t="s">
        <v>791</v>
      </c>
      <c r="L261" s="63" t="s">
        <v>693</v>
      </c>
    </row>
    <row r="262" spans="1:12" ht="30" customHeight="1">
      <c r="A262" s="172" t="str">
        <f t="shared" si="8"/>
        <v>27/06/20234</v>
      </c>
      <c r="B262" s="166">
        <f t="shared" si="9"/>
        <v>4</v>
      </c>
      <c r="C262" s="63" t="s">
        <v>1265</v>
      </c>
      <c r="D262" s="64" t="s">
        <v>1352</v>
      </c>
      <c r="E262" s="63">
        <v>1</v>
      </c>
      <c r="F262" s="63" t="s">
        <v>1433</v>
      </c>
      <c r="G262" s="65">
        <v>45104</v>
      </c>
      <c r="H262" s="63" t="s">
        <v>73</v>
      </c>
      <c r="I262" s="65" t="s">
        <v>1219</v>
      </c>
      <c r="J262" s="7" t="s">
        <v>1321</v>
      </c>
      <c r="K262" s="63" t="s">
        <v>797</v>
      </c>
      <c r="L262" s="63" t="s">
        <v>692</v>
      </c>
    </row>
    <row r="263" spans="1:12" ht="30" customHeight="1">
      <c r="A263" s="172" t="str">
        <f t="shared" si="8"/>
        <v>27/06/20235</v>
      </c>
      <c r="B263" s="166">
        <f t="shared" si="9"/>
        <v>5</v>
      </c>
      <c r="C263" s="63" t="s">
        <v>1193</v>
      </c>
      <c r="D263" s="64" t="s">
        <v>1353</v>
      </c>
      <c r="E263" s="63">
        <v>2</v>
      </c>
      <c r="F263" s="63" t="s">
        <v>1435</v>
      </c>
      <c r="G263" s="65">
        <v>45104</v>
      </c>
      <c r="H263" s="70" t="s">
        <v>1083</v>
      </c>
      <c r="I263" s="65" t="s">
        <v>78</v>
      </c>
      <c r="J263" s="7">
        <f>IFERROR(VLOOKUP(I263,Jueces!$A$1:$B$11,2,FALSE),"")</f>
        <v>8</v>
      </c>
      <c r="K263" s="63" t="s">
        <v>810</v>
      </c>
      <c r="L263" s="63" t="s">
        <v>1175</v>
      </c>
    </row>
    <row r="264" spans="1:12" ht="30" customHeight="1">
      <c r="A264" s="172" t="str">
        <f t="shared" si="8"/>
        <v>27/06/20236</v>
      </c>
      <c r="B264" s="166">
        <f t="shared" si="9"/>
        <v>6</v>
      </c>
      <c r="C264" s="7" t="s">
        <v>1311</v>
      </c>
      <c r="D264" s="40" t="s">
        <v>1354</v>
      </c>
      <c r="E264" s="7">
        <v>3</v>
      </c>
      <c r="F264" s="7" t="s">
        <v>43</v>
      </c>
      <c r="G264" s="19">
        <v>45104</v>
      </c>
      <c r="H264" s="7" t="s">
        <v>1083</v>
      </c>
      <c r="I264" s="19" t="s">
        <v>1216</v>
      </c>
      <c r="J264" s="7">
        <f>IFERROR(VLOOKUP(I264,Jueces!$A$1:$B$11,2,FALSE),"")</f>
        <v>1</v>
      </c>
      <c r="K264" s="7" t="s">
        <v>808</v>
      </c>
      <c r="L264" s="7" t="s">
        <v>693</v>
      </c>
    </row>
    <row r="265" spans="1:12" ht="30" customHeight="1">
      <c r="A265" s="172" t="str">
        <f t="shared" si="8"/>
        <v>28/06/20231</v>
      </c>
      <c r="B265" s="166">
        <f t="shared" si="9"/>
        <v>1</v>
      </c>
      <c r="C265" s="63" t="s">
        <v>1159</v>
      </c>
      <c r="D265" s="64" t="s">
        <v>1157</v>
      </c>
      <c r="E265" s="63">
        <v>2</v>
      </c>
      <c r="F265" s="63" t="s">
        <v>29</v>
      </c>
      <c r="G265" s="65">
        <v>45105</v>
      </c>
      <c r="H265" s="63" t="s">
        <v>73</v>
      </c>
      <c r="I265" s="65" t="s">
        <v>33</v>
      </c>
      <c r="J265" s="7">
        <f>IFERROR(VLOOKUP(I265,Jueces!$A$1:$B$11,2,FALSE),"")</f>
        <v>4</v>
      </c>
      <c r="K265" s="63" t="s">
        <v>414</v>
      </c>
      <c r="L265" s="63" t="s">
        <v>1175</v>
      </c>
    </row>
    <row r="266" spans="1:12" ht="30" customHeight="1">
      <c r="A266" s="172" t="str">
        <f t="shared" si="8"/>
        <v>28/06/20232</v>
      </c>
      <c r="B266" s="166">
        <f t="shared" si="9"/>
        <v>2</v>
      </c>
      <c r="C266" s="63" t="s">
        <v>1191</v>
      </c>
      <c r="D266" s="64" t="s">
        <v>1192</v>
      </c>
      <c r="E266" s="63">
        <v>8</v>
      </c>
      <c r="F266" s="63" t="s">
        <v>1435</v>
      </c>
      <c r="G266" s="65">
        <v>45105</v>
      </c>
      <c r="H266" s="63" t="s">
        <v>73</v>
      </c>
      <c r="I266" s="65" t="s">
        <v>78</v>
      </c>
      <c r="J266" s="7">
        <f>IFERROR(VLOOKUP(I266,Jueces!$A$1:$B$11,2,FALSE),"")</f>
        <v>8</v>
      </c>
      <c r="K266" s="63" t="s">
        <v>798</v>
      </c>
      <c r="L266" s="63" t="s">
        <v>711</v>
      </c>
    </row>
    <row r="267" spans="1:12" ht="30" customHeight="1">
      <c r="A267" s="172" t="str">
        <f t="shared" si="8"/>
        <v>28/06/20233</v>
      </c>
      <c r="B267" s="166">
        <f t="shared" si="9"/>
        <v>3</v>
      </c>
      <c r="C267" s="63" t="s">
        <v>1260</v>
      </c>
      <c r="D267" s="64" t="s">
        <v>1247</v>
      </c>
      <c r="E267" s="63">
        <v>3</v>
      </c>
      <c r="F267" s="63" t="s">
        <v>1433</v>
      </c>
      <c r="G267" s="65">
        <v>45105</v>
      </c>
      <c r="H267" s="63" t="s">
        <v>73</v>
      </c>
      <c r="I267" s="65" t="s">
        <v>1217</v>
      </c>
      <c r="J267" s="7">
        <f>IFERROR(VLOOKUP(I267,Jueces!$A$1:$B$11,2,FALSE),"")</f>
        <v>7</v>
      </c>
      <c r="K267" s="63" t="s">
        <v>809</v>
      </c>
      <c r="L267" s="63" t="s">
        <v>693</v>
      </c>
    </row>
    <row r="268" spans="1:12" ht="30" customHeight="1">
      <c r="A268" s="172" t="str">
        <f t="shared" si="8"/>
        <v>28/06/20234</v>
      </c>
      <c r="B268" s="166">
        <f t="shared" si="9"/>
        <v>4</v>
      </c>
      <c r="C268" s="63" t="s">
        <v>1266</v>
      </c>
      <c r="D268" s="64" t="s">
        <v>1267</v>
      </c>
      <c r="E268" s="63">
        <v>1</v>
      </c>
      <c r="F268" s="63" t="s">
        <v>32</v>
      </c>
      <c r="G268" s="65">
        <v>45105</v>
      </c>
      <c r="H268" s="63" t="s">
        <v>73</v>
      </c>
      <c r="I268" s="65" t="s">
        <v>31</v>
      </c>
      <c r="J268" s="7">
        <f>IFERROR(VLOOKUP(I268,Jueces!$A$1:$B$11,2,FALSE),"")</f>
        <v>2</v>
      </c>
      <c r="K268" s="63" t="s">
        <v>688</v>
      </c>
      <c r="L268" s="63" t="s">
        <v>723</v>
      </c>
    </row>
    <row r="269" spans="1:12" ht="30" customHeight="1">
      <c r="A269" s="172" t="str">
        <f t="shared" si="8"/>
        <v>28/06/20235</v>
      </c>
      <c r="B269" s="166">
        <f t="shared" si="9"/>
        <v>5</v>
      </c>
      <c r="C269" s="63" t="s">
        <v>1161</v>
      </c>
      <c r="D269" s="64" t="s">
        <v>1160</v>
      </c>
      <c r="E269" s="63">
        <v>2</v>
      </c>
      <c r="F269" s="63" t="s">
        <v>43</v>
      </c>
      <c r="G269" s="65">
        <v>45105</v>
      </c>
      <c r="H269" s="63" t="s">
        <v>1083</v>
      </c>
      <c r="I269" s="65" t="s">
        <v>33</v>
      </c>
      <c r="J269" s="7">
        <f>IFERROR(VLOOKUP(I269,Jueces!$A$1:$B$11,2,FALSE),"")</f>
        <v>4</v>
      </c>
      <c r="K269" s="63" t="s">
        <v>277</v>
      </c>
      <c r="L269" s="63" t="s">
        <v>1175</v>
      </c>
    </row>
    <row r="270" spans="1:12" ht="30" customHeight="1">
      <c r="A270" s="172" t="str">
        <f t="shared" si="8"/>
        <v>28/06/20236</v>
      </c>
      <c r="B270" s="166">
        <f t="shared" si="9"/>
        <v>6</v>
      </c>
      <c r="C270" s="63" t="s">
        <v>1263</v>
      </c>
      <c r="D270" s="64" t="s">
        <v>1264</v>
      </c>
      <c r="E270" s="63">
        <v>3</v>
      </c>
      <c r="F270" s="63" t="s">
        <v>283</v>
      </c>
      <c r="G270" s="65">
        <v>45105</v>
      </c>
      <c r="H270" s="63" t="s">
        <v>1083</v>
      </c>
      <c r="I270" s="65" t="s">
        <v>78</v>
      </c>
      <c r="J270" s="7">
        <f>IFERROR(VLOOKUP(I270,Jueces!$A$1:$B$11,2,FALSE),"")</f>
        <v>8</v>
      </c>
      <c r="K270" s="63" t="s">
        <v>1176</v>
      </c>
      <c r="L270" s="117" t="s">
        <v>697</v>
      </c>
    </row>
    <row r="271" spans="1:12" ht="30" customHeight="1">
      <c r="A271" s="172" t="str">
        <f t="shared" si="8"/>
        <v>29/06/20231</v>
      </c>
      <c r="B271" s="166">
        <f t="shared" si="9"/>
        <v>1</v>
      </c>
      <c r="C271" s="63" t="s">
        <v>1207</v>
      </c>
      <c r="D271" s="64" t="s">
        <v>1414</v>
      </c>
      <c r="E271" s="63">
        <v>2</v>
      </c>
      <c r="F271" s="63" t="s">
        <v>1433</v>
      </c>
      <c r="G271" s="65">
        <v>45106</v>
      </c>
      <c r="H271" s="63" t="s">
        <v>73</v>
      </c>
      <c r="I271" s="65" t="s">
        <v>1216</v>
      </c>
      <c r="J271" s="7">
        <f>IFERROR(VLOOKUP(I271,Jueces!$A$1:$B$11,2,FALSE),"")</f>
        <v>1</v>
      </c>
      <c r="K271" s="63" t="s">
        <v>796</v>
      </c>
      <c r="L271" s="63" t="s">
        <v>782</v>
      </c>
    </row>
    <row r="272" spans="1:12" ht="30" customHeight="1">
      <c r="A272" s="172" t="str">
        <f t="shared" si="8"/>
        <v>29/06/20232</v>
      </c>
      <c r="B272" s="166">
        <f t="shared" si="9"/>
        <v>2</v>
      </c>
      <c r="C272" s="63" t="s">
        <v>1268</v>
      </c>
      <c r="D272" s="64" t="s">
        <v>1415</v>
      </c>
      <c r="E272" s="63">
        <v>2</v>
      </c>
      <c r="F272" s="63" t="s">
        <v>1434</v>
      </c>
      <c r="G272" s="65">
        <v>45106</v>
      </c>
      <c r="H272" s="63" t="s">
        <v>73</v>
      </c>
      <c r="I272" s="65" t="s">
        <v>31</v>
      </c>
      <c r="J272" s="7">
        <f>IFERROR(VLOOKUP(I272,Jueces!$A$1:$B$11,2,FALSE),"")</f>
        <v>2</v>
      </c>
      <c r="K272" s="63" t="s">
        <v>508</v>
      </c>
      <c r="L272" s="63" t="s">
        <v>1280</v>
      </c>
    </row>
    <row r="273" spans="1:12" ht="30" customHeight="1">
      <c r="A273" s="172" t="str">
        <f t="shared" si="8"/>
        <v>29/06/20233</v>
      </c>
      <c r="B273" s="166">
        <f t="shared" si="9"/>
        <v>3</v>
      </c>
      <c r="C273" s="63" t="s">
        <v>1261</v>
      </c>
      <c r="D273" s="64" t="s">
        <v>1417</v>
      </c>
      <c r="E273" s="63">
        <v>2</v>
      </c>
      <c r="F273" s="63" t="s">
        <v>32</v>
      </c>
      <c r="G273" s="65">
        <v>45106</v>
      </c>
      <c r="H273" s="63" t="s">
        <v>73</v>
      </c>
      <c r="I273" s="65" t="s">
        <v>1218</v>
      </c>
      <c r="J273" s="7" t="s">
        <v>1321</v>
      </c>
      <c r="K273" s="63" t="s">
        <v>806</v>
      </c>
      <c r="L273" s="63" t="s">
        <v>1281</v>
      </c>
    </row>
    <row r="274" spans="1:12" ht="30" customHeight="1">
      <c r="A274" s="172" t="str">
        <f t="shared" si="8"/>
        <v>29/06/20234</v>
      </c>
      <c r="B274" s="166">
        <f t="shared" si="9"/>
        <v>4</v>
      </c>
      <c r="C274" s="63" t="s">
        <v>1262</v>
      </c>
      <c r="D274" s="64" t="s">
        <v>1416</v>
      </c>
      <c r="E274" s="63">
        <v>3</v>
      </c>
      <c r="F274" s="63" t="s">
        <v>29</v>
      </c>
      <c r="G274" s="65">
        <v>45106</v>
      </c>
      <c r="H274" s="63" t="s">
        <v>73</v>
      </c>
      <c r="I274" s="65" t="s">
        <v>33</v>
      </c>
      <c r="J274" s="7">
        <f>IFERROR(VLOOKUP(I274,Jueces!$A$1:$B$11,2,FALSE),"")</f>
        <v>4</v>
      </c>
      <c r="K274" s="63" t="s">
        <v>810</v>
      </c>
      <c r="L274" s="63" t="s">
        <v>1285</v>
      </c>
    </row>
    <row r="275" spans="1:12" ht="30" customHeight="1">
      <c r="A275" s="172" t="str">
        <f t="shared" si="8"/>
        <v>29/06/20235</v>
      </c>
      <c r="B275" s="166">
        <f t="shared" si="9"/>
        <v>5</v>
      </c>
      <c r="C275" s="63" t="s">
        <v>1209</v>
      </c>
      <c r="D275" s="64" t="s">
        <v>1418</v>
      </c>
      <c r="E275" s="102">
        <v>2</v>
      </c>
      <c r="F275" s="65" t="s">
        <v>43</v>
      </c>
      <c r="G275" s="65">
        <v>45106</v>
      </c>
      <c r="H275" s="65" t="s">
        <v>1083</v>
      </c>
      <c r="I275" s="65" t="s">
        <v>1217</v>
      </c>
      <c r="J275" s="102">
        <f>IFERROR(VLOOKUP(I275,Jueces!$A$1:$B$11,2,FALSE),"")</f>
        <v>7</v>
      </c>
      <c r="K275" s="65" t="s">
        <v>796</v>
      </c>
      <c r="L275" s="65" t="s">
        <v>712</v>
      </c>
    </row>
    <row r="276" spans="1:12" ht="30" customHeight="1">
      <c r="A276" s="172" t="str">
        <f t="shared" si="8"/>
        <v>29/06/20236</v>
      </c>
      <c r="B276" s="166">
        <f t="shared" si="9"/>
        <v>6</v>
      </c>
      <c r="C276" s="63" t="s">
        <v>1279</v>
      </c>
      <c r="D276" s="64" t="s">
        <v>3025</v>
      </c>
      <c r="E276" s="63">
        <v>2</v>
      </c>
      <c r="F276" s="63" t="s">
        <v>283</v>
      </c>
      <c r="G276" s="65">
        <v>45106</v>
      </c>
      <c r="H276" s="63" t="s">
        <v>1083</v>
      </c>
      <c r="I276" s="65" t="s">
        <v>1219</v>
      </c>
      <c r="J276" s="7" t="s">
        <v>1321</v>
      </c>
      <c r="K276" s="63" t="s">
        <v>791</v>
      </c>
      <c r="L276" s="63" t="s">
        <v>692</v>
      </c>
    </row>
    <row r="277" spans="1:12" ht="30" customHeight="1">
      <c r="A277" s="172" t="str">
        <f t="shared" si="8"/>
        <v>30/06/20231</v>
      </c>
      <c r="B277" s="166">
        <f t="shared" si="9"/>
        <v>1</v>
      </c>
      <c r="C277" s="63" t="s">
        <v>1071</v>
      </c>
      <c r="D277" s="64" t="s">
        <v>1466</v>
      </c>
      <c r="E277" s="63">
        <v>4</v>
      </c>
      <c r="F277" s="63" t="s">
        <v>1435</v>
      </c>
      <c r="G277" s="65">
        <v>45107</v>
      </c>
      <c r="H277" s="70">
        <v>0.33333333333333331</v>
      </c>
      <c r="I277" s="65" t="s">
        <v>31</v>
      </c>
      <c r="J277" s="7">
        <f>IFERROR(VLOOKUP(I277,Jueces!$A$1:$B$11,2,FALSE),"")</f>
        <v>2</v>
      </c>
      <c r="K277" s="63" t="s">
        <v>1445</v>
      </c>
      <c r="L277" s="63" t="s">
        <v>701</v>
      </c>
    </row>
    <row r="278" spans="1:12" ht="30" customHeight="1">
      <c r="A278" s="172" t="str">
        <f t="shared" si="8"/>
        <v>30/06/20232</v>
      </c>
      <c r="B278" s="166">
        <f t="shared" si="9"/>
        <v>2</v>
      </c>
      <c r="C278" s="63" t="s">
        <v>1205</v>
      </c>
      <c r="D278" s="64" t="s">
        <v>1465</v>
      </c>
      <c r="E278" s="63">
        <v>4</v>
      </c>
      <c r="F278" s="63" t="s">
        <v>43</v>
      </c>
      <c r="G278" s="65">
        <v>45107</v>
      </c>
      <c r="H278" s="63" t="s">
        <v>73</v>
      </c>
      <c r="I278" s="65" t="s">
        <v>33</v>
      </c>
      <c r="J278" s="7">
        <f>IFERROR(VLOOKUP(I278,Jueces!$A$1:$B$11,2,FALSE),"")</f>
        <v>4</v>
      </c>
      <c r="K278" s="63" t="s">
        <v>1067</v>
      </c>
      <c r="L278" s="63" t="s">
        <v>783</v>
      </c>
    </row>
    <row r="279" spans="1:12" ht="30" customHeight="1">
      <c r="A279" s="172" t="str">
        <f t="shared" si="8"/>
        <v>30/06/20233</v>
      </c>
      <c r="B279" s="166">
        <f t="shared" si="9"/>
        <v>3</v>
      </c>
      <c r="C279" s="63" t="s">
        <v>1259</v>
      </c>
      <c r="D279" s="64" t="s">
        <v>1464</v>
      </c>
      <c r="E279" s="63">
        <v>3</v>
      </c>
      <c r="F279" s="63" t="s">
        <v>29</v>
      </c>
      <c r="G279" s="65">
        <v>45107</v>
      </c>
      <c r="H279" s="63" t="s">
        <v>73</v>
      </c>
      <c r="I279" s="65" t="s">
        <v>1216</v>
      </c>
      <c r="J279" s="7">
        <f>IFERROR(VLOOKUP(I279,Jueces!$A$1:$B$11,2,FALSE),"")</f>
        <v>1</v>
      </c>
      <c r="K279" s="63" t="s">
        <v>810</v>
      </c>
      <c r="L279" s="63" t="s">
        <v>692</v>
      </c>
    </row>
    <row r="280" spans="1:12" ht="30" customHeight="1">
      <c r="A280" s="172" t="str">
        <f t="shared" si="8"/>
        <v>30/06/20234</v>
      </c>
      <c r="B280" s="166">
        <f t="shared" si="9"/>
        <v>4</v>
      </c>
      <c r="C280" s="63" t="s">
        <v>1284</v>
      </c>
      <c r="D280" s="64" t="s">
        <v>1463</v>
      </c>
      <c r="E280" s="63">
        <v>3</v>
      </c>
      <c r="F280" s="63" t="s">
        <v>1434</v>
      </c>
      <c r="G280" s="65">
        <v>45107</v>
      </c>
      <c r="H280" s="63" t="s">
        <v>73</v>
      </c>
      <c r="I280" s="65" t="s">
        <v>78</v>
      </c>
      <c r="J280" s="63">
        <f>IFERROR(VLOOKUP(I280,Jueces!$A$1:$B$11,2,FALSE),"")</f>
        <v>8</v>
      </c>
      <c r="K280" s="63" t="s">
        <v>806</v>
      </c>
      <c r="L280" s="63" t="s">
        <v>1453</v>
      </c>
    </row>
    <row r="281" spans="1:12" ht="30" customHeight="1">
      <c r="A281" s="172" t="str">
        <f t="shared" si="8"/>
        <v>30/06/20235</v>
      </c>
      <c r="B281" s="166">
        <f t="shared" si="9"/>
        <v>5</v>
      </c>
      <c r="C281" s="63" t="s">
        <v>1360</v>
      </c>
      <c r="D281" s="64" t="s">
        <v>1462</v>
      </c>
      <c r="E281" s="63">
        <v>3</v>
      </c>
      <c r="F281" s="63" t="s">
        <v>283</v>
      </c>
      <c r="G281" s="65">
        <v>45107</v>
      </c>
      <c r="H281" s="63" t="s">
        <v>73</v>
      </c>
      <c r="I281" s="65" t="s">
        <v>1219</v>
      </c>
      <c r="J281" s="63" t="s">
        <v>1321</v>
      </c>
      <c r="K281" s="63" t="s">
        <v>809</v>
      </c>
      <c r="L281" s="63" t="s">
        <v>694</v>
      </c>
    </row>
    <row r="282" spans="1:12" ht="30" customHeight="1">
      <c r="A282" s="172" t="str">
        <f t="shared" si="8"/>
        <v>30/06/20236</v>
      </c>
      <c r="B282" s="166">
        <f t="shared" si="9"/>
        <v>6</v>
      </c>
      <c r="C282" s="63" t="s">
        <v>1246</v>
      </c>
      <c r="D282" s="64" t="s">
        <v>1461</v>
      </c>
      <c r="E282" s="63">
        <v>3</v>
      </c>
      <c r="F282" s="63" t="s">
        <v>32</v>
      </c>
      <c r="G282" s="65">
        <v>45107</v>
      </c>
      <c r="H282" s="63" t="s">
        <v>1083</v>
      </c>
      <c r="I282" s="65" t="s">
        <v>33</v>
      </c>
      <c r="J282" s="63">
        <f>IFERROR(VLOOKUP(I282,Jueces!$A$1:$B$11,2,FALSE),"")</f>
        <v>4</v>
      </c>
      <c r="K282" s="63" t="s">
        <v>1445</v>
      </c>
      <c r="L282" s="63" t="s">
        <v>1459</v>
      </c>
    </row>
    <row r="283" spans="1:12" ht="30" customHeight="1">
      <c r="A283" s="172" t="str">
        <f t="shared" si="8"/>
        <v>30/06/20237</v>
      </c>
      <c r="B283" s="166">
        <f t="shared" si="9"/>
        <v>7</v>
      </c>
      <c r="C283" s="63" t="s">
        <v>1363</v>
      </c>
      <c r="D283" s="64" t="s">
        <v>1364</v>
      </c>
      <c r="E283" s="63">
        <v>3</v>
      </c>
      <c r="F283" s="63" t="s">
        <v>43</v>
      </c>
      <c r="G283" s="65">
        <v>45107</v>
      </c>
      <c r="H283" s="70" t="s">
        <v>75</v>
      </c>
      <c r="I283" s="65" t="s">
        <v>35</v>
      </c>
      <c r="J283" s="63">
        <f>IFERROR(VLOOKUP(I283,Jueces!$A$1:$B$11,2,FALSE),"")</f>
        <v>3</v>
      </c>
      <c r="K283" s="63" t="s">
        <v>810</v>
      </c>
      <c r="L283" s="63" t="s">
        <v>1378</v>
      </c>
    </row>
    <row r="284" spans="1:12" ht="30" customHeight="1">
      <c r="A284" s="172" t="str">
        <f t="shared" si="8"/>
        <v>03/07/20231</v>
      </c>
      <c r="B284" s="166">
        <f t="shared" si="9"/>
        <v>1</v>
      </c>
      <c r="C284" s="63" t="s">
        <v>1313</v>
      </c>
      <c r="D284" s="64" t="s">
        <v>1505</v>
      </c>
      <c r="E284" s="63">
        <v>3</v>
      </c>
      <c r="F284" s="63" t="s">
        <v>1435</v>
      </c>
      <c r="G284" s="65">
        <v>45110</v>
      </c>
      <c r="H284" s="70" t="s">
        <v>73</v>
      </c>
      <c r="I284" s="65" t="s">
        <v>1217</v>
      </c>
      <c r="J284" s="63">
        <f>IFERROR(VLOOKUP(I284,Jueces!$A$1:$B$11,2,FALSE),"")</f>
        <v>7</v>
      </c>
      <c r="K284" s="63" t="s">
        <v>810</v>
      </c>
      <c r="L284" s="63" t="s">
        <v>693</v>
      </c>
    </row>
    <row r="285" spans="1:12" ht="30" customHeight="1">
      <c r="A285" s="172" t="str">
        <f t="shared" si="8"/>
        <v>03/07/20232</v>
      </c>
      <c r="B285" s="166">
        <f t="shared" si="9"/>
        <v>2</v>
      </c>
      <c r="C285" s="63" t="s">
        <v>1307</v>
      </c>
      <c r="D285" s="64" t="s">
        <v>1506</v>
      </c>
      <c r="E285" s="63">
        <v>2</v>
      </c>
      <c r="F285" s="63" t="s">
        <v>568</v>
      </c>
      <c r="G285" s="65">
        <v>45110</v>
      </c>
      <c r="H285" s="63" t="s">
        <v>73</v>
      </c>
      <c r="I285" s="65" t="s">
        <v>78</v>
      </c>
      <c r="J285" s="63">
        <f>IFERROR(VLOOKUP(I285,Jueces!$A$1:$B$11,2,FALSE),"")</f>
        <v>8</v>
      </c>
      <c r="K285" s="63" t="s">
        <v>809</v>
      </c>
      <c r="L285" s="63" t="s">
        <v>1490</v>
      </c>
    </row>
    <row r="286" spans="1:12" ht="30" customHeight="1">
      <c r="A286" s="172" t="str">
        <f t="shared" si="8"/>
        <v>03/07/20233</v>
      </c>
      <c r="B286" s="166">
        <f t="shared" si="9"/>
        <v>3</v>
      </c>
      <c r="C286" s="63" t="s">
        <v>1309</v>
      </c>
      <c r="D286" s="64" t="s">
        <v>1507</v>
      </c>
      <c r="E286" s="63">
        <v>2</v>
      </c>
      <c r="F286" s="63" t="s">
        <v>29</v>
      </c>
      <c r="G286" s="65">
        <v>45110</v>
      </c>
      <c r="H286" s="63" t="s">
        <v>73</v>
      </c>
      <c r="I286" s="65" t="s">
        <v>35</v>
      </c>
      <c r="J286" s="63">
        <f>IFERROR(VLOOKUP(I286,Jueces!$A$1:$B$11,2,FALSE),"")</f>
        <v>3</v>
      </c>
      <c r="K286" s="63" t="s">
        <v>326</v>
      </c>
      <c r="L286" s="63" t="s">
        <v>1175</v>
      </c>
    </row>
    <row r="287" spans="1:12" ht="30" customHeight="1">
      <c r="A287" s="172" t="str">
        <f t="shared" si="8"/>
        <v>03/07/20234</v>
      </c>
      <c r="B287" s="166">
        <f t="shared" si="9"/>
        <v>4</v>
      </c>
      <c r="C287" s="63" t="s">
        <v>1402</v>
      </c>
      <c r="D287" s="64" t="s">
        <v>1508</v>
      </c>
      <c r="E287" s="63">
        <v>2</v>
      </c>
      <c r="F287" s="63" t="s">
        <v>32</v>
      </c>
      <c r="G287" s="65">
        <v>45110</v>
      </c>
      <c r="H287" s="65" t="s">
        <v>73</v>
      </c>
      <c r="I287" s="65" t="s">
        <v>1216</v>
      </c>
      <c r="J287" s="63">
        <f>IFERROR(VLOOKUP(I287,Jueces!$A$1:$B$11,2,FALSE),"")</f>
        <v>1</v>
      </c>
      <c r="K287" s="63" t="s">
        <v>791</v>
      </c>
      <c r="L287" s="63" t="s">
        <v>1426</v>
      </c>
    </row>
    <row r="288" spans="1:12" ht="30" customHeight="1">
      <c r="A288" s="172" t="str">
        <f t="shared" si="8"/>
        <v>03/07/20235</v>
      </c>
      <c r="B288" s="166">
        <f t="shared" si="9"/>
        <v>5</v>
      </c>
      <c r="C288" s="63" t="s">
        <v>1258</v>
      </c>
      <c r="D288" s="64" t="s">
        <v>1509</v>
      </c>
      <c r="E288" s="63">
        <v>2</v>
      </c>
      <c r="F288" s="63" t="s">
        <v>1435</v>
      </c>
      <c r="G288" s="65">
        <v>45110</v>
      </c>
      <c r="H288" s="63" t="s">
        <v>1083</v>
      </c>
      <c r="I288" s="65" t="s">
        <v>1217</v>
      </c>
      <c r="J288" s="63">
        <f>IFERROR(VLOOKUP(I288,Jueces!$A$1:$B$11,2,FALSE),"")</f>
        <v>7</v>
      </c>
      <c r="K288" s="63" t="s">
        <v>811</v>
      </c>
      <c r="L288" s="63" t="s">
        <v>1285</v>
      </c>
    </row>
    <row r="289" spans="1:12" ht="30" customHeight="1">
      <c r="A289" s="172" t="str">
        <f t="shared" si="8"/>
        <v>03/07/20236</v>
      </c>
      <c r="B289" s="166">
        <f t="shared" si="9"/>
        <v>6</v>
      </c>
      <c r="C289" s="7" t="s">
        <v>1315</v>
      </c>
      <c r="D289" s="40" t="s">
        <v>1510</v>
      </c>
      <c r="E289" s="7">
        <v>3</v>
      </c>
      <c r="F289" s="7" t="s">
        <v>43</v>
      </c>
      <c r="G289" s="19">
        <v>45110</v>
      </c>
      <c r="H289" s="7" t="s">
        <v>1083</v>
      </c>
      <c r="I289" s="65" t="s">
        <v>1216</v>
      </c>
      <c r="J289" s="63">
        <f>IFERROR(VLOOKUP(I289,Jueces!$A$1:$B$11,2,FALSE),"")</f>
        <v>1</v>
      </c>
      <c r="K289" s="7" t="s">
        <v>810</v>
      </c>
      <c r="L289" s="7" t="s">
        <v>693</v>
      </c>
    </row>
    <row r="290" spans="1:12" ht="30" customHeight="1">
      <c r="A290" s="172" t="str">
        <f t="shared" si="8"/>
        <v>03/07/20237</v>
      </c>
      <c r="B290" s="166">
        <f t="shared" si="9"/>
        <v>7</v>
      </c>
      <c r="C290" s="107" t="s">
        <v>1338</v>
      </c>
      <c r="D290" s="108" t="s">
        <v>1511</v>
      </c>
      <c r="E290" s="107">
        <v>2</v>
      </c>
      <c r="F290" s="63" t="s">
        <v>1434</v>
      </c>
      <c r="G290" s="253">
        <v>45110</v>
      </c>
      <c r="H290" s="107" t="s">
        <v>1083</v>
      </c>
      <c r="I290" s="65" t="s">
        <v>78</v>
      </c>
      <c r="J290" s="63">
        <f>IFERROR(VLOOKUP(I290,Jueces!$A$1:$B$11,2,FALSE),"")</f>
        <v>8</v>
      </c>
      <c r="K290" s="63" t="s">
        <v>1494</v>
      </c>
      <c r="L290" s="63" t="s">
        <v>1175</v>
      </c>
    </row>
    <row r="291" spans="1:12" ht="30" customHeight="1">
      <c r="A291" s="172" t="str">
        <f t="shared" si="8"/>
        <v>04/07/20231</v>
      </c>
      <c r="B291" s="166">
        <f t="shared" si="9"/>
        <v>1</v>
      </c>
      <c r="C291" s="63" t="s">
        <v>1310</v>
      </c>
      <c r="D291" s="64" t="s">
        <v>1538</v>
      </c>
      <c r="E291" s="63">
        <v>3</v>
      </c>
      <c r="F291" s="63" t="s">
        <v>32</v>
      </c>
      <c r="G291" s="65">
        <v>45111</v>
      </c>
      <c r="H291" s="63" t="s">
        <v>73</v>
      </c>
      <c r="I291" s="65" t="s">
        <v>1217</v>
      </c>
      <c r="J291" s="63">
        <f>IFERROR(VLOOKUP(I291,Jueces!$A$1:$B$11,2,FALSE),"")</f>
        <v>7</v>
      </c>
      <c r="K291" s="63" t="s">
        <v>806</v>
      </c>
      <c r="L291" s="63" t="s">
        <v>1519</v>
      </c>
    </row>
    <row r="292" spans="1:12" ht="30" customHeight="1">
      <c r="A292" s="172" t="str">
        <f t="shared" si="8"/>
        <v>04/07/20232</v>
      </c>
      <c r="B292" s="166">
        <f t="shared" si="9"/>
        <v>2</v>
      </c>
      <c r="C292" s="63" t="s">
        <v>1322</v>
      </c>
      <c r="D292" s="64" t="s">
        <v>1537</v>
      </c>
      <c r="E292" s="63">
        <v>1</v>
      </c>
      <c r="F292" s="63" t="s">
        <v>1433</v>
      </c>
      <c r="G292" s="65">
        <v>45111</v>
      </c>
      <c r="H292" s="63" t="s">
        <v>73</v>
      </c>
      <c r="I292" s="65" t="s">
        <v>35</v>
      </c>
      <c r="J292" s="63">
        <f>IFERROR(VLOOKUP(I292,Jueces!$A$1:$B$11,2,FALSE),"")</f>
        <v>3</v>
      </c>
      <c r="K292" s="63" t="s">
        <v>405</v>
      </c>
      <c r="L292" s="63" t="s">
        <v>1084</v>
      </c>
    </row>
    <row r="293" spans="1:12" ht="30" customHeight="1">
      <c r="A293" s="172" t="str">
        <f t="shared" si="8"/>
        <v>04/07/20233</v>
      </c>
      <c r="B293" s="166">
        <f t="shared" si="9"/>
        <v>3</v>
      </c>
      <c r="C293" s="63" t="s">
        <v>1403</v>
      </c>
      <c r="D293" s="64" t="s">
        <v>1536</v>
      </c>
      <c r="E293" s="63">
        <v>2</v>
      </c>
      <c r="F293" s="63" t="s">
        <v>1434</v>
      </c>
      <c r="G293" s="65">
        <v>45111</v>
      </c>
      <c r="H293" s="63" t="s">
        <v>73</v>
      </c>
      <c r="I293" s="65" t="s">
        <v>1216</v>
      </c>
      <c r="J293" s="63">
        <f>IFERROR(VLOOKUP(I293,Jueces!$A$1:$B$11,2,FALSE),"")</f>
        <v>1</v>
      </c>
      <c r="K293" s="63" t="s">
        <v>185</v>
      </c>
      <c r="L293" s="63" t="s">
        <v>1175</v>
      </c>
    </row>
    <row r="294" spans="1:12" ht="30" customHeight="1">
      <c r="A294" s="172" t="str">
        <f t="shared" si="8"/>
        <v>04/07/20234</v>
      </c>
      <c r="B294" s="166">
        <f t="shared" si="9"/>
        <v>4</v>
      </c>
      <c r="C294" s="63" t="s">
        <v>1377</v>
      </c>
      <c r="D294" s="64" t="s">
        <v>1535</v>
      </c>
      <c r="E294" s="63">
        <v>2</v>
      </c>
      <c r="F294" s="63" t="s">
        <v>29</v>
      </c>
      <c r="G294" s="65">
        <v>45111</v>
      </c>
      <c r="H294" s="65" t="s">
        <v>73</v>
      </c>
      <c r="I294" s="65" t="s">
        <v>78</v>
      </c>
      <c r="J294" s="63">
        <f>IFERROR(VLOOKUP(I294,Jueces!$A$1:$B$11,2,FALSE),"")</f>
        <v>8</v>
      </c>
      <c r="K294" s="63" t="s">
        <v>810</v>
      </c>
      <c r="L294" s="63" t="s">
        <v>783</v>
      </c>
    </row>
    <row r="295" spans="1:12" ht="30" customHeight="1">
      <c r="A295" s="172" t="str">
        <f t="shared" si="8"/>
        <v>04/07/20235</v>
      </c>
      <c r="B295" s="166">
        <f t="shared" si="9"/>
        <v>5</v>
      </c>
      <c r="C295" s="63" t="s">
        <v>1337</v>
      </c>
      <c r="D295" s="64" t="s">
        <v>1534</v>
      </c>
      <c r="E295" s="63">
        <v>3</v>
      </c>
      <c r="F295" s="63" t="s">
        <v>283</v>
      </c>
      <c r="G295" s="65">
        <v>45111</v>
      </c>
      <c r="H295" s="63" t="s">
        <v>1083</v>
      </c>
      <c r="I295" s="65" t="s">
        <v>35</v>
      </c>
      <c r="J295" s="63">
        <f>IFERROR(VLOOKUP(I295,Jueces!$A$1:$B$11,2,FALSE),"")</f>
        <v>3</v>
      </c>
      <c r="K295" s="63" t="s">
        <v>810</v>
      </c>
      <c r="L295" s="63" t="s">
        <v>693</v>
      </c>
    </row>
    <row r="296" spans="1:12" ht="30" customHeight="1">
      <c r="A296" s="172" t="str">
        <f t="shared" si="8"/>
        <v>04/07/20236</v>
      </c>
      <c r="B296" s="166">
        <f t="shared" si="9"/>
        <v>6</v>
      </c>
      <c r="C296" s="63" t="s">
        <v>1340</v>
      </c>
      <c r="D296" s="64" t="s">
        <v>1533</v>
      </c>
      <c r="E296" s="63">
        <v>2</v>
      </c>
      <c r="F296" s="63" t="s">
        <v>1435</v>
      </c>
      <c r="G296" s="65">
        <v>45111</v>
      </c>
      <c r="H296" s="63" t="s">
        <v>1083</v>
      </c>
      <c r="I296" s="65" t="s">
        <v>1218</v>
      </c>
      <c r="J296" s="63" t="s">
        <v>1512</v>
      </c>
      <c r="K296" s="63" t="s">
        <v>808</v>
      </c>
      <c r="L296" s="63" t="s">
        <v>1005</v>
      </c>
    </row>
    <row r="297" spans="1:12" ht="30" customHeight="1">
      <c r="A297" s="172" t="str">
        <f t="shared" si="8"/>
        <v>04/07/20237</v>
      </c>
      <c r="B297" s="166">
        <f t="shared" si="9"/>
        <v>7</v>
      </c>
      <c r="C297" s="63" t="s">
        <v>1375</v>
      </c>
      <c r="D297" s="64" t="s">
        <v>1532</v>
      </c>
      <c r="E297" s="63">
        <v>2</v>
      </c>
      <c r="F297" s="63" t="s">
        <v>43</v>
      </c>
      <c r="G297" s="65">
        <v>45111</v>
      </c>
      <c r="H297" s="63" t="s">
        <v>1083</v>
      </c>
      <c r="I297" s="65" t="s">
        <v>1217</v>
      </c>
      <c r="J297" s="63">
        <f>IFERROR(VLOOKUP(I297,Jueces!$A$1:$B$11,2,FALSE),"")</f>
        <v>7</v>
      </c>
      <c r="K297" s="63" t="s">
        <v>1494</v>
      </c>
      <c r="L297" s="63" t="s">
        <v>1175</v>
      </c>
    </row>
    <row r="298" spans="1:12" ht="30" customHeight="1">
      <c r="A298" s="172" t="str">
        <f t="shared" si="8"/>
        <v>05/07/20231</v>
      </c>
      <c r="B298" s="166">
        <f t="shared" si="9"/>
        <v>1</v>
      </c>
      <c r="C298" s="63" t="s">
        <v>1278</v>
      </c>
      <c r="D298" s="64" t="s">
        <v>1578</v>
      </c>
      <c r="E298" s="63">
        <v>2</v>
      </c>
      <c r="F298" s="63" t="s">
        <v>568</v>
      </c>
      <c r="G298" s="65">
        <v>45112</v>
      </c>
      <c r="H298" s="63" t="s">
        <v>73</v>
      </c>
      <c r="I298" s="65" t="s">
        <v>35</v>
      </c>
      <c r="J298" s="63">
        <f>IFERROR(VLOOKUP(I298,Jueces!$A$1:$B$11,2,FALSE),"")</f>
        <v>3</v>
      </c>
      <c r="K298" s="63" t="s">
        <v>688</v>
      </c>
      <c r="L298" s="63" t="s">
        <v>1175</v>
      </c>
    </row>
    <row r="299" spans="1:12" ht="30" customHeight="1">
      <c r="A299" s="172" t="str">
        <f t="shared" si="8"/>
        <v>05/07/20232</v>
      </c>
      <c r="B299" s="166">
        <f t="shared" si="9"/>
        <v>2</v>
      </c>
      <c r="C299" s="63" t="s">
        <v>1334</v>
      </c>
      <c r="D299" s="64" t="s">
        <v>1582</v>
      </c>
      <c r="E299" s="63">
        <v>3</v>
      </c>
      <c r="F299" s="63" t="s">
        <v>1435</v>
      </c>
      <c r="G299" s="65">
        <v>45112</v>
      </c>
      <c r="H299" s="63" t="s">
        <v>73</v>
      </c>
      <c r="I299" s="65" t="s">
        <v>1217</v>
      </c>
      <c r="J299" s="63">
        <f>IFERROR(VLOOKUP(I299,Jueces!$A$1:$B$11,2,FALSE),"")</f>
        <v>7</v>
      </c>
      <c r="K299" s="63" t="s">
        <v>810</v>
      </c>
      <c r="L299" s="63" t="s">
        <v>1571</v>
      </c>
    </row>
    <row r="300" spans="1:12" ht="30" customHeight="1">
      <c r="A300" s="172" t="str">
        <f t="shared" si="8"/>
        <v>05/07/20233</v>
      </c>
      <c r="B300" s="166">
        <f t="shared" si="9"/>
        <v>3</v>
      </c>
      <c r="C300" s="63" t="s">
        <v>1343</v>
      </c>
      <c r="D300" s="64" t="s">
        <v>1583</v>
      </c>
      <c r="E300" s="63">
        <v>4</v>
      </c>
      <c r="F300" s="63" t="s">
        <v>29</v>
      </c>
      <c r="G300" s="65">
        <v>45112</v>
      </c>
      <c r="H300" s="63" t="s">
        <v>73</v>
      </c>
      <c r="I300" s="65" t="s">
        <v>1218</v>
      </c>
      <c r="J300" s="63" t="s">
        <v>1428</v>
      </c>
      <c r="K300" s="63" t="s">
        <v>812</v>
      </c>
      <c r="L300" s="63" t="s">
        <v>1345</v>
      </c>
    </row>
    <row r="301" spans="1:12" ht="30" customHeight="1">
      <c r="A301" s="172" t="str">
        <f t="shared" si="8"/>
        <v>05/07/20234</v>
      </c>
      <c r="B301" s="166">
        <f t="shared" si="9"/>
        <v>4</v>
      </c>
      <c r="C301" s="63" t="s">
        <v>1314</v>
      </c>
      <c r="D301" s="64" t="s">
        <v>1566</v>
      </c>
      <c r="E301" s="63">
        <v>3</v>
      </c>
      <c r="F301" s="63" t="s">
        <v>1434</v>
      </c>
      <c r="G301" s="65">
        <v>45112</v>
      </c>
      <c r="H301" s="63" t="s">
        <v>1083</v>
      </c>
      <c r="I301" s="65" t="s">
        <v>1216</v>
      </c>
      <c r="J301" s="63">
        <f>IFERROR(VLOOKUP(I301,Jueces!$A$1:$B$11,2,FALSE),"")</f>
        <v>1</v>
      </c>
      <c r="K301" s="63" t="s">
        <v>796</v>
      </c>
      <c r="L301" s="63" t="s">
        <v>1563</v>
      </c>
    </row>
    <row r="302" spans="1:12" ht="30" customHeight="1">
      <c r="A302" s="172" t="str">
        <f t="shared" si="8"/>
        <v>05/07/20235</v>
      </c>
      <c r="B302" s="166">
        <f t="shared" si="9"/>
        <v>5</v>
      </c>
      <c r="C302" s="63" t="s">
        <v>1109</v>
      </c>
      <c r="D302" s="64" t="s">
        <v>1568</v>
      </c>
      <c r="E302" s="63">
        <v>2</v>
      </c>
      <c r="F302" s="63" t="s">
        <v>32</v>
      </c>
      <c r="G302" s="65">
        <v>45112</v>
      </c>
      <c r="H302" s="65" t="s">
        <v>1083</v>
      </c>
      <c r="I302" s="65" t="s">
        <v>78</v>
      </c>
      <c r="J302" s="63">
        <f>IFERROR(VLOOKUP(I302,Jueces!$A$1:$B$11,2,FALSE),"")</f>
        <v>8</v>
      </c>
      <c r="K302" s="63" t="s">
        <v>807</v>
      </c>
      <c r="L302" s="63" t="s">
        <v>713</v>
      </c>
    </row>
    <row r="303" spans="1:12" ht="30" customHeight="1">
      <c r="A303" s="172" t="str">
        <f t="shared" si="8"/>
        <v>06/07/20231</v>
      </c>
      <c r="B303" s="166">
        <f t="shared" si="9"/>
        <v>1</v>
      </c>
      <c r="C303" s="63" t="s">
        <v>1312</v>
      </c>
      <c r="D303" s="64" t="s">
        <v>1607</v>
      </c>
      <c r="E303" s="63">
        <v>2</v>
      </c>
      <c r="F303" s="63" t="s">
        <v>29</v>
      </c>
      <c r="G303" s="65">
        <v>45113</v>
      </c>
      <c r="H303" s="63" t="s">
        <v>73</v>
      </c>
      <c r="I303" s="65" t="s">
        <v>1218</v>
      </c>
      <c r="J303" s="63" t="s">
        <v>1341</v>
      </c>
      <c r="K303" s="63" t="s">
        <v>688</v>
      </c>
      <c r="L303" s="63" t="s">
        <v>1639</v>
      </c>
    </row>
    <row r="304" spans="1:12" ht="30" customHeight="1">
      <c r="A304" s="172" t="str">
        <f t="shared" si="8"/>
        <v>06/07/20232</v>
      </c>
      <c r="B304" s="166">
        <f t="shared" si="9"/>
        <v>2</v>
      </c>
      <c r="C304" s="63" t="s">
        <v>1335</v>
      </c>
      <c r="D304" s="64" t="s">
        <v>1609</v>
      </c>
      <c r="E304" s="63">
        <v>3</v>
      </c>
      <c r="F304" s="63" t="s">
        <v>283</v>
      </c>
      <c r="G304" s="65">
        <v>45113</v>
      </c>
      <c r="H304" s="63" t="s">
        <v>73</v>
      </c>
      <c r="I304" s="65" t="s">
        <v>35</v>
      </c>
      <c r="J304" s="63">
        <f>IFERROR(VLOOKUP(I304,Jueces!$A$1:$B$11,2,FALSE),"")</f>
        <v>3</v>
      </c>
      <c r="K304" s="63" t="s">
        <v>811</v>
      </c>
      <c r="L304" s="63" t="s">
        <v>693</v>
      </c>
    </row>
    <row r="305" spans="1:12" ht="30" customHeight="1">
      <c r="A305" s="172" t="str">
        <f t="shared" si="8"/>
        <v>06/07/20233</v>
      </c>
      <c r="B305" s="166">
        <f t="shared" si="9"/>
        <v>3</v>
      </c>
      <c r="C305" s="63" t="s">
        <v>1404</v>
      </c>
      <c r="D305" s="64" t="s">
        <v>1608</v>
      </c>
      <c r="E305" s="63">
        <v>2</v>
      </c>
      <c r="F305" s="63" t="s">
        <v>43</v>
      </c>
      <c r="G305" s="65">
        <v>45113</v>
      </c>
      <c r="H305" s="65" t="s">
        <v>73</v>
      </c>
      <c r="I305" s="65" t="s">
        <v>1217</v>
      </c>
      <c r="J305" s="63">
        <f>IFERROR(VLOOKUP(I305,Jueces!$A$1:$B$11,2,FALSE),"")</f>
        <v>7</v>
      </c>
      <c r="K305" s="63" t="s">
        <v>806</v>
      </c>
      <c r="L305" s="63" t="s">
        <v>782</v>
      </c>
    </row>
    <row r="306" spans="1:12" ht="30" customHeight="1">
      <c r="A306" s="172" t="str">
        <f t="shared" si="8"/>
        <v>06/07/20234</v>
      </c>
      <c r="B306" s="166">
        <f t="shared" si="9"/>
        <v>4</v>
      </c>
      <c r="C306" s="63" t="s">
        <v>1411</v>
      </c>
      <c r="D306" s="64" t="s">
        <v>1610</v>
      </c>
      <c r="E306" s="63">
        <v>3</v>
      </c>
      <c r="F306" s="63" t="s">
        <v>1435</v>
      </c>
      <c r="G306" s="65">
        <v>45113</v>
      </c>
      <c r="H306" s="65" t="s">
        <v>73</v>
      </c>
      <c r="I306" s="65" t="s">
        <v>78</v>
      </c>
      <c r="J306" s="63">
        <f>IFERROR(VLOOKUP(I306,Jueces!$A$1:$B$11,2,FALSE),"")</f>
        <v>8</v>
      </c>
      <c r="K306" s="63" t="s">
        <v>808</v>
      </c>
      <c r="L306" s="63" t="s">
        <v>692</v>
      </c>
    </row>
    <row r="307" spans="1:12" ht="30" customHeight="1">
      <c r="A307" s="172" t="str">
        <f t="shared" si="8"/>
        <v>06/07/20235</v>
      </c>
      <c r="B307" s="166">
        <f t="shared" si="9"/>
        <v>5</v>
      </c>
      <c r="C307" s="63" t="s">
        <v>1339</v>
      </c>
      <c r="D307" s="64" t="s">
        <v>1597</v>
      </c>
      <c r="E307" s="63">
        <v>2</v>
      </c>
      <c r="F307" s="63" t="s">
        <v>568</v>
      </c>
      <c r="G307" s="65">
        <v>45113</v>
      </c>
      <c r="H307" s="63" t="s">
        <v>1083</v>
      </c>
      <c r="I307" s="65" t="s">
        <v>35</v>
      </c>
      <c r="J307" s="63">
        <f>IFERROR(VLOOKUP(I307,Jueces!$A$1:$B$11,2,FALSE),"")</f>
        <v>3</v>
      </c>
      <c r="K307" s="63" t="s">
        <v>313</v>
      </c>
      <c r="L307" s="63" t="s">
        <v>1342</v>
      </c>
    </row>
    <row r="308" spans="1:12" ht="30" customHeight="1">
      <c r="A308" s="172" t="str">
        <f t="shared" si="8"/>
        <v>06/07/20236</v>
      </c>
      <c r="B308" s="166">
        <f t="shared" si="9"/>
        <v>6</v>
      </c>
      <c r="C308" s="63" t="s">
        <v>1376</v>
      </c>
      <c r="D308" s="64" t="s">
        <v>1598</v>
      </c>
      <c r="E308" s="63">
        <v>2</v>
      </c>
      <c r="F308" s="63" t="s">
        <v>1433</v>
      </c>
      <c r="G308" s="65">
        <v>45113</v>
      </c>
      <c r="H308" s="65" t="s">
        <v>1083</v>
      </c>
      <c r="I308" s="65" t="s">
        <v>78</v>
      </c>
      <c r="J308" s="63">
        <f>IFERROR(VLOOKUP(I308,Jueces!$A$1:$B$11,2,FALSE),"")</f>
        <v>8</v>
      </c>
      <c r="K308" s="63" t="s">
        <v>582</v>
      </c>
      <c r="L308" s="63" t="s">
        <v>693</v>
      </c>
    </row>
    <row r="309" spans="1:12" ht="30" customHeight="1">
      <c r="A309" s="172" t="str">
        <f t="shared" si="8"/>
        <v>06/07/20237</v>
      </c>
      <c r="B309" s="166">
        <f t="shared" si="9"/>
        <v>7</v>
      </c>
      <c r="C309" s="63" t="s">
        <v>1401</v>
      </c>
      <c r="D309" s="64" t="s">
        <v>1599</v>
      </c>
      <c r="E309" s="63">
        <v>2</v>
      </c>
      <c r="F309" s="63" t="s">
        <v>32</v>
      </c>
      <c r="G309" s="65">
        <v>45113</v>
      </c>
      <c r="H309" s="65" t="s">
        <v>1083</v>
      </c>
      <c r="I309" s="65" t="s">
        <v>1216</v>
      </c>
      <c r="J309" s="63">
        <f>IFERROR(VLOOKUP(I309,Jueces!$A$1:$B$11,2,FALSE),"")</f>
        <v>1</v>
      </c>
      <c r="K309" s="63" t="s">
        <v>792</v>
      </c>
      <c r="L309" s="63" t="s">
        <v>1285</v>
      </c>
    </row>
    <row r="310" spans="1:12" ht="30" customHeight="1">
      <c r="A310" s="172" t="str">
        <f t="shared" si="8"/>
        <v>06/07/20238</v>
      </c>
      <c r="B310" s="166">
        <f t="shared" si="9"/>
        <v>8</v>
      </c>
      <c r="C310" s="63" t="s">
        <v>1425</v>
      </c>
      <c r="D310" s="64" t="s">
        <v>1594</v>
      </c>
      <c r="E310" s="63">
        <v>3</v>
      </c>
      <c r="F310" s="63" t="s">
        <v>1434</v>
      </c>
      <c r="G310" s="65">
        <v>45113</v>
      </c>
      <c r="H310" s="65" t="s">
        <v>1083</v>
      </c>
      <c r="I310" s="65" t="s">
        <v>1217</v>
      </c>
      <c r="J310" s="63">
        <f>IFERROR(VLOOKUP(I310,Jueces!$A$1:$B$11,2,FALSE),"")</f>
        <v>7</v>
      </c>
      <c r="K310" s="63" t="s">
        <v>789</v>
      </c>
      <c r="L310" s="63" t="s">
        <v>694</v>
      </c>
    </row>
    <row r="311" spans="1:12" ht="30" customHeight="1">
      <c r="A311" s="172" t="str">
        <f t="shared" si="8"/>
        <v>07/07/20231</v>
      </c>
      <c r="B311" s="166">
        <f t="shared" si="9"/>
        <v>1</v>
      </c>
      <c r="C311" s="63" t="s">
        <v>1308</v>
      </c>
      <c r="D311" s="64" t="s">
        <v>1655</v>
      </c>
      <c r="E311" s="63">
        <v>2</v>
      </c>
      <c r="F311" s="63" t="s">
        <v>1433</v>
      </c>
      <c r="G311" s="65">
        <v>45114</v>
      </c>
      <c r="H311" s="63" t="s">
        <v>73</v>
      </c>
      <c r="I311" s="65" t="s">
        <v>1216</v>
      </c>
      <c r="J311" s="63">
        <v>2</v>
      </c>
      <c r="K311" s="63" t="s">
        <v>791</v>
      </c>
      <c r="L311" s="63" t="s">
        <v>692</v>
      </c>
    </row>
    <row r="312" spans="1:12" ht="30" customHeight="1">
      <c r="A312" s="172" t="str">
        <f t="shared" si="8"/>
        <v>07/07/20232</v>
      </c>
      <c r="B312" s="166">
        <f t="shared" si="9"/>
        <v>2</v>
      </c>
      <c r="C312" s="63" t="s">
        <v>1365</v>
      </c>
      <c r="D312" s="64" t="s">
        <v>1656</v>
      </c>
      <c r="E312" s="63">
        <v>3</v>
      </c>
      <c r="F312" s="63" t="s">
        <v>43</v>
      </c>
      <c r="G312" s="65">
        <v>45114</v>
      </c>
      <c r="H312" s="63" t="s">
        <v>73</v>
      </c>
      <c r="I312" s="65" t="s">
        <v>1218</v>
      </c>
      <c r="J312" s="63" t="s">
        <v>1341</v>
      </c>
      <c r="K312" s="63" t="s">
        <v>798</v>
      </c>
      <c r="L312" s="63" t="s">
        <v>693</v>
      </c>
    </row>
    <row r="313" spans="1:12" ht="30" customHeight="1">
      <c r="A313" s="172" t="str">
        <f t="shared" si="8"/>
        <v>07/07/20233</v>
      </c>
      <c r="B313" s="166">
        <f t="shared" si="9"/>
        <v>3</v>
      </c>
      <c r="C313" s="63" t="s">
        <v>1405</v>
      </c>
      <c r="D313" s="64" t="s">
        <v>1657</v>
      </c>
      <c r="E313" s="63">
        <v>2</v>
      </c>
      <c r="F313" s="63" t="s">
        <v>568</v>
      </c>
      <c r="G313" s="65">
        <v>45114</v>
      </c>
      <c r="H313" s="65" t="s">
        <v>73</v>
      </c>
      <c r="I313" s="65" t="s">
        <v>35</v>
      </c>
      <c r="J313" s="63">
        <f>IFERROR(VLOOKUP(I313,Jueces!$A$1:$B$11,2,FALSE),"")</f>
        <v>3</v>
      </c>
      <c r="K313" s="63" t="s">
        <v>796</v>
      </c>
      <c r="L313" s="63" t="s">
        <v>1175</v>
      </c>
    </row>
    <row r="314" spans="1:12" ht="30" customHeight="1">
      <c r="A314" s="172" t="str">
        <f t="shared" si="8"/>
        <v>07/07/20234</v>
      </c>
      <c r="B314" s="166">
        <f t="shared" si="9"/>
        <v>4</v>
      </c>
      <c r="C314" s="63" t="s">
        <v>1407</v>
      </c>
      <c r="D314" s="64" t="s">
        <v>1658</v>
      </c>
      <c r="E314" s="63">
        <v>3</v>
      </c>
      <c r="F314" s="63" t="s">
        <v>283</v>
      </c>
      <c r="G314" s="65">
        <v>45114</v>
      </c>
      <c r="H314" s="65" t="s">
        <v>73</v>
      </c>
      <c r="I314" s="65" t="s">
        <v>1217</v>
      </c>
      <c r="J314" s="63">
        <f>IFERROR(VLOOKUP(I314,Jueces!$A$1:$B$11,2,FALSE),"")</f>
        <v>7</v>
      </c>
      <c r="K314" s="63" t="s">
        <v>1301</v>
      </c>
      <c r="L314" s="63" t="s">
        <v>1408</v>
      </c>
    </row>
    <row r="315" spans="1:12" ht="30" customHeight="1">
      <c r="A315" s="172" t="str">
        <f t="shared" si="8"/>
        <v>07/07/20235</v>
      </c>
      <c r="B315" s="166">
        <f t="shared" si="9"/>
        <v>5</v>
      </c>
      <c r="C315" s="63" t="s">
        <v>1468</v>
      </c>
      <c r="D315" s="64" t="s">
        <v>1660</v>
      </c>
      <c r="E315" s="63">
        <v>2</v>
      </c>
      <c r="F315" s="63" t="s">
        <v>1435</v>
      </c>
      <c r="G315" s="65">
        <v>45114</v>
      </c>
      <c r="H315" s="65" t="s">
        <v>73</v>
      </c>
      <c r="I315" s="65" t="s">
        <v>78</v>
      </c>
      <c r="J315" s="63">
        <f>IFERROR(VLOOKUP(I315,Jueces!$A$1:$B$11,2,FALSE),"")</f>
        <v>8</v>
      </c>
      <c r="K315" s="63" t="s">
        <v>1647</v>
      </c>
      <c r="L315" s="63" t="s">
        <v>1430</v>
      </c>
    </row>
    <row r="316" spans="1:12" ht="30" customHeight="1">
      <c r="A316" s="172" t="str">
        <f t="shared" si="8"/>
        <v>07/07/20236</v>
      </c>
      <c r="B316" s="166">
        <f t="shared" si="9"/>
        <v>6</v>
      </c>
      <c r="C316" s="63" t="s">
        <v>1361</v>
      </c>
      <c r="D316" s="64" t="s">
        <v>1659</v>
      </c>
      <c r="E316" s="63">
        <v>3</v>
      </c>
      <c r="F316" s="63" t="s">
        <v>32</v>
      </c>
      <c r="G316" s="65">
        <v>45114</v>
      </c>
      <c r="H316" s="63" t="s">
        <v>1083</v>
      </c>
      <c r="I316" s="65" t="s">
        <v>1216</v>
      </c>
      <c r="J316" s="63">
        <f>IFERROR(VLOOKUP(I316,Jueces!$A$1:$B$11,2,FALSE),"")</f>
        <v>1</v>
      </c>
      <c r="K316" s="63" t="s">
        <v>284</v>
      </c>
      <c r="L316" s="63" t="s">
        <v>693</v>
      </c>
    </row>
    <row r="317" spans="1:12" ht="30" customHeight="1">
      <c r="A317" s="172" t="str">
        <f t="shared" si="8"/>
        <v>07/07/20237</v>
      </c>
      <c r="B317" s="166">
        <f t="shared" si="9"/>
        <v>7</v>
      </c>
      <c r="C317" s="63" t="s">
        <v>1393</v>
      </c>
      <c r="D317" s="64" t="s">
        <v>1661</v>
      </c>
      <c r="E317" s="63">
        <v>2</v>
      </c>
      <c r="F317" s="63" t="s">
        <v>1433</v>
      </c>
      <c r="G317" s="65">
        <v>45114</v>
      </c>
      <c r="H317" s="65" t="s">
        <v>1083</v>
      </c>
      <c r="I317" s="65" t="s">
        <v>35</v>
      </c>
      <c r="J317" s="63">
        <f>IFERROR(VLOOKUP(I317,Jueces!$A$1:$B$11,2,FALSE),"")</f>
        <v>3</v>
      </c>
      <c r="K317" s="63" t="s">
        <v>811</v>
      </c>
      <c r="L317" s="63" t="s">
        <v>692</v>
      </c>
    </row>
    <row r="318" spans="1:12" ht="30" customHeight="1">
      <c r="A318" s="172" t="str">
        <f t="shared" si="8"/>
        <v>07/07/20238</v>
      </c>
      <c r="B318" s="166">
        <f t="shared" si="9"/>
        <v>8</v>
      </c>
      <c r="C318" s="63" t="s">
        <v>1422</v>
      </c>
      <c r="D318" s="64" t="s">
        <v>1662</v>
      </c>
      <c r="E318" s="63">
        <v>1</v>
      </c>
      <c r="F318" s="63" t="s">
        <v>1434</v>
      </c>
      <c r="G318" s="65">
        <v>45114</v>
      </c>
      <c r="H318" s="65" t="s">
        <v>1083</v>
      </c>
      <c r="I318" s="65" t="s">
        <v>78</v>
      </c>
      <c r="J318" s="63">
        <f>IFERROR(VLOOKUP(I318,Jueces!$A$1:$B$11,2,FALSE),"")</f>
        <v>8</v>
      </c>
      <c r="K318" s="63" t="s">
        <v>810</v>
      </c>
      <c r="L318" s="63" t="s">
        <v>712</v>
      </c>
    </row>
    <row r="319" spans="1:12" ht="30" customHeight="1">
      <c r="A319" s="172" t="str">
        <f t="shared" si="8"/>
        <v>10/07/20231</v>
      </c>
      <c r="B319" s="166">
        <f t="shared" si="9"/>
        <v>1</v>
      </c>
      <c r="C319" s="63" t="s">
        <v>1470</v>
      </c>
      <c r="D319" s="64" t="s">
        <v>1696</v>
      </c>
      <c r="E319" s="63">
        <v>3</v>
      </c>
      <c r="F319" s="63" t="s">
        <v>1434</v>
      </c>
      <c r="G319" s="65">
        <v>45117</v>
      </c>
      <c r="H319" s="65" t="s">
        <v>76</v>
      </c>
      <c r="I319" s="65" t="s">
        <v>1484</v>
      </c>
      <c r="J319" s="63" t="s">
        <v>1341</v>
      </c>
      <c r="K319" s="63" t="s">
        <v>810</v>
      </c>
      <c r="L319" s="63" t="s">
        <v>692</v>
      </c>
    </row>
    <row r="320" spans="1:12" ht="30" customHeight="1">
      <c r="A320" s="172" t="str">
        <f t="shared" si="8"/>
        <v>10/07/20232</v>
      </c>
      <c r="B320" s="166">
        <f t="shared" si="9"/>
        <v>2</v>
      </c>
      <c r="C320" s="63" t="s">
        <v>1471</v>
      </c>
      <c r="D320" s="64" t="s">
        <v>1697</v>
      </c>
      <c r="E320" s="63">
        <v>3</v>
      </c>
      <c r="F320" s="63" t="s">
        <v>29</v>
      </c>
      <c r="G320" s="65">
        <v>45117</v>
      </c>
      <c r="H320" s="65" t="s">
        <v>76</v>
      </c>
      <c r="I320" s="65" t="s">
        <v>1616</v>
      </c>
      <c r="J320" s="63" t="s">
        <v>1483</v>
      </c>
      <c r="K320" s="63" t="s">
        <v>805</v>
      </c>
      <c r="L320" s="63" t="s">
        <v>694</v>
      </c>
    </row>
    <row r="321" spans="1:12" ht="30" customHeight="1">
      <c r="A321" s="172" t="str">
        <f t="shared" si="8"/>
        <v>10/07/20233</v>
      </c>
      <c r="B321" s="166">
        <f t="shared" si="9"/>
        <v>3</v>
      </c>
      <c r="C321" s="63" t="s">
        <v>1432</v>
      </c>
      <c r="D321" s="64" t="s">
        <v>1698</v>
      </c>
      <c r="E321" s="63">
        <v>2</v>
      </c>
      <c r="F321" s="63" t="s">
        <v>43</v>
      </c>
      <c r="G321" s="65">
        <v>45117</v>
      </c>
      <c r="H321" s="65" t="s">
        <v>1442</v>
      </c>
      <c r="I321" s="65" t="s">
        <v>1616</v>
      </c>
      <c r="J321" s="63" t="s">
        <v>1483</v>
      </c>
      <c r="K321" s="63" t="s">
        <v>792</v>
      </c>
      <c r="L321" s="63" t="s">
        <v>1439</v>
      </c>
    </row>
    <row r="322" spans="1:12" ht="30" customHeight="1">
      <c r="A322" s="172" t="str">
        <f t="shared" si="8"/>
        <v>10/07/20234</v>
      </c>
      <c r="B322" s="166">
        <f t="shared" si="9"/>
        <v>4</v>
      </c>
      <c r="C322" s="63" t="s">
        <v>1472</v>
      </c>
      <c r="D322" s="64" t="s">
        <v>1699</v>
      </c>
      <c r="E322" s="63">
        <v>3</v>
      </c>
      <c r="F322" s="63" t="s">
        <v>568</v>
      </c>
      <c r="G322" s="65">
        <v>45117</v>
      </c>
      <c r="H322" s="65" t="s">
        <v>1442</v>
      </c>
      <c r="I322" s="65" t="s">
        <v>1484</v>
      </c>
      <c r="J322" s="63" t="s">
        <v>1341</v>
      </c>
      <c r="K322" s="63" t="s">
        <v>805</v>
      </c>
      <c r="L322" s="63" t="s">
        <v>694</v>
      </c>
    </row>
    <row r="323" spans="1:12" ht="30" customHeight="1">
      <c r="A323" s="172" t="str">
        <f t="shared" ref="A323:A386" si="10">CONCATENATE(TEXT($G323,"dd/mm/yyyy"),$B323)</f>
        <v>10/07/20235</v>
      </c>
      <c r="B323" s="166">
        <f t="shared" si="9"/>
        <v>5</v>
      </c>
      <c r="C323" s="63" t="s">
        <v>1400</v>
      </c>
      <c r="D323" s="64" t="s">
        <v>1700</v>
      </c>
      <c r="E323" s="63">
        <v>3</v>
      </c>
      <c r="F323" s="63" t="s">
        <v>1433</v>
      </c>
      <c r="G323" s="65">
        <v>45117</v>
      </c>
      <c r="H323" s="65" t="s">
        <v>547</v>
      </c>
      <c r="I323" s="65" t="s">
        <v>1484</v>
      </c>
      <c r="J323" s="63" t="s">
        <v>1341</v>
      </c>
      <c r="K323" s="63" t="s">
        <v>811</v>
      </c>
      <c r="L323" s="63" t="s">
        <v>693</v>
      </c>
    </row>
    <row r="324" spans="1:12" ht="30" customHeight="1">
      <c r="A324" s="172" t="str">
        <f t="shared" si="10"/>
        <v>10/07/20236</v>
      </c>
      <c r="B324" s="166">
        <f t="shared" ref="B324:B387" si="11">IF($G324=$G323,$B323+1,1)</f>
        <v>6</v>
      </c>
      <c r="C324" s="63" t="s">
        <v>1440</v>
      </c>
      <c r="D324" s="64" t="s">
        <v>1701</v>
      </c>
      <c r="E324" s="63">
        <v>1</v>
      </c>
      <c r="F324" s="63" t="s">
        <v>32</v>
      </c>
      <c r="G324" s="65">
        <v>45117</v>
      </c>
      <c r="H324" s="65" t="s">
        <v>547</v>
      </c>
      <c r="I324" s="65" t="s">
        <v>35</v>
      </c>
      <c r="J324" s="63">
        <f>IFERROR(VLOOKUP(I324,Jueces!$A$1:$B$11,2,FALSE),"")</f>
        <v>3</v>
      </c>
      <c r="K324" s="63" t="s">
        <v>809</v>
      </c>
      <c r="L324" s="63" t="s">
        <v>1084</v>
      </c>
    </row>
    <row r="325" spans="1:12" ht="30" customHeight="1">
      <c r="A325" s="172" t="str">
        <f t="shared" si="10"/>
        <v>11/07/20231</v>
      </c>
      <c r="B325" s="166">
        <f t="shared" si="11"/>
        <v>1</v>
      </c>
      <c r="C325" s="63" t="s">
        <v>1410</v>
      </c>
      <c r="D325" s="64" t="s">
        <v>1409</v>
      </c>
      <c r="E325" s="63">
        <v>3</v>
      </c>
      <c r="F325" s="63" t="s">
        <v>1434</v>
      </c>
      <c r="G325" s="65">
        <v>45118</v>
      </c>
      <c r="H325" s="65" t="s">
        <v>76</v>
      </c>
      <c r="I325" s="65" t="s">
        <v>35</v>
      </c>
      <c r="J325" s="63">
        <f>IFERROR(VLOOKUP(I325,Jueces!$A$1:$B$11,2,FALSE),"")</f>
        <v>3</v>
      </c>
      <c r="K325" s="63" t="s">
        <v>811</v>
      </c>
      <c r="L325" s="63" t="s">
        <v>697</v>
      </c>
    </row>
    <row r="326" spans="1:12" ht="30" customHeight="1">
      <c r="A326" s="172" t="str">
        <f t="shared" si="10"/>
        <v>11/07/20232</v>
      </c>
      <c r="B326" s="166">
        <f t="shared" si="11"/>
        <v>2</v>
      </c>
      <c r="C326" s="63" t="s">
        <v>1412</v>
      </c>
      <c r="D326" s="64" t="s">
        <v>1413</v>
      </c>
      <c r="E326" s="63">
        <v>3</v>
      </c>
      <c r="F326" s="63" t="s">
        <v>29</v>
      </c>
      <c r="G326" s="65">
        <v>45118</v>
      </c>
      <c r="H326" s="65" t="s">
        <v>76</v>
      </c>
      <c r="I326" s="65" t="s">
        <v>31</v>
      </c>
      <c r="J326" s="63">
        <f>IFERROR(VLOOKUP(I326,Jueces!$A$1:$B$11,2,FALSE),"")</f>
        <v>2</v>
      </c>
      <c r="K326" s="63" t="s">
        <v>806</v>
      </c>
      <c r="L326" s="63" t="s">
        <v>693</v>
      </c>
    </row>
    <row r="327" spans="1:12" ht="30" customHeight="1">
      <c r="A327" s="172" t="str">
        <f t="shared" si="10"/>
        <v>11/07/20233</v>
      </c>
      <c r="B327" s="166">
        <f t="shared" si="11"/>
        <v>3</v>
      </c>
      <c r="C327" s="63" t="s">
        <v>1474</v>
      </c>
      <c r="D327" s="64" t="s">
        <v>1475</v>
      </c>
      <c r="E327" s="63">
        <v>3</v>
      </c>
      <c r="F327" s="63" t="s">
        <v>32</v>
      </c>
      <c r="G327" s="65">
        <v>45118</v>
      </c>
      <c r="H327" s="65" t="s">
        <v>76</v>
      </c>
      <c r="I327" s="65" t="s">
        <v>1616</v>
      </c>
      <c r="J327" s="63" t="s">
        <v>1483</v>
      </c>
      <c r="K327" s="63" t="s">
        <v>789</v>
      </c>
      <c r="L327" s="63" t="s">
        <v>694</v>
      </c>
    </row>
    <row r="328" spans="1:12" ht="30" customHeight="1">
      <c r="A328" s="172" t="str">
        <f t="shared" si="10"/>
        <v>11/07/20234</v>
      </c>
      <c r="B328" s="166">
        <f t="shared" si="11"/>
        <v>4</v>
      </c>
      <c r="C328" s="63" t="s">
        <v>1399</v>
      </c>
      <c r="D328" s="64" t="s">
        <v>1870</v>
      </c>
      <c r="E328" s="63">
        <v>3</v>
      </c>
      <c r="F328" s="63" t="s">
        <v>283</v>
      </c>
      <c r="G328" s="65">
        <v>45118</v>
      </c>
      <c r="H328" s="65" t="s">
        <v>1442</v>
      </c>
      <c r="I328" s="65" t="s">
        <v>35</v>
      </c>
      <c r="J328" s="63">
        <f>IFERROR(VLOOKUP(I328,Jueces!$A$1:$B$11,2,FALSE),"")</f>
        <v>3</v>
      </c>
      <c r="K328" s="63" t="s">
        <v>811</v>
      </c>
      <c r="L328" s="63" t="s">
        <v>693</v>
      </c>
    </row>
    <row r="329" spans="1:12" ht="30" customHeight="1">
      <c r="A329" s="172" t="str">
        <f t="shared" si="10"/>
        <v>11/07/20235</v>
      </c>
      <c r="B329" s="166">
        <f t="shared" si="11"/>
        <v>5</v>
      </c>
      <c r="C329" s="63" t="s">
        <v>1448</v>
      </c>
      <c r="D329" s="64" t="s">
        <v>1447</v>
      </c>
      <c r="E329" s="63">
        <v>3</v>
      </c>
      <c r="F329" s="63" t="s">
        <v>568</v>
      </c>
      <c r="G329" s="65">
        <v>45118</v>
      </c>
      <c r="H329" s="65" t="s">
        <v>1442</v>
      </c>
      <c r="I329" s="65" t="s">
        <v>35</v>
      </c>
      <c r="J329" s="63">
        <f>IFERROR(VLOOKUP(I329,Jueces!$A$1:$B$11,2,FALSE),"")</f>
        <v>3</v>
      </c>
      <c r="K329" s="63" t="s">
        <v>806</v>
      </c>
      <c r="L329" s="63" t="s">
        <v>694</v>
      </c>
    </row>
    <row r="330" spans="1:12" ht="30" customHeight="1">
      <c r="A330" s="172" t="str">
        <f t="shared" si="10"/>
        <v>11/07/20236</v>
      </c>
      <c r="B330" s="166">
        <f t="shared" si="11"/>
        <v>6</v>
      </c>
      <c r="C330" s="63" t="s">
        <v>1441</v>
      </c>
      <c r="D330" s="64" t="s">
        <v>1444</v>
      </c>
      <c r="E330" s="63">
        <v>2</v>
      </c>
      <c r="F330" s="63" t="s">
        <v>1433</v>
      </c>
      <c r="G330" s="65">
        <v>45118</v>
      </c>
      <c r="H330" s="65" t="s">
        <v>1442</v>
      </c>
      <c r="I330" s="65" t="s">
        <v>31</v>
      </c>
      <c r="J330" s="63">
        <f>IFERROR(VLOOKUP(I330,Jueces!$A$1:$B$11,2,FALSE),"")</f>
        <v>2</v>
      </c>
      <c r="K330" s="63" t="s">
        <v>800</v>
      </c>
      <c r="L330" s="63" t="s">
        <v>692</v>
      </c>
    </row>
    <row r="331" spans="1:12" ht="30" customHeight="1">
      <c r="A331" s="172" t="str">
        <f t="shared" si="10"/>
        <v>11/07/20237</v>
      </c>
      <c r="B331" s="166">
        <f t="shared" si="11"/>
        <v>7</v>
      </c>
      <c r="C331" s="63" t="s">
        <v>1443</v>
      </c>
      <c r="D331" s="64" t="s">
        <v>1469</v>
      </c>
      <c r="E331" s="63">
        <v>3</v>
      </c>
      <c r="F331" s="63" t="s">
        <v>43</v>
      </c>
      <c r="G331" s="65">
        <v>45118</v>
      </c>
      <c r="H331" s="65" t="s">
        <v>1442</v>
      </c>
      <c r="I331" s="65" t="s">
        <v>1484</v>
      </c>
      <c r="J331" s="63" t="s">
        <v>1341</v>
      </c>
      <c r="K331" s="63" t="s">
        <v>800</v>
      </c>
      <c r="L331" s="63" t="s">
        <v>1378</v>
      </c>
    </row>
    <row r="332" spans="1:12" ht="30" customHeight="1">
      <c r="A332" s="172" t="str">
        <f t="shared" si="10"/>
        <v>11/07/20238</v>
      </c>
      <c r="B332" s="166">
        <f t="shared" si="11"/>
        <v>8</v>
      </c>
      <c r="C332" s="63" t="s">
        <v>1669</v>
      </c>
      <c r="D332" s="40" t="s">
        <v>1667</v>
      </c>
      <c r="E332" s="63">
        <v>3</v>
      </c>
      <c r="F332" s="63" t="s">
        <v>1654</v>
      </c>
      <c r="G332" s="65">
        <v>45118</v>
      </c>
      <c r="H332" s="65" t="s">
        <v>1554</v>
      </c>
      <c r="I332" s="65" t="s">
        <v>1616</v>
      </c>
      <c r="J332" s="63" t="s">
        <v>1483</v>
      </c>
      <c r="K332" s="63" t="s">
        <v>789</v>
      </c>
      <c r="L332" s="63" t="s">
        <v>1685</v>
      </c>
    </row>
    <row r="333" spans="1:12" ht="30" customHeight="1">
      <c r="A333" s="172" t="str">
        <f t="shared" si="10"/>
        <v>11/07/20239</v>
      </c>
      <c r="B333" s="166">
        <f t="shared" si="11"/>
        <v>9</v>
      </c>
      <c r="C333" s="63" t="s">
        <v>1473</v>
      </c>
      <c r="D333" s="64" t="s">
        <v>1480</v>
      </c>
      <c r="E333" s="63">
        <v>3</v>
      </c>
      <c r="F333" s="63" t="s">
        <v>283</v>
      </c>
      <c r="G333" s="65">
        <v>45118</v>
      </c>
      <c r="H333" s="65" t="s">
        <v>987</v>
      </c>
      <c r="I333" s="65" t="s">
        <v>1616</v>
      </c>
      <c r="J333" s="63" t="s">
        <v>1483</v>
      </c>
      <c r="K333" s="63" t="s">
        <v>796</v>
      </c>
      <c r="L333" s="63" t="s">
        <v>693</v>
      </c>
    </row>
    <row r="334" spans="1:12" ht="30" customHeight="1">
      <c r="A334" s="172" t="str">
        <f t="shared" si="10"/>
        <v>12/07/20231</v>
      </c>
      <c r="B334" s="166">
        <f t="shared" si="11"/>
        <v>1</v>
      </c>
      <c r="C334" s="63" t="s">
        <v>1544</v>
      </c>
      <c r="D334" s="64" t="s">
        <v>1516</v>
      </c>
      <c r="E334" s="63">
        <v>4</v>
      </c>
      <c r="F334" s="63" t="s">
        <v>1434</v>
      </c>
      <c r="G334" s="65">
        <v>45119</v>
      </c>
      <c r="H334" s="65" t="s">
        <v>76</v>
      </c>
      <c r="I334" s="65" t="s">
        <v>31</v>
      </c>
      <c r="J334" s="63">
        <f>IFERROR(VLOOKUP(I334,Jueces!$A$1:$B$11,2,FALSE),"")</f>
        <v>2</v>
      </c>
      <c r="K334" s="63" t="s">
        <v>806</v>
      </c>
      <c r="L334" s="63" t="s">
        <v>695</v>
      </c>
    </row>
    <row r="335" spans="1:12" ht="30" customHeight="1">
      <c r="A335" s="172" t="str">
        <f t="shared" si="10"/>
        <v>12/07/20232</v>
      </c>
      <c r="B335" s="166">
        <f t="shared" si="11"/>
        <v>2</v>
      </c>
      <c r="C335" s="63" t="s">
        <v>1543</v>
      </c>
      <c r="D335" s="64" t="s">
        <v>1783</v>
      </c>
      <c r="E335" s="63">
        <v>3</v>
      </c>
      <c r="F335" s="63" t="s">
        <v>1433</v>
      </c>
      <c r="G335" s="65">
        <v>45119</v>
      </c>
      <c r="H335" s="65" t="s">
        <v>76</v>
      </c>
      <c r="I335" s="65" t="s">
        <v>1484</v>
      </c>
      <c r="J335" s="63" t="s">
        <v>1341</v>
      </c>
      <c r="K335" s="63" t="s">
        <v>810</v>
      </c>
      <c r="L335" s="63" t="s">
        <v>694</v>
      </c>
    </row>
    <row r="336" spans="1:12" ht="30" customHeight="1">
      <c r="A336" s="172" t="str">
        <f t="shared" si="10"/>
        <v>12/07/20233</v>
      </c>
      <c r="B336" s="166">
        <f t="shared" si="11"/>
        <v>3</v>
      </c>
      <c r="C336" s="63" t="s">
        <v>1540</v>
      </c>
      <c r="D336" s="64" t="s">
        <v>1517</v>
      </c>
      <c r="E336" s="63">
        <v>3</v>
      </c>
      <c r="F336" s="63" t="s">
        <v>283</v>
      </c>
      <c r="G336" s="65">
        <v>45119</v>
      </c>
      <c r="H336" s="65" t="s">
        <v>1442</v>
      </c>
      <c r="I336" s="65" t="s">
        <v>35</v>
      </c>
      <c r="J336" s="63">
        <f>IFERROR(VLOOKUP(I336,Jueces!$A$1:$B$11,2,FALSE),"")</f>
        <v>3</v>
      </c>
      <c r="K336" s="63" t="s">
        <v>806</v>
      </c>
      <c r="L336" s="63" t="s">
        <v>694</v>
      </c>
    </row>
    <row r="337" spans="1:12" ht="30" customHeight="1">
      <c r="A337" s="172" t="str">
        <f t="shared" si="10"/>
        <v>12/07/20234</v>
      </c>
      <c r="B337" s="166">
        <f t="shared" si="11"/>
        <v>4</v>
      </c>
      <c r="C337" s="63" t="s">
        <v>1515</v>
      </c>
      <c r="D337" s="64" t="s">
        <v>1513</v>
      </c>
      <c r="E337" s="63">
        <v>4</v>
      </c>
      <c r="F337" s="63" t="s">
        <v>568</v>
      </c>
      <c r="G337" s="65">
        <v>45119</v>
      </c>
      <c r="H337" s="65" t="s">
        <v>547</v>
      </c>
      <c r="I337" s="65" t="s">
        <v>35</v>
      </c>
      <c r="J337" s="63">
        <f>IFERROR(VLOOKUP(I337,Jueces!$A$1:$B$11,2,FALSE),"")</f>
        <v>3</v>
      </c>
      <c r="K337" s="63" t="s">
        <v>1514</v>
      </c>
      <c r="L337" s="63" t="s">
        <v>1426</v>
      </c>
    </row>
    <row r="338" spans="1:12" ht="30" customHeight="1">
      <c r="A338" s="172" t="str">
        <f t="shared" si="10"/>
        <v>12/07/20235</v>
      </c>
      <c r="B338" s="166">
        <f t="shared" si="11"/>
        <v>5</v>
      </c>
      <c r="C338" s="63" t="s">
        <v>1541</v>
      </c>
      <c r="D338" s="64" t="s">
        <v>1784</v>
      </c>
      <c r="E338" s="63">
        <v>2</v>
      </c>
      <c r="F338" s="63" t="s">
        <v>43</v>
      </c>
      <c r="G338" s="65">
        <v>45119</v>
      </c>
      <c r="H338" s="65" t="s">
        <v>547</v>
      </c>
      <c r="I338" s="65" t="s">
        <v>1616</v>
      </c>
      <c r="J338" s="63" t="s">
        <v>1483</v>
      </c>
      <c r="K338" s="63" t="s">
        <v>797</v>
      </c>
      <c r="L338" s="63" t="s">
        <v>1175</v>
      </c>
    </row>
    <row r="339" spans="1:12" ht="30" customHeight="1">
      <c r="A339" s="172" t="str">
        <f t="shared" si="10"/>
        <v>12/07/20236</v>
      </c>
      <c r="B339" s="166">
        <f t="shared" si="11"/>
        <v>6</v>
      </c>
      <c r="C339" s="63" t="s">
        <v>1549</v>
      </c>
      <c r="D339" s="64" t="s">
        <v>1548</v>
      </c>
      <c r="E339" s="63">
        <v>4</v>
      </c>
      <c r="F339" s="63" t="s">
        <v>29</v>
      </c>
      <c r="G339" s="65">
        <v>45119</v>
      </c>
      <c r="H339" s="65" t="s">
        <v>547</v>
      </c>
      <c r="I339" s="65" t="s">
        <v>1484</v>
      </c>
      <c r="J339" s="63" t="s">
        <v>1341</v>
      </c>
      <c r="K339" s="63" t="s">
        <v>811</v>
      </c>
      <c r="L339" s="63" t="s">
        <v>694</v>
      </c>
    </row>
    <row r="340" spans="1:12" ht="30" customHeight="1">
      <c r="A340" s="172" t="str">
        <f t="shared" si="10"/>
        <v>12/07/20237</v>
      </c>
      <c r="B340" s="166">
        <f t="shared" si="11"/>
        <v>7</v>
      </c>
      <c r="C340" s="63" t="s">
        <v>1551</v>
      </c>
      <c r="D340" s="64" t="s">
        <v>1764</v>
      </c>
      <c r="E340" s="63">
        <v>3</v>
      </c>
      <c r="F340" s="63" t="s">
        <v>43</v>
      </c>
      <c r="G340" s="65">
        <v>45119</v>
      </c>
      <c r="H340" s="65" t="s">
        <v>1554</v>
      </c>
      <c r="I340" s="65" t="s">
        <v>1616</v>
      </c>
      <c r="J340" s="63" t="s">
        <v>1483</v>
      </c>
      <c r="K340" s="63" t="s">
        <v>805</v>
      </c>
      <c r="L340" s="63" t="s">
        <v>694</v>
      </c>
    </row>
    <row r="341" spans="1:12" ht="30" customHeight="1">
      <c r="A341" s="172" t="str">
        <f t="shared" si="10"/>
        <v>13/07/20231</v>
      </c>
      <c r="B341" s="166">
        <f t="shared" si="11"/>
        <v>1</v>
      </c>
      <c r="C341" s="63" t="s">
        <v>1546</v>
      </c>
      <c r="D341" s="64" t="s">
        <v>1785</v>
      </c>
      <c r="E341" s="63">
        <v>4</v>
      </c>
      <c r="F341" s="63" t="s">
        <v>32</v>
      </c>
      <c r="G341" s="65">
        <v>45120</v>
      </c>
      <c r="H341" s="65" t="s">
        <v>76</v>
      </c>
      <c r="I341" s="65" t="s">
        <v>1616</v>
      </c>
      <c r="J341" s="63" t="s">
        <v>1483</v>
      </c>
      <c r="K341" s="63" t="s">
        <v>812</v>
      </c>
      <c r="L341" s="63" t="s">
        <v>1550</v>
      </c>
    </row>
    <row r="342" spans="1:12" ht="30" customHeight="1">
      <c r="A342" s="172" t="str">
        <f t="shared" si="10"/>
        <v>13/07/20232</v>
      </c>
      <c r="B342" s="166">
        <f t="shared" si="11"/>
        <v>2</v>
      </c>
      <c r="C342" s="63" t="s">
        <v>1542</v>
      </c>
      <c r="D342" s="64" t="s">
        <v>1786</v>
      </c>
      <c r="E342" s="63">
        <v>3</v>
      </c>
      <c r="F342" s="63" t="s">
        <v>568</v>
      </c>
      <c r="G342" s="65">
        <v>45120</v>
      </c>
      <c r="H342" s="65" t="s">
        <v>76</v>
      </c>
      <c r="I342" s="65" t="s">
        <v>31</v>
      </c>
      <c r="J342" s="63">
        <f>IFERROR(VLOOKUP(I342,Jueces!$A$1:$B$11,2,FALSE),"")</f>
        <v>2</v>
      </c>
      <c r="K342" s="63" t="s">
        <v>811</v>
      </c>
      <c r="L342" s="63" t="s">
        <v>694</v>
      </c>
    </row>
    <row r="343" spans="1:12" ht="30" customHeight="1">
      <c r="A343" s="172" t="str">
        <f t="shared" si="10"/>
        <v>13/07/20233</v>
      </c>
      <c r="B343" s="166">
        <f t="shared" si="11"/>
        <v>3</v>
      </c>
      <c r="C343" s="63" t="s">
        <v>1557</v>
      </c>
      <c r="D343" s="64" t="s">
        <v>1787</v>
      </c>
      <c r="E343" s="63">
        <v>4</v>
      </c>
      <c r="F343" s="63" t="s">
        <v>43</v>
      </c>
      <c r="G343" s="65">
        <v>45120</v>
      </c>
      <c r="H343" s="65" t="s">
        <v>76</v>
      </c>
      <c r="I343" s="65" t="s">
        <v>1484</v>
      </c>
      <c r="J343" s="63" t="s">
        <v>1341</v>
      </c>
      <c r="K343" s="63" t="s">
        <v>807</v>
      </c>
      <c r="L343" s="63" t="s">
        <v>695</v>
      </c>
    </row>
    <row r="344" spans="1:12" ht="30" customHeight="1">
      <c r="A344" s="172" t="str">
        <f t="shared" si="10"/>
        <v>13/07/20234</v>
      </c>
      <c r="B344" s="166">
        <f t="shared" si="11"/>
        <v>4</v>
      </c>
      <c r="C344" s="63" t="s">
        <v>1547</v>
      </c>
      <c r="D344" s="64" t="s">
        <v>1788</v>
      </c>
      <c r="E344" s="63">
        <v>4</v>
      </c>
      <c r="F344" s="63" t="s">
        <v>29</v>
      </c>
      <c r="G344" s="65">
        <v>45120</v>
      </c>
      <c r="H344" s="65" t="s">
        <v>1442</v>
      </c>
      <c r="I344" s="65" t="s">
        <v>1484</v>
      </c>
      <c r="J344" s="63" t="s">
        <v>1341</v>
      </c>
      <c r="K344" s="63" t="s">
        <v>811</v>
      </c>
      <c r="L344" s="63" t="s">
        <v>695</v>
      </c>
    </row>
    <row r="345" spans="1:12" ht="30" customHeight="1">
      <c r="A345" s="172" t="str">
        <f t="shared" si="10"/>
        <v>13/07/20235</v>
      </c>
      <c r="B345" s="166">
        <f t="shared" si="11"/>
        <v>5</v>
      </c>
      <c r="C345" s="63" t="s">
        <v>1545</v>
      </c>
      <c r="D345" s="64" t="s">
        <v>1789</v>
      </c>
      <c r="E345" s="63">
        <v>3</v>
      </c>
      <c r="F345" s="63" t="s">
        <v>32</v>
      </c>
      <c r="G345" s="65">
        <v>45120</v>
      </c>
      <c r="H345" s="65" t="s">
        <v>1442</v>
      </c>
      <c r="I345" s="65" t="s">
        <v>31</v>
      </c>
      <c r="J345" s="63">
        <f>IFERROR(VLOOKUP(I345,Jueces!$A$1:$B$11,2,FALSE),"")</f>
        <v>2</v>
      </c>
      <c r="K345" s="63" t="s">
        <v>808</v>
      </c>
      <c r="L345" s="63" t="s">
        <v>694</v>
      </c>
    </row>
    <row r="346" spans="1:12" ht="30" customHeight="1">
      <c r="A346" s="172" t="str">
        <f t="shared" si="10"/>
        <v>13/07/20236</v>
      </c>
      <c r="B346" s="166">
        <f t="shared" si="11"/>
        <v>6</v>
      </c>
      <c r="C346" s="63" t="s">
        <v>1553</v>
      </c>
      <c r="D346" s="64" t="s">
        <v>1790</v>
      </c>
      <c r="E346" s="63">
        <v>4</v>
      </c>
      <c r="F346" s="63" t="s">
        <v>1434</v>
      </c>
      <c r="G346" s="65">
        <v>45120</v>
      </c>
      <c r="H346" s="65" t="s">
        <v>547</v>
      </c>
      <c r="I346" s="65" t="s">
        <v>1616</v>
      </c>
      <c r="J346" s="63" t="str">
        <f>IFERROR(VLOOKUP(I346,Jueces!$A$1:$B$13,2,FALSE),"")</f>
        <v>JUI 5</v>
      </c>
      <c r="K346" s="63" t="s">
        <v>805</v>
      </c>
      <c r="L346" s="63" t="s">
        <v>695</v>
      </c>
    </row>
    <row r="347" spans="1:12" ht="30" customHeight="1">
      <c r="A347" s="172" t="str">
        <f t="shared" si="10"/>
        <v>13/07/20237</v>
      </c>
      <c r="B347" s="166">
        <f t="shared" si="11"/>
        <v>7</v>
      </c>
      <c r="C347" s="63" t="s">
        <v>1555</v>
      </c>
      <c r="D347" s="64" t="s">
        <v>1791</v>
      </c>
      <c r="E347" s="63">
        <v>3</v>
      </c>
      <c r="F347" s="63" t="s">
        <v>283</v>
      </c>
      <c r="G347" s="65">
        <v>45120</v>
      </c>
      <c r="H347" s="65" t="s">
        <v>547</v>
      </c>
      <c r="I347" s="65" t="s">
        <v>31</v>
      </c>
      <c r="J347" s="63">
        <f>IFERROR(VLOOKUP(I347,Jueces!$A$1:$B$13,2,FALSE),"")</f>
        <v>2</v>
      </c>
      <c r="K347" s="63" t="s">
        <v>789</v>
      </c>
      <c r="L347" s="63" t="s">
        <v>1819</v>
      </c>
    </row>
    <row r="348" spans="1:12" ht="30" customHeight="1">
      <c r="A348" s="172" t="str">
        <f t="shared" si="10"/>
        <v>14/07/20231</v>
      </c>
      <c r="B348" s="166">
        <f t="shared" si="11"/>
        <v>1</v>
      </c>
      <c r="C348" s="63" t="s">
        <v>1478</v>
      </c>
      <c r="D348" s="64" t="s">
        <v>1479</v>
      </c>
      <c r="E348" s="63">
        <v>3</v>
      </c>
      <c r="F348" s="63" t="s">
        <v>43</v>
      </c>
      <c r="G348" s="65">
        <v>45121</v>
      </c>
      <c r="H348" s="65" t="s">
        <v>76</v>
      </c>
      <c r="I348" s="65" t="s">
        <v>1616</v>
      </c>
      <c r="J348" s="63" t="s">
        <v>1483</v>
      </c>
      <c r="K348" s="63" t="s">
        <v>811</v>
      </c>
      <c r="L348" s="63" t="s">
        <v>693</v>
      </c>
    </row>
    <row r="349" spans="1:12" ht="30" customHeight="1">
      <c r="A349" s="172" t="str">
        <f t="shared" si="10"/>
        <v>14/07/20232</v>
      </c>
      <c r="B349" s="166">
        <f t="shared" si="11"/>
        <v>2</v>
      </c>
      <c r="C349" s="63" t="s">
        <v>1552</v>
      </c>
      <c r="D349" s="64" t="s">
        <v>1518</v>
      </c>
      <c r="E349" s="63">
        <v>4</v>
      </c>
      <c r="F349" s="63" t="s">
        <v>1433</v>
      </c>
      <c r="G349" s="65">
        <v>45121</v>
      </c>
      <c r="H349" s="65" t="s">
        <v>76</v>
      </c>
      <c r="I349" s="65" t="s">
        <v>35</v>
      </c>
      <c r="J349" s="63">
        <f>IFERROR(VLOOKUP(I349,Jueces!$A$1:$B$13,2,FALSE),"")</f>
        <v>3</v>
      </c>
      <c r="K349" s="63" t="s">
        <v>508</v>
      </c>
      <c r="L349" s="63" t="s">
        <v>1814</v>
      </c>
    </row>
    <row r="350" spans="1:12" ht="30" customHeight="1">
      <c r="A350" s="172" t="str">
        <f t="shared" si="10"/>
        <v>14/07/20233</v>
      </c>
      <c r="B350" s="166">
        <f t="shared" si="11"/>
        <v>3</v>
      </c>
      <c r="C350" s="63" t="s">
        <v>1561</v>
      </c>
      <c r="D350" s="64" t="s">
        <v>1574</v>
      </c>
      <c r="E350" s="63">
        <v>4</v>
      </c>
      <c r="F350" s="63" t="s">
        <v>32</v>
      </c>
      <c r="G350" s="65">
        <v>45121</v>
      </c>
      <c r="H350" s="65" t="s">
        <v>76</v>
      </c>
      <c r="I350" s="65" t="s">
        <v>31</v>
      </c>
      <c r="J350" s="63">
        <f>IFERROR(VLOOKUP(I350,Jueces!$A$1:$B$13,2,FALSE),"")</f>
        <v>2</v>
      </c>
      <c r="K350" s="63" t="s">
        <v>807</v>
      </c>
      <c r="L350" s="63" t="s">
        <v>695</v>
      </c>
    </row>
    <row r="351" spans="1:12" ht="30" customHeight="1">
      <c r="A351" s="172" t="str">
        <f t="shared" si="10"/>
        <v>14/07/20234</v>
      </c>
      <c r="B351" s="166">
        <f t="shared" si="11"/>
        <v>4</v>
      </c>
      <c r="C351" s="63" t="s">
        <v>1632</v>
      </c>
      <c r="D351" s="64" t="s">
        <v>1637</v>
      </c>
      <c r="E351" s="63">
        <v>3</v>
      </c>
      <c r="F351" s="63" t="s">
        <v>283</v>
      </c>
      <c r="G351" s="65">
        <v>45121</v>
      </c>
      <c r="H351" s="65" t="s">
        <v>76</v>
      </c>
      <c r="I351" s="65" t="s">
        <v>1484</v>
      </c>
      <c r="J351" s="63" t="s">
        <v>1341</v>
      </c>
      <c r="K351" s="63" t="s">
        <v>792</v>
      </c>
      <c r="L351" s="63" t="s">
        <v>1638</v>
      </c>
    </row>
    <row r="352" spans="1:12" ht="30" customHeight="1">
      <c r="A352" s="172" t="str">
        <f t="shared" si="10"/>
        <v>14/07/20235</v>
      </c>
      <c r="B352" s="166">
        <f t="shared" si="11"/>
        <v>5</v>
      </c>
      <c r="C352" s="63" t="s">
        <v>1559</v>
      </c>
      <c r="D352" s="64" t="s">
        <v>1560</v>
      </c>
      <c r="E352" s="63">
        <v>4</v>
      </c>
      <c r="F352" s="63" t="s">
        <v>29</v>
      </c>
      <c r="G352" s="65">
        <v>45121</v>
      </c>
      <c r="H352" s="65" t="s">
        <v>1442</v>
      </c>
      <c r="I352" s="65" t="s">
        <v>1616</v>
      </c>
      <c r="J352" s="63" t="str">
        <f>IFERROR(VLOOKUP(I352,Jueces!$A$1:$B$13,2,FALSE),"")</f>
        <v>JUI 5</v>
      </c>
      <c r="K352" s="63" t="s">
        <v>806</v>
      </c>
      <c r="L352" s="63" t="s">
        <v>695</v>
      </c>
    </row>
    <row r="353" spans="1:12" ht="30" customHeight="1">
      <c r="A353" s="172" t="str">
        <f t="shared" si="10"/>
        <v>14/07/20236</v>
      </c>
      <c r="B353" s="166">
        <f t="shared" si="11"/>
        <v>6</v>
      </c>
      <c r="C353" s="63" t="s">
        <v>1590</v>
      </c>
      <c r="D353" s="64" t="s">
        <v>1591</v>
      </c>
      <c r="E353" s="63">
        <v>3</v>
      </c>
      <c r="F353" s="63" t="s">
        <v>1434</v>
      </c>
      <c r="G353" s="65">
        <v>45121</v>
      </c>
      <c r="H353" s="65" t="s">
        <v>1442</v>
      </c>
      <c r="I353" s="65" t="s">
        <v>1484</v>
      </c>
      <c r="J353" s="63" t="s">
        <v>1341</v>
      </c>
      <c r="K353" s="63" t="s">
        <v>1825</v>
      </c>
      <c r="L353" s="63" t="s">
        <v>694</v>
      </c>
    </row>
    <row r="354" spans="1:12" ht="30" customHeight="1">
      <c r="A354" s="172" t="str">
        <f t="shared" si="10"/>
        <v>14/07/20237</v>
      </c>
      <c r="B354" s="166">
        <f t="shared" si="11"/>
        <v>7</v>
      </c>
      <c r="C354" s="63" t="s">
        <v>1589</v>
      </c>
      <c r="D354" s="64" t="s">
        <v>1613</v>
      </c>
      <c r="E354" s="63">
        <v>3</v>
      </c>
      <c r="F354" s="63" t="s">
        <v>568</v>
      </c>
      <c r="G354" s="65">
        <v>45121</v>
      </c>
      <c r="H354" s="65" t="s">
        <v>547</v>
      </c>
      <c r="I354" s="65" t="s">
        <v>1484</v>
      </c>
      <c r="J354" s="63" t="s">
        <v>1341</v>
      </c>
      <c r="K354" s="63" t="s">
        <v>807</v>
      </c>
      <c r="L354" s="63" t="s">
        <v>693</v>
      </c>
    </row>
    <row r="355" spans="1:12" ht="30" customHeight="1">
      <c r="A355" s="172" t="str">
        <f t="shared" si="10"/>
        <v>17/07/20231</v>
      </c>
      <c r="B355" s="166">
        <f t="shared" si="11"/>
        <v>1</v>
      </c>
      <c r="C355" s="63" t="s">
        <v>1586</v>
      </c>
      <c r="D355" s="64" t="s">
        <v>1837</v>
      </c>
      <c r="E355" s="63">
        <v>4</v>
      </c>
      <c r="F355" s="63" t="s">
        <v>283</v>
      </c>
      <c r="G355" s="65">
        <v>45124</v>
      </c>
      <c r="H355" s="65" t="s">
        <v>76</v>
      </c>
      <c r="I355" s="65" t="s">
        <v>1680</v>
      </c>
      <c r="J355" s="63" t="s">
        <v>1683</v>
      </c>
      <c r="K355" s="63" t="s">
        <v>805</v>
      </c>
      <c r="L355" s="63" t="s">
        <v>695</v>
      </c>
    </row>
    <row r="356" spans="1:12" ht="30" customHeight="1">
      <c r="A356" s="172" t="str">
        <f t="shared" si="10"/>
        <v>17/07/20232</v>
      </c>
      <c r="B356" s="166">
        <f t="shared" si="11"/>
        <v>2</v>
      </c>
      <c r="C356" s="63" t="s">
        <v>1634</v>
      </c>
      <c r="D356" s="64" t="s">
        <v>1636</v>
      </c>
      <c r="E356" s="63">
        <v>3</v>
      </c>
      <c r="F356" s="63" t="s">
        <v>1433</v>
      </c>
      <c r="G356" s="65">
        <v>45124</v>
      </c>
      <c r="H356" s="65" t="s">
        <v>76</v>
      </c>
      <c r="I356" s="65" t="s">
        <v>1723</v>
      </c>
      <c r="J356" s="63" t="s">
        <v>1341</v>
      </c>
      <c r="K356" s="63" t="s">
        <v>808</v>
      </c>
      <c r="L356" s="63" t="s">
        <v>694</v>
      </c>
    </row>
    <row r="357" spans="1:12" ht="30" customHeight="1">
      <c r="A357" s="172" t="str">
        <f t="shared" si="10"/>
        <v>17/07/20233</v>
      </c>
      <c r="B357" s="166">
        <f t="shared" si="11"/>
        <v>3</v>
      </c>
      <c r="C357" s="63" t="s">
        <v>1629</v>
      </c>
      <c r="D357" s="64" t="s">
        <v>1679</v>
      </c>
      <c r="E357" s="63">
        <v>3</v>
      </c>
      <c r="F357" s="63" t="s">
        <v>1435</v>
      </c>
      <c r="G357" s="65">
        <v>45124</v>
      </c>
      <c r="H357" s="65" t="s">
        <v>76</v>
      </c>
      <c r="I357" s="65" t="s">
        <v>31</v>
      </c>
      <c r="J357" s="63">
        <f>IFERROR(VLOOKUP(I357,Jueces!$A$1:$B$11,2,FALSE),"")</f>
        <v>2</v>
      </c>
      <c r="K357" s="63" t="s">
        <v>796</v>
      </c>
      <c r="L357" s="63" t="s">
        <v>782</v>
      </c>
    </row>
    <row r="358" spans="1:12" ht="30" customHeight="1">
      <c r="A358" s="172" t="str">
        <f t="shared" si="10"/>
        <v>17/07/20234</v>
      </c>
      <c r="B358" s="166">
        <f t="shared" si="11"/>
        <v>4</v>
      </c>
      <c r="C358" s="63" t="s">
        <v>1712</v>
      </c>
      <c r="D358" s="64" t="s">
        <v>1585</v>
      </c>
      <c r="E358" s="63">
        <v>4</v>
      </c>
      <c r="F358" s="63" t="s">
        <v>1654</v>
      </c>
      <c r="G358" s="65">
        <v>45124</v>
      </c>
      <c r="H358" s="65" t="s">
        <v>1442</v>
      </c>
      <c r="I358" s="65" t="s">
        <v>1723</v>
      </c>
      <c r="J358" s="63" t="s">
        <v>1341</v>
      </c>
      <c r="K358" s="63" t="s">
        <v>811</v>
      </c>
      <c r="L358" s="63" t="s">
        <v>695</v>
      </c>
    </row>
    <row r="359" spans="1:12" ht="30" customHeight="1">
      <c r="A359" s="172" t="str">
        <f t="shared" si="10"/>
        <v>17/07/20235</v>
      </c>
      <c r="B359" s="166">
        <f t="shared" si="11"/>
        <v>5</v>
      </c>
      <c r="C359" s="63" t="s">
        <v>1587</v>
      </c>
      <c r="D359" s="64" t="s">
        <v>1635</v>
      </c>
      <c r="E359" s="63">
        <v>4</v>
      </c>
      <c r="F359" s="63" t="s">
        <v>1652</v>
      </c>
      <c r="G359" s="65">
        <v>45124</v>
      </c>
      <c r="H359" s="65" t="s">
        <v>547</v>
      </c>
      <c r="I359" s="65" t="s">
        <v>1616</v>
      </c>
      <c r="J359" s="63" t="s">
        <v>1483</v>
      </c>
      <c r="K359" s="63" t="s">
        <v>808</v>
      </c>
      <c r="L359" s="63" t="s">
        <v>783</v>
      </c>
    </row>
    <row r="360" spans="1:12" ht="30" customHeight="1">
      <c r="A360" s="172" t="str">
        <f t="shared" si="10"/>
        <v>18/07/20231</v>
      </c>
      <c r="B360" s="166">
        <f t="shared" si="11"/>
        <v>1</v>
      </c>
      <c r="C360" s="63" t="s">
        <v>1686</v>
      </c>
      <c r="D360" s="64" t="s">
        <v>1695</v>
      </c>
      <c r="E360" s="63">
        <v>4</v>
      </c>
      <c r="F360" s="63" t="s">
        <v>1435</v>
      </c>
      <c r="G360" s="65">
        <v>45125</v>
      </c>
      <c r="H360" s="65" t="s">
        <v>76</v>
      </c>
      <c r="I360" s="65" t="s">
        <v>1723</v>
      </c>
      <c r="J360" s="63" t="s">
        <v>1321</v>
      </c>
      <c r="K360" s="63" t="s">
        <v>805</v>
      </c>
      <c r="L360" s="63" t="s">
        <v>695</v>
      </c>
    </row>
    <row r="361" spans="1:12" ht="30" customHeight="1">
      <c r="A361" s="172" t="str">
        <f t="shared" si="10"/>
        <v>18/07/20232</v>
      </c>
      <c r="B361" s="166">
        <f t="shared" si="11"/>
        <v>2</v>
      </c>
      <c r="C361" s="63" t="s">
        <v>1688</v>
      </c>
      <c r="D361" s="64" t="s">
        <v>1703</v>
      </c>
      <c r="E361" s="63">
        <v>4</v>
      </c>
      <c r="F361" s="63" t="s">
        <v>1654</v>
      </c>
      <c r="G361" s="65">
        <v>45125</v>
      </c>
      <c r="H361" s="65" t="s">
        <v>76</v>
      </c>
      <c r="I361" s="65" t="s">
        <v>31</v>
      </c>
      <c r="J361" s="63">
        <f>IFERROR(VLOOKUP(I361,Jueces!$A$1:$B$11,2,FALSE),"")</f>
        <v>2</v>
      </c>
      <c r="K361" s="63" t="s">
        <v>810</v>
      </c>
      <c r="L361" s="63" t="s">
        <v>1852</v>
      </c>
    </row>
    <row r="362" spans="1:12" ht="30" customHeight="1">
      <c r="A362" s="172" t="str">
        <f t="shared" si="10"/>
        <v>18/07/20233</v>
      </c>
      <c r="B362" s="166">
        <f t="shared" si="11"/>
        <v>3</v>
      </c>
      <c r="C362" s="63" t="s">
        <v>1691</v>
      </c>
      <c r="D362" s="64" t="s">
        <v>1868</v>
      </c>
      <c r="E362" s="63">
        <v>3</v>
      </c>
      <c r="F362" s="63" t="s">
        <v>1733</v>
      </c>
      <c r="G362" s="65">
        <v>45125</v>
      </c>
      <c r="H362" s="65" t="s">
        <v>76</v>
      </c>
      <c r="I362" s="65" t="s">
        <v>1616</v>
      </c>
      <c r="J362" s="63" t="s">
        <v>1483</v>
      </c>
      <c r="K362" s="63" t="s">
        <v>796</v>
      </c>
      <c r="L362" s="63" t="s">
        <v>693</v>
      </c>
    </row>
    <row r="363" spans="1:12" ht="30" customHeight="1">
      <c r="A363" s="172" t="str">
        <f t="shared" si="10"/>
        <v>18/07/20234</v>
      </c>
      <c r="B363" s="166">
        <f t="shared" si="11"/>
        <v>4</v>
      </c>
      <c r="C363" s="63" t="s">
        <v>1694</v>
      </c>
      <c r="D363" s="64" t="s">
        <v>1867</v>
      </c>
      <c r="E363" s="63">
        <v>3</v>
      </c>
      <c r="F363" s="63" t="s">
        <v>283</v>
      </c>
      <c r="G363" s="65">
        <v>45125</v>
      </c>
      <c r="H363" s="65" t="s">
        <v>1442</v>
      </c>
      <c r="I363" s="65" t="s">
        <v>1616</v>
      </c>
      <c r="J363" s="63" t="s">
        <v>1483</v>
      </c>
      <c r="K363" s="63" t="s">
        <v>801</v>
      </c>
      <c r="L363" s="63" t="s">
        <v>1702</v>
      </c>
    </row>
    <row r="364" spans="1:12" ht="30" customHeight="1">
      <c r="A364" s="172" t="str">
        <f t="shared" si="10"/>
        <v>18/07/20235</v>
      </c>
      <c r="B364" s="166">
        <f t="shared" si="11"/>
        <v>5</v>
      </c>
      <c r="C364" s="63" t="s">
        <v>1716</v>
      </c>
      <c r="D364" s="64" t="s">
        <v>1715</v>
      </c>
      <c r="E364" s="63">
        <v>4</v>
      </c>
      <c r="F364" s="63" t="s">
        <v>1652</v>
      </c>
      <c r="G364" s="65">
        <v>45125</v>
      </c>
      <c r="H364" s="65" t="s">
        <v>1755</v>
      </c>
      <c r="I364" s="65" t="s">
        <v>1723</v>
      </c>
      <c r="J364" s="63" t="s">
        <v>1341</v>
      </c>
      <c r="K364" s="63" t="s">
        <v>805</v>
      </c>
      <c r="L364" s="63" t="s">
        <v>695</v>
      </c>
    </row>
    <row r="365" spans="1:12" ht="30" customHeight="1">
      <c r="A365" s="172" t="str">
        <f t="shared" si="10"/>
        <v>19/07/20231</v>
      </c>
      <c r="B365" s="166">
        <f t="shared" si="11"/>
        <v>1</v>
      </c>
      <c r="C365" s="63" t="s">
        <v>1631</v>
      </c>
      <c r="D365" s="64" t="s">
        <v>1628</v>
      </c>
      <c r="E365" s="63">
        <v>6</v>
      </c>
      <c r="F365" s="63" t="s">
        <v>1433</v>
      </c>
      <c r="G365" s="65">
        <v>45126</v>
      </c>
      <c r="H365" s="65" t="s">
        <v>76</v>
      </c>
      <c r="I365" s="65" t="s">
        <v>1680</v>
      </c>
      <c r="J365" s="63" t="s">
        <v>1683</v>
      </c>
      <c r="K365" s="63" t="s">
        <v>791</v>
      </c>
      <c r="L365" s="63" t="s">
        <v>694</v>
      </c>
    </row>
    <row r="366" spans="1:12" ht="30" customHeight="1">
      <c r="A366" s="172" t="str">
        <f t="shared" si="10"/>
        <v>19/07/20232</v>
      </c>
      <c r="B366" s="166">
        <f t="shared" si="11"/>
        <v>2</v>
      </c>
      <c r="C366" s="63" t="s">
        <v>1722</v>
      </c>
      <c r="D366" s="64" t="s">
        <v>1704</v>
      </c>
      <c r="E366" s="63">
        <v>2</v>
      </c>
      <c r="F366" s="63" t="s">
        <v>283</v>
      </c>
      <c r="G366" s="65">
        <v>45126</v>
      </c>
      <c r="H366" s="65" t="s">
        <v>76</v>
      </c>
      <c r="I366" s="65" t="s">
        <v>1616</v>
      </c>
      <c r="J366" s="63" t="s">
        <v>1483</v>
      </c>
      <c r="K366" s="63" t="s">
        <v>326</v>
      </c>
      <c r="L366" s="63" t="s">
        <v>695</v>
      </c>
    </row>
    <row r="367" spans="1:12" ht="30" customHeight="1">
      <c r="A367" s="172" t="str">
        <f t="shared" si="10"/>
        <v>19/07/20233</v>
      </c>
      <c r="B367" s="166">
        <f t="shared" si="11"/>
        <v>3</v>
      </c>
      <c r="C367" s="63" t="s">
        <v>1724</v>
      </c>
      <c r="D367" s="64" t="s">
        <v>1721</v>
      </c>
      <c r="E367" s="63">
        <v>3</v>
      </c>
      <c r="F367" s="63" t="s">
        <v>1652</v>
      </c>
      <c r="G367" s="65">
        <v>45126</v>
      </c>
      <c r="H367" s="65" t="s">
        <v>76</v>
      </c>
      <c r="I367" s="65" t="s">
        <v>1723</v>
      </c>
      <c r="J367" s="63" t="s">
        <v>1341</v>
      </c>
      <c r="K367" s="63" t="s">
        <v>797</v>
      </c>
      <c r="L367" s="63" t="s">
        <v>693</v>
      </c>
    </row>
    <row r="368" spans="1:12" ht="30" customHeight="1">
      <c r="A368" s="172" t="str">
        <f t="shared" si="10"/>
        <v>19/07/20234</v>
      </c>
      <c r="B368" s="166">
        <f t="shared" si="11"/>
        <v>4</v>
      </c>
      <c r="C368" s="63" t="s">
        <v>1676</v>
      </c>
      <c r="D368" s="64" t="s">
        <v>1675</v>
      </c>
      <c r="E368" s="63">
        <v>4</v>
      </c>
      <c r="F368" s="63" t="s">
        <v>1733</v>
      </c>
      <c r="G368" s="65">
        <v>45126</v>
      </c>
      <c r="H368" s="65" t="s">
        <v>1442</v>
      </c>
      <c r="I368" s="65" t="s">
        <v>31</v>
      </c>
      <c r="J368" s="63">
        <f>IFERROR(VLOOKUP(I368,Jueces!$A$1:$B$11,2,FALSE),"")</f>
        <v>2</v>
      </c>
      <c r="K368" s="63" t="s">
        <v>803</v>
      </c>
      <c r="L368" s="63" t="s">
        <v>695</v>
      </c>
    </row>
    <row r="369" spans="1:12" ht="30" customHeight="1">
      <c r="A369" s="172" t="str">
        <f t="shared" si="10"/>
        <v>19/07/20235</v>
      </c>
      <c r="B369" s="166">
        <f t="shared" si="11"/>
        <v>5</v>
      </c>
      <c r="C369" s="63" t="s">
        <v>1672</v>
      </c>
      <c r="D369" s="64" t="s">
        <v>1670</v>
      </c>
      <c r="E369" s="63">
        <v>3</v>
      </c>
      <c r="F369" s="63" t="s">
        <v>1654</v>
      </c>
      <c r="G369" s="65">
        <v>45126</v>
      </c>
      <c r="H369" s="65" t="s">
        <v>547</v>
      </c>
      <c r="I369" s="65" t="s">
        <v>1723</v>
      </c>
      <c r="J369" s="63" t="s">
        <v>1341</v>
      </c>
      <c r="K369" s="63" t="s">
        <v>1067</v>
      </c>
      <c r="L369" s="63" t="s">
        <v>694</v>
      </c>
    </row>
    <row r="370" spans="1:12" ht="30" customHeight="1">
      <c r="A370" s="172" t="str">
        <f t="shared" si="10"/>
        <v>19/07/20236</v>
      </c>
      <c r="B370" s="166">
        <f t="shared" si="11"/>
        <v>6</v>
      </c>
      <c r="C370" s="63" t="s">
        <v>1713</v>
      </c>
      <c r="D370" s="64" t="s">
        <v>1714</v>
      </c>
      <c r="E370" s="63">
        <v>3</v>
      </c>
      <c r="F370" s="63" t="s">
        <v>1435</v>
      </c>
      <c r="G370" s="65">
        <v>45126</v>
      </c>
      <c r="H370" s="65" t="s">
        <v>547</v>
      </c>
      <c r="I370" s="65" t="s">
        <v>1616</v>
      </c>
      <c r="J370" s="63" t="s">
        <v>1483</v>
      </c>
      <c r="K370" s="63" t="s">
        <v>800</v>
      </c>
      <c r="L370" s="63" t="s">
        <v>693</v>
      </c>
    </row>
    <row r="371" spans="1:12" ht="30" customHeight="1">
      <c r="A371" s="172" t="str">
        <f t="shared" si="10"/>
        <v>20/07/20231</v>
      </c>
      <c r="B371" s="166">
        <f t="shared" si="11"/>
        <v>1</v>
      </c>
      <c r="C371" s="63" t="s">
        <v>604</v>
      </c>
      <c r="D371" s="64" t="s">
        <v>1942</v>
      </c>
      <c r="E371" s="63">
        <v>4</v>
      </c>
      <c r="F371" s="63" t="s">
        <v>1652</v>
      </c>
      <c r="G371" s="65">
        <v>45127</v>
      </c>
      <c r="H371" s="65" t="s">
        <v>76</v>
      </c>
      <c r="I371" s="65" t="s">
        <v>1680</v>
      </c>
      <c r="J371" s="63" t="s">
        <v>1683</v>
      </c>
      <c r="K371" s="63" t="s">
        <v>811</v>
      </c>
      <c r="L371" s="63" t="s">
        <v>783</v>
      </c>
    </row>
    <row r="372" spans="1:12" ht="30" customHeight="1">
      <c r="A372" s="172" t="str">
        <f t="shared" si="10"/>
        <v>20/07/20232</v>
      </c>
      <c r="B372" s="166">
        <f t="shared" si="11"/>
        <v>2</v>
      </c>
      <c r="C372" s="63" t="s">
        <v>1673</v>
      </c>
      <c r="D372" s="64" t="s">
        <v>1941</v>
      </c>
      <c r="E372" s="63">
        <v>3</v>
      </c>
      <c r="F372" s="63" t="s">
        <v>1435</v>
      </c>
      <c r="G372" s="65">
        <v>45127</v>
      </c>
      <c r="H372" s="65" t="s">
        <v>547</v>
      </c>
      <c r="I372" s="65" t="s">
        <v>31</v>
      </c>
      <c r="J372" s="63">
        <f>IFERROR(VLOOKUP(I372,Jueces!$A$1:$B$11,2,FALSE),"")</f>
        <v>2</v>
      </c>
      <c r="K372" s="63" t="s">
        <v>789</v>
      </c>
      <c r="L372" s="63" t="s">
        <v>694</v>
      </c>
    </row>
    <row r="373" spans="1:12" ht="30" customHeight="1">
      <c r="A373" s="172" t="str">
        <f t="shared" si="10"/>
        <v>20/07/20233</v>
      </c>
      <c r="B373" s="166">
        <f t="shared" si="11"/>
        <v>3</v>
      </c>
      <c r="C373" s="63" t="s">
        <v>1678</v>
      </c>
      <c r="D373" s="64" t="s">
        <v>1677</v>
      </c>
      <c r="E373" s="63">
        <v>4</v>
      </c>
      <c r="F373" s="63" t="s">
        <v>1654</v>
      </c>
      <c r="G373" s="65">
        <v>45127</v>
      </c>
      <c r="H373" s="65" t="s">
        <v>547</v>
      </c>
      <c r="I373" s="65" t="s">
        <v>1723</v>
      </c>
      <c r="J373" s="63" t="s">
        <v>1341</v>
      </c>
      <c r="K373" s="63" t="s">
        <v>811</v>
      </c>
      <c r="L373" s="63" t="s">
        <v>695</v>
      </c>
    </row>
    <row r="374" spans="1:12" ht="30" customHeight="1">
      <c r="A374" s="172" t="str">
        <f t="shared" si="10"/>
        <v>20/07/20234</v>
      </c>
      <c r="B374" s="166">
        <f t="shared" si="11"/>
        <v>4</v>
      </c>
      <c r="C374" s="63" t="s">
        <v>1717</v>
      </c>
      <c r="D374" s="64" t="s">
        <v>1901</v>
      </c>
      <c r="E374" s="63">
        <v>4</v>
      </c>
      <c r="F374" s="63" t="s">
        <v>1433</v>
      </c>
      <c r="G374" s="65">
        <v>45127</v>
      </c>
      <c r="H374" s="65" t="s">
        <v>1554</v>
      </c>
      <c r="I374" s="65" t="s">
        <v>1616</v>
      </c>
      <c r="J374" s="63" t="s">
        <v>1483</v>
      </c>
      <c r="K374" s="63" t="s">
        <v>806</v>
      </c>
      <c r="L374" s="63" t="s">
        <v>695</v>
      </c>
    </row>
    <row r="375" spans="1:12" ht="30" customHeight="1">
      <c r="A375" s="172" t="str">
        <f t="shared" si="10"/>
        <v>21/07/20231</v>
      </c>
      <c r="B375" s="166">
        <f t="shared" si="11"/>
        <v>1</v>
      </c>
      <c r="C375" s="63" t="s">
        <v>1727</v>
      </c>
      <c r="D375" s="64" t="s">
        <v>1940</v>
      </c>
      <c r="E375" s="63">
        <v>4</v>
      </c>
      <c r="F375" s="63" t="s">
        <v>1435</v>
      </c>
      <c r="G375" s="65">
        <v>45128</v>
      </c>
      <c r="H375" s="65" t="s">
        <v>76</v>
      </c>
      <c r="I375" s="65" t="s">
        <v>1723</v>
      </c>
      <c r="J375" s="63" t="s">
        <v>1341</v>
      </c>
      <c r="K375" s="63" t="s">
        <v>796</v>
      </c>
      <c r="L375" s="63" t="s">
        <v>1175</v>
      </c>
    </row>
    <row r="376" spans="1:12" ht="30" customHeight="1">
      <c r="A376" s="172" t="str">
        <f t="shared" si="10"/>
        <v>21/07/20232</v>
      </c>
      <c r="B376" s="166">
        <f t="shared" si="11"/>
        <v>2</v>
      </c>
      <c r="C376" s="63" t="s">
        <v>1726</v>
      </c>
      <c r="D376" s="64" t="s">
        <v>1939</v>
      </c>
      <c r="E376" s="63">
        <v>3</v>
      </c>
      <c r="F376" s="63" t="s">
        <v>283</v>
      </c>
      <c r="G376" s="65">
        <v>45128</v>
      </c>
      <c r="H376" s="65" t="s">
        <v>1442</v>
      </c>
      <c r="I376" s="65" t="s">
        <v>1680</v>
      </c>
      <c r="J376" s="63" t="s">
        <v>1683</v>
      </c>
      <c r="K376" s="63" t="s">
        <v>799</v>
      </c>
      <c r="L376" s="63" t="s">
        <v>694</v>
      </c>
    </row>
    <row r="377" spans="1:12" ht="30" customHeight="1">
      <c r="A377" s="172" t="str">
        <f t="shared" si="10"/>
        <v>21/07/20233</v>
      </c>
      <c r="B377" s="166">
        <f t="shared" si="11"/>
        <v>3</v>
      </c>
      <c r="C377" s="63" t="s">
        <v>1753</v>
      </c>
      <c r="D377" s="64" t="s">
        <v>1938</v>
      </c>
      <c r="E377" s="63">
        <v>4</v>
      </c>
      <c r="F377" s="63" t="s">
        <v>1654</v>
      </c>
      <c r="G377" s="65">
        <v>45128</v>
      </c>
      <c r="H377" s="65" t="s">
        <v>1442</v>
      </c>
      <c r="I377" s="65" t="s">
        <v>1723</v>
      </c>
      <c r="J377" s="63" t="s">
        <v>1341</v>
      </c>
      <c r="K377" s="63" t="s">
        <v>1067</v>
      </c>
      <c r="L377" s="63" t="s">
        <v>1754</v>
      </c>
    </row>
    <row r="378" spans="1:12" ht="30" customHeight="1">
      <c r="A378" s="172" t="str">
        <f t="shared" si="10"/>
        <v>21/07/20234</v>
      </c>
      <c r="B378" s="166">
        <f t="shared" si="11"/>
        <v>4</v>
      </c>
      <c r="C378" s="63" t="s">
        <v>1627</v>
      </c>
      <c r="D378" s="64" t="s">
        <v>1937</v>
      </c>
      <c r="E378" s="63">
        <v>4</v>
      </c>
      <c r="F378" s="63" t="s">
        <v>1733</v>
      </c>
      <c r="G378" s="65">
        <v>45128</v>
      </c>
      <c r="H378" s="65" t="s">
        <v>547</v>
      </c>
      <c r="I378" s="65" t="s">
        <v>31</v>
      </c>
      <c r="J378" s="63">
        <f>IFERROR(VLOOKUP(I378,Jueces!$A$1:$B$11,2,FALSE),"")</f>
        <v>2</v>
      </c>
      <c r="K378" s="63" t="s">
        <v>810</v>
      </c>
      <c r="L378" s="63" t="s">
        <v>695</v>
      </c>
    </row>
    <row r="379" spans="1:12" ht="30" customHeight="1">
      <c r="A379" s="172" t="str">
        <f t="shared" si="10"/>
        <v>21/07/20235</v>
      </c>
      <c r="B379" s="166">
        <f t="shared" si="11"/>
        <v>5</v>
      </c>
      <c r="C379" s="63" t="s">
        <v>1725</v>
      </c>
      <c r="D379" s="64" t="s">
        <v>1936</v>
      </c>
      <c r="E379" s="63">
        <v>4</v>
      </c>
      <c r="F379" s="63" t="s">
        <v>283</v>
      </c>
      <c r="G379" s="65">
        <v>45128</v>
      </c>
      <c r="H379" s="65" t="s">
        <v>547</v>
      </c>
      <c r="I379" s="65" t="s">
        <v>1723</v>
      </c>
      <c r="J379" s="63" t="s">
        <v>1341</v>
      </c>
      <c r="K379" s="63" t="s">
        <v>326</v>
      </c>
      <c r="L379" s="63" t="s">
        <v>695</v>
      </c>
    </row>
    <row r="380" spans="1:12" ht="30" customHeight="1">
      <c r="A380" s="172" t="str">
        <f t="shared" si="10"/>
        <v>21/07/20236</v>
      </c>
      <c r="B380" s="166">
        <f t="shared" si="11"/>
        <v>6</v>
      </c>
      <c r="C380" s="63" t="s">
        <v>1743</v>
      </c>
      <c r="D380" s="64" t="s">
        <v>1935</v>
      </c>
      <c r="E380" s="63">
        <v>4</v>
      </c>
      <c r="F380" s="63" t="s">
        <v>1652</v>
      </c>
      <c r="G380" s="65">
        <v>45128</v>
      </c>
      <c r="H380" s="65" t="s">
        <v>1554</v>
      </c>
      <c r="I380" s="65" t="s">
        <v>1616</v>
      </c>
      <c r="J380" s="63" t="s">
        <v>1483</v>
      </c>
      <c r="K380" s="63" t="s">
        <v>801</v>
      </c>
      <c r="L380" s="63"/>
    </row>
    <row r="381" spans="1:12" ht="30" customHeight="1">
      <c r="A381" s="172" t="str">
        <f t="shared" si="10"/>
        <v>21/07/20237</v>
      </c>
      <c r="B381" s="166">
        <f t="shared" si="11"/>
        <v>7</v>
      </c>
      <c r="C381" s="63" t="s">
        <v>1588</v>
      </c>
      <c r="D381" s="64" t="s">
        <v>1934</v>
      </c>
      <c r="E381" s="63">
        <v>4</v>
      </c>
      <c r="F381" s="63" t="s">
        <v>1433</v>
      </c>
      <c r="G381" s="65">
        <v>45128</v>
      </c>
      <c r="H381" s="65" t="s">
        <v>228</v>
      </c>
      <c r="I381" s="65" t="s">
        <v>1616</v>
      </c>
      <c r="J381" s="63" t="s">
        <v>1483</v>
      </c>
      <c r="K381" s="63" t="s">
        <v>803</v>
      </c>
      <c r="L381" s="63" t="s">
        <v>695</v>
      </c>
    </row>
    <row r="382" spans="1:12" ht="30" customHeight="1">
      <c r="A382" s="172" t="str">
        <f t="shared" si="10"/>
        <v>25/07/20231</v>
      </c>
      <c r="B382" s="166">
        <f t="shared" si="11"/>
        <v>1</v>
      </c>
      <c r="C382" s="63" t="s">
        <v>1761</v>
      </c>
      <c r="D382" s="64" t="s">
        <v>1762</v>
      </c>
      <c r="E382" s="63">
        <v>3</v>
      </c>
      <c r="F382" s="63" t="s">
        <v>32</v>
      </c>
      <c r="G382" s="65">
        <v>45132</v>
      </c>
      <c r="H382" s="65" t="s">
        <v>73</v>
      </c>
      <c r="I382" s="65" t="s">
        <v>35</v>
      </c>
      <c r="J382" s="63">
        <f>IFERROR(VLOOKUP(I382,Jueces!$A$1:$B$11,2,FALSE),"")</f>
        <v>3</v>
      </c>
      <c r="K382" s="63" t="s">
        <v>811</v>
      </c>
      <c r="L382" s="63" t="s">
        <v>694</v>
      </c>
    </row>
    <row r="383" spans="1:12" ht="30" customHeight="1">
      <c r="A383" s="172" t="str">
        <f t="shared" si="10"/>
        <v>25/07/20232</v>
      </c>
      <c r="B383" s="166">
        <f t="shared" si="11"/>
        <v>2</v>
      </c>
      <c r="C383" s="63" t="s">
        <v>1799</v>
      </c>
      <c r="D383" s="64" t="s">
        <v>1812</v>
      </c>
      <c r="E383" s="63">
        <v>2</v>
      </c>
      <c r="F383" s="63" t="s">
        <v>29</v>
      </c>
      <c r="G383" s="65">
        <v>45132</v>
      </c>
      <c r="H383" s="65" t="s">
        <v>73</v>
      </c>
      <c r="I383" s="65" t="s">
        <v>33</v>
      </c>
      <c r="J383" s="63">
        <f>IFERROR(VLOOKUP(I383,Jueces!$A$1:$B$11,2,FALSE),"")</f>
        <v>4</v>
      </c>
      <c r="K383" s="63" t="s">
        <v>326</v>
      </c>
      <c r="L383" s="63" t="s">
        <v>695</v>
      </c>
    </row>
    <row r="384" spans="1:12" ht="30" customHeight="1">
      <c r="A384" s="172" t="str">
        <f t="shared" si="10"/>
        <v>25/07/20233</v>
      </c>
      <c r="B384" s="166">
        <f t="shared" si="11"/>
        <v>3</v>
      </c>
      <c r="C384" s="63" t="s">
        <v>1856</v>
      </c>
      <c r="D384" s="64" t="s">
        <v>1855</v>
      </c>
      <c r="E384" s="63">
        <v>5</v>
      </c>
      <c r="F384" s="63" t="s">
        <v>43</v>
      </c>
      <c r="G384" s="65">
        <v>45132</v>
      </c>
      <c r="H384" s="65" t="s">
        <v>73</v>
      </c>
      <c r="I384" s="65" t="s">
        <v>1218</v>
      </c>
      <c r="J384" s="63" t="s">
        <v>1341</v>
      </c>
      <c r="K384" s="63" t="s">
        <v>810</v>
      </c>
      <c r="L384" s="63" t="s">
        <v>1866</v>
      </c>
    </row>
    <row r="385" spans="1:12" ht="30" customHeight="1">
      <c r="A385" s="172" t="str">
        <f t="shared" si="10"/>
        <v>25/07/20234</v>
      </c>
      <c r="B385" s="166">
        <f t="shared" si="11"/>
        <v>4</v>
      </c>
      <c r="C385" s="63" t="s">
        <v>1804</v>
      </c>
      <c r="D385" s="64" t="s">
        <v>1811</v>
      </c>
      <c r="E385" s="63">
        <v>4</v>
      </c>
      <c r="F385" s="63" t="s">
        <v>1435</v>
      </c>
      <c r="G385" s="65">
        <v>45132</v>
      </c>
      <c r="H385" s="65" t="s">
        <v>1083</v>
      </c>
      <c r="I385" s="65" t="s">
        <v>1221</v>
      </c>
      <c r="J385" s="63">
        <f>IFERROR(VLOOKUP(I385,Jueces!$A$1:$B$11,2,FALSE),"")</f>
        <v>6</v>
      </c>
      <c r="K385" s="63" t="s">
        <v>811</v>
      </c>
      <c r="L385" s="63" t="s">
        <v>695</v>
      </c>
    </row>
    <row r="386" spans="1:12" ht="30" customHeight="1">
      <c r="A386" s="172" t="str">
        <f t="shared" si="10"/>
        <v>25/07/20235</v>
      </c>
      <c r="B386" s="166">
        <f t="shared" si="11"/>
        <v>5</v>
      </c>
      <c r="C386" s="63" t="s">
        <v>1808</v>
      </c>
      <c r="D386" s="64" t="s">
        <v>1865</v>
      </c>
      <c r="E386" s="63">
        <v>4</v>
      </c>
      <c r="F386" s="63" t="s">
        <v>32</v>
      </c>
      <c r="G386" s="65">
        <v>45132</v>
      </c>
      <c r="H386" s="65" t="s">
        <v>1083</v>
      </c>
      <c r="I386" s="65" t="s">
        <v>33</v>
      </c>
      <c r="J386" s="63">
        <f>IFERROR(VLOOKUP(I386,Jueces!$A$1:$B$11,2,FALSE),"")</f>
        <v>4</v>
      </c>
      <c r="K386" s="63" t="s">
        <v>1067</v>
      </c>
      <c r="L386" s="63" t="s">
        <v>1844</v>
      </c>
    </row>
    <row r="387" spans="1:12" ht="30" customHeight="1">
      <c r="A387" s="172" t="str">
        <f t="shared" ref="A387:A450" si="12">CONCATENATE(TEXT($G387,"dd/mm/yyyy"),$B387)</f>
        <v>25/07/20236</v>
      </c>
      <c r="B387" s="166">
        <f t="shared" si="11"/>
        <v>6</v>
      </c>
      <c r="C387" s="63" t="s">
        <v>1802</v>
      </c>
      <c r="D387" s="64" t="s">
        <v>1801</v>
      </c>
      <c r="E387" s="63">
        <v>4</v>
      </c>
      <c r="F387" s="63" t="s">
        <v>568</v>
      </c>
      <c r="G387" s="65">
        <v>45132</v>
      </c>
      <c r="H387" s="65" t="s">
        <v>1083</v>
      </c>
      <c r="I387" s="65" t="s">
        <v>1217</v>
      </c>
      <c r="J387" s="63">
        <f>IFERROR(VLOOKUP(I387,Jueces!$A$1:$B$11,2,FALSE),"")</f>
        <v>7</v>
      </c>
      <c r="K387" s="63" t="s">
        <v>791</v>
      </c>
      <c r="L387" s="63" t="s">
        <v>1829</v>
      </c>
    </row>
    <row r="388" spans="1:12" ht="30" customHeight="1">
      <c r="A388" s="172" t="str">
        <f t="shared" si="12"/>
        <v>26/07/20231</v>
      </c>
      <c r="B388" s="166">
        <f t="shared" ref="B388:B451" si="13">IF($G388=$G387,$B387+1,1)</f>
        <v>1</v>
      </c>
      <c r="C388" s="63" t="s">
        <v>1759</v>
      </c>
      <c r="D388" s="64" t="s">
        <v>1760</v>
      </c>
      <c r="E388" s="63">
        <v>4</v>
      </c>
      <c r="F388" s="63" t="s">
        <v>43</v>
      </c>
      <c r="G388" s="65">
        <v>45133</v>
      </c>
      <c r="H388" s="65" t="s">
        <v>73</v>
      </c>
      <c r="I388" s="65" t="s">
        <v>31</v>
      </c>
      <c r="J388" s="63">
        <f>IFERROR(VLOOKUP(I388,Jueces!$A$1:$B$11,2,FALSE),"")</f>
        <v>2</v>
      </c>
      <c r="K388" s="63" t="s">
        <v>1963</v>
      </c>
      <c r="L388" s="63" t="s">
        <v>1829</v>
      </c>
    </row>
    <row r="389" spans="1:12" ht="30" customHeight="1">
      <c r="A389" s="172" t="str">
        <f t="shared" si="12"/>
        <v>26/07/20232</v>
      </c>
      <c r="B389" s="166">
        <f t="shared" si="13"/>
        <v>2</v>
      </c>
      <c r="C389" s="63" t="s">
        <v>1859</v>
      </c>
      <c r="D389" s="64" t="s">
        <v>1854</v>
      </c>
      <c r="E389" s="63">
        <v>2</v>
      </c>
      <c r="F389" s="63" t="s">
        <v>1434</v>
      </c>
      <c r="G389" s="65">
        <v>45133</v>
      </c>
      <c r="H389" s="65" t="s">
        <v>73</v>
      </c>
      <c r="I389" s="65" t="s">
        <v>1220</v>
      </c>
      <c r="J389" s="63" t="s">
        <v>1341</v>
      </c>
      <c r="K389" s="63" t="s">
        <v>811</v>
      </c>
      <c r="L389" s="63" t="s">
        <v>695</v>
      </c>
    </row>
    <row r="390" spans="1:12" ht="30" customHeight="1">
      <c r="A390" s="172" t="str">
        <f t="shared" si="12"/>
        <v>26/07/20233</v>
      </c>
      <c r="B390" s="166">
        <f t="shared" si="13"/>
        <v>3</v>
      </c>
      <c r="C390" s="63" t="s">
        <v>1871</v>
      </c>
      <c r="D390" s="64" t="s">
        <v>1875</v>
      </c>
      <c r="E390" s="63">
        <v>5</v>
      </c>
      <c r="F390" s="63" t="s">
        <v>568</v>
      </c>
      <c r="G390" s="65">
        <v>45133</v>
      </c>
      <c r="H390" s="65" t="s">
        <v>73</v>
      </c>
      <c r="I390" s="65" t="s">
        <v>78</v>
      </c>
      <c r="J390" s="63">
        <f>IFERROR(VLOOKUP(I390,Jueces!$A$1:$B$11,2,FALSE),"")</f>
        <v>8</v>
      </c>
      <c r="K390" s="63" t="s">
        <v>799</v>
      </c>
      <c r="L390" s="63" t="s">
        <v>1866</v>
      </c>
    </row>
    <row r="391" spans="1:12" ht="30" customHeight="1">
      <c r="A391" s="172" t="str">
        <f t="shared" si="12"/>
        <v>26/07/20234</v>
      </c>
      <c r="B391" s="166">
        <f t="shared" si="13"/>
        <v>4</v>
      </c>
      <c r="C391" s="63" t="s">
        <v>1864</v>
      </c>
      <c r="D391" s="64" t="s">
        <v>1968</v>
      </c>
      <c r="E391" s="63">
        <v>5</v>
      </c>
      <c r="F391" s="63" t="s">
        <v>1435</v>
      </c>
      <c r="G391" s="65">
        <v>45133</v>
      </c>
      <c r="H391" s="65" t="s">
        <v>1083</v>
      </c>
      <c r="I391" s="65" t="s">
        <v>31</v>
      </c>
      <c r="J391" s="63" t="s">
        <v>1916</v>
      </c>
      <c r="K391" s="63" t="s">
        <v>789</v>
      </c>
      <c r="L391" s="63" t="s">
        <v>1866</v>
      </c>
    </row>
    <row r="392" spans="1:12" ht="30" customHeight="1">
      <c r="A392" s="172" t="str">
        <f t="shared" si="12"/>
        <v>26/07/20235</v>
      </c>
      <c r="B392" s="166">
        <f t="shared" si="13"/>
        <v>5</v>
      </c>
      <c r="C392" s="63" t="s">
        <v>1807</v>
      </c>
      <c r="D392" s="64" t="s">
        <v>1800</v>
      </c>
      <c r="E392" s="63">
        <v>4</v>
      </c>
      <c r="F392" s="63" t="s">
        <v>283</v>
      </c>
      <c r="G392" s="65">
        <v>45133</v>
      </c>
      <c r="H392" s="65" t="s">
        <v>1206</v>
      </c>
      <c r="I392" s="65" t="s">
        <v>33</v>
      </c>
      <c r="J392" s="63">
        <f>IFERROR(VLOOKUP(I392,Jueces!$A$1:$B$11,2,FALSE),"")</f>
        <v>4</v>
      </c>
      <c r="K392" s="63" t="s">
        <v>810</v>
      </c>
      <c r="L392" s="63" t="s">
        <v>1960</v>
      </c>
    </row>
    <row r="393" spans="1:12" ht="30" customHeight="1">
      <c r="A393" s="172" t="str">
        <f t="shared" si="12"/>
        <v>26/07/20236</v>
      </c>
      <c r="B393" s="166">
        <f t="shared" si="13"/>
        <v>6</v>
      </c>
      <c r="C393" s="63" t="s">
        <v>1878</v>
      </c>
      <c r="D393" s="64" t="s">
        <v>1879</v>
      </c>
      <c r="E393" s="63">
        <v>4</v>
      </c>
      <c r="F393" s="63" t="s">
        <v>1433</v>
      </c>
      <c r="G393" s="65">
        <v>45133</v>
      </c>
      <c r="H393" s="65" t="s">
        <v>1206</v>
      </c>
      <c r="I393" s="65" t="s">
        <v>1217</v>
      </c>
      <c r="J393" s="63">
        <f>IFERROR(VLOOKUP(I393,Jueces!$A$1:$B$11,2,FALSE),"")</f>
        <v>7</v>
      </c>
      <c r="K393" s="63" t="s">
        <v>800</v>
      </c>
      <c r="L393" s="63" t="s">
        <v>695</v>
      </c>
    </row>
    <row r="394" spans="1:12" ht="30" customHeight="1">
      <c r="A394" s="172" t="str">
        <f t="shared" si="12"/>
        <v>27/07/20231</v>
      </c>
      <c r="B394" s="166">
        <f t="shared" si="13"/>
        <v>1</v>
      </c>
      <c r="C394" s="63" t="s">
        <v>1843</v>
      </c>
      <c r="D394" s="64" t="s">
        <v>2002</v>
      </c>
      <c r="E394" s="63">
        <v>3</v>
      </c>
      <c r="F394" s="63" t="s">
        <v>1435</v>
      </c>
      <c r="G394" s="65">
        <v>45134</v>
      </c>
      <c r="H394" s="65" t="s">
        <v>73</v>
      </c>
      <c r="I394" s="65" t="s">
        <v>78</v>
      </c>
      <c r="J394" s="63">
        <f>IFERROR(VLOOKUP(I394,Jueces!$A$1:$B$11,2,FALSE),"")</f>
        <v>8</v>
      </c>
      <c r="K394" s="63" t="s">
        <v>791</v>
      </c>
      <c r="L394" s="63" t="s">
        <v>694</v>
      </c>
    </row>
    <row r="395" spans="1:12" ht="30" customHeight="1">
      <c r="A395" s="172" t="str">
        <f t="shared" si="12"/>
        <v>27/07/20232</v>
      </c>
      <c r="B395" s="166">
        <f t="shared" si="13"/>
        <v>2</v>
      </c>
      <c r="C395" s="63" t="s">
        <v>1873</v>
      </c>
      <c r="D395" s="64" t="s">
        <v>2006</v>
      </c>
      <c r="E395" s="63">
        <v>4</v>
      </c>
      <c r="F395" s="63" t="s">
        <v>1433</v>
      </c>
      <c r="G395" s="65">
        <v>45134</v>
      </c>
      <c r="H395" s="65" t="s">
        <v>73</v>
      </c>
      <c r="I395" s="65" t="s">
        <v>31</v>
      </c>
      <c r="J395" s="63">
        <f>IFERROR(VLOOKUP(I395,Jueces!$A$1:$B$11,2,FALSE),"")</f>
        <v>2</v>
      </c>
      <c r="K395" s="63" t="s">
        <v>789</v>
      </c>
      <c r="L395" s="63" t="s">
        <v>695</v>
      </c>
    </row>
    <row r="396" spans="1:12" ht="30" customHeight="1">
      <c r="A396" s="172" t="str">
        <f t="shared" si="12"/>
        <v>27/07/20233</v>
      </c>
      <c r="B396" s="166">
        <f t="shared" si="13"/>
        <v>3</v>
      </c>
      <c r="C396" s="63" t="s">
        <v>1874</v>
      </c>
      <c r="D396" s="64" t="s">
        <v>2003</v>
      </c>
      <c r="E396" s="63">
        <v>5</v>
      </c>
      <c r="F396" s="63" t="s">
        <v>1434</v>
      </c>
      <c r="G396" s="65">
        <v>45134</v>
      </c>
      <c r="H396" s="65" t="s">
        <v>73</v>
      </c>
      <c r="I396" s="65" t="s">
        <v>35</v>
      </c>
      <c r="J396" s="63">
        <f>IFERROR(VLOOKUP(I396,Jueces!$A$1:$B$11,2,FALSE),"")</f>
        <v>3</v>
      </c>
      <c r="K396" s="63" t="s">
        <v>810</v>
      </c>
      <c r="L396" s="63" t="s">
        <v>1866</v>
      </c>
    </row>
    <row r="397" spans="1:12" ht="30" customHeight="1">
      <c r="A397" s="172" t="str">
        <f t="shared" si="12"/>
        <v>27/07/20234</v>
      </c>
      <c r="B397" s="166">
        <f t="shared" si="13"/>
        <v>4</v>
      </c>
      <c r="C397" s="63" t="s">
        <v>1876</v>
      </c>
      <c r="D397" s="64" t="s">
        <v>2004</v>
      </c>
      <c r="E397" s="63">
        <v>7</v>
      </c>
      <c r="F397" s="63" t="s">
        <v>32</v>
      </c>
      <c r="G397" s="65">
        <v>45134</v>
      </c>
      <c r="H397" s="65" t="s">
        <v>73</v>
      </c>
      <c r="I397" s="65" t="s">
        <v>33</v>
      </c>
      <c r="J397" s="63">
        <f>IFERROR(VLOOKUP(I397,Jueces!$A$1:$B$11,2,FALSE),"")</f>
        <v>4</v>
      </c>
      <c r="K397" s="63" t="s">
        <v>811</v>
      </c>
      <c r="L397" s="63" t="s">
        <v>1877</v>
      </c>
    </row>
    <row r="398" spans="1:12" ht="30" customHeight="1">
      <c r="A398" s="172" t="str">
        <f t="shared" si="12"/>
        <v>27/07/20235</v>
      </c>
      <c r="B398" s="166">
        <f t="shared" si="13"/>
        <v>5</v>
      </c>
      <c r="C398" s="63" t="s">
        <v>1920</v>
      </c>
      <c r="D398" s="64" t="s">
        <v>2005</v>
      </c>
      <c r="E398" s="63">
        <v>4</v>
      </c>
      <c r="F398" s="63" t="s">
        <v>29</v>
      </c>
      <c r="G398" s="65">
        <v>45134</v>
      </c>
      <c r="H398" s="65" t="s">
        <v>1083</v>
      </c>
      <c r="I398" s="65" t="s">
        <v>1219</v>
      </c>
      <c r="J398" s="63" t="s">
        <v>1916</v>
      </c>
      <c r="K398" s="63" t="s">
        <v>1992</v>
      </c>
      <c r="L398" s="63" t="s">
        <v>1991</v>
      </c>
    </row>
    <row r="399" spans="1:12" ht="30" customHeight="1">
      <c r="A399" s="172" t="str">
        <f t="shared" si="12"/>
        <v>28/07/20231</v>
      </c>
      <c r="B399" s="166">
        <f t="shared" si="13"/>
        <v>1</v>
      </c>
      <c r="C399" s="63" t="s">
        <v>1758</v>
      </c>
      <c r="D399" s="64" t="s">
        <v>2007</v>
      </c>
      <c r="E399" s="63">
        <v>3</v>
      </c>
      <c r="F399" s="63" t="s">
        <v>1433</v>
      </c>
      <c r="G399" s="65">
        <v>45135</v>
      </c>
      <c r="H399" s="65" t="s">
        <v>73</v>
      </c>
      <c r="I399" s="65" t="s">
        <v>1220</v>
      </c>
      <c r="J399" s="63" t="s">
        <v>1341</v>
      </c>
      <c r="K399" s="63" t="s">
        <v>802</v>
      </c>
      <c r="L399" s="63" t="s">
        <v>2022</v>
      </c>
    </row>
    <row r="400" spans="1:12" ht="30" customHeight="1">
      <c r="A400" s="172" t="str">
        <f t="shared" si="12"/>
        <v>28/07/20232</v>
      </c>
      <c r="B400" s="166">
        <f t="shared" si="13"/>
        <v>2</v>
      </c>
      <c r="C400" s="63" t="s">
        <v>1872</v>
      </c>
      <c r="D400" s="64" t="s">
        <v>2008</v>
      </c>
      <c r="E400" s="63">
        <v>2</v>
      </c>
      <c r="F400" s="63" t="s">
        <v>283</v>
      </c>
      <c r="G400" s="65">
        <v>45135</v>
      </c>
      <c r="H400" s="65" t="s">
        <v>73</v>
      </c>
      <c r="I400" s="65" t="s">
        <v>31</v>
      </c>
      <c r="J400" s="63">
        <f>IFERROR(VLOOKUP(I400,Jueces!$A$1:$B$11,2,FALSE),"")</f>
        <v>2</v>
      </c>
      <c r="K400" s="63" t="s">
        <v>811</v>
      </c>
      <c r="L400" s="63" t="s">
        <v>1829</v>
      </c>
    </row>
    <row r="401" spans="1:12" ht="30" customHeight="1">
      <c r="A401" s="172" t="str">
        <f t="shared" si="12"/>
        <v>28/07/20233</v>
      </c>
      <c r="B401" s="166">
        <f t="shared" si="13"/>
        <v>3</v>
      </c>
      <c r="C401" s="63" t="s">
        <v>1918</v>
      </c>
      <c r="D401" s="64" t="s">
        <v>2009</v>
      </c>
      <c r="E401" s="63">
        <v>5</v>
      </c>
      <c r="F401" s="63" t="s">
        <v>43</v>
      </c>
      <c r="G401" s="65">
        <v>45135</v>
      </c>
      <c r="H401" s="65" t="s">
        <v>73</v>
      </c>
      <c r="I401" s="65" t="s">
        <v>1221</v>
      </c>
      <c r="J401" s="63">
        <f>IFERROR(VLOOKUP(I401,Jueces!$A$1:$B$11,2,FALSE),"")</f>
        <v>6</v>
      </c>
      <c r="K401" s="63" t="s">
        <v>789</v>
      </c>
      <c r="L401" s="63" t="s">
        <v>1866</v>
      </c>
    </row>
    <row r="402" spans="1:12" ht="30" customHeight="1">
      <c r="A402" s="172" t="str">
        <f t="shared" si="12"/>
        <v>28/07/20234</v>
      </c>
      <c r="B402" s="166">
        <f t="shared" si="13"/>
        <v>4</v>
      </c>
      <c r="C402" s="63" t="s">
        <v>1863</v>
      </c>
      <c r="D402" s="64" t="s">
        <v>2010</v>
      </c>
      <c r="E402" s="63">
        <v>4</v>
      </c>
      <c r="F402" s="63" t="s">
        <v>1435</v>
      </c>
      <c r="G402" s="65">
        <v>45135</v>
      </c>
      <c r="H402" s="65" t="s">
        <v>1083</v>
      </c>
      <c r="I402" s="65" t="s">
        <v>1219</v>
      </c>
      <c r="J402" s="63" t="s">
        <v>1483</v>
      </c>
      <c r="K402" s="63" t="s">
        <v>811</v>
      </c>
      <c r="L402" s="63" t="s">
        <v>695</v>
      </c>
    </row>
    <row r="403" spans="1:12" ht="30" customHeight="1">
      <c r="A403" s="172" t="str">
        <f t="shared" si="12"/>
        <v>28/07/20235</v>
      </c>
      <c r="B403" s="166">
        <f t="shared" si="13"/>
        <v>5</v>
      </c>
      <c r="C403" s="63" t="s">
        <v>1897</v>
      </c>
      <c r="D403" s="64" t="s">
        <v>2060</v>
      </c>
      <c r="E403" s="63">
        <v>4</v>
      </c>
      <c r="F403" s="63" t="s">
        <v>1434</v>
      </c>
      <c r="G403" s="65">
        <v>45135</v>
      </c>
      <c r="H403" s="65" t="s">
        <v>1083</v>
      </c>
      <c r="I403" s="65" t="s">
        <v>1216</v>
      </c>
      <c r="J403" s="63" t="s">
        <v>1916</v>
      </c>
      <c r="K403" s="63" t="s">
        <v>810</v>
      </c>
      <c r="L403" s="63" t="s">
        <v>2013</v>
      </c>
    </row>
    <row r="404" spans="1:12" ht="30" customHeight="1">
      <c r="A404" s="172" t="str">
        <f t="shared" si="12"/>
        <v>28/07/20236</v>
      </c>
      <c r="B404" s="166">
        <f t="shared" si="13"/>
        <v>6</v>
      </c>
      <c r="C404" s="63" t="s">
        <v>1899</v>
      </c>
      <c r="D404" s="64" t="s">
        <v>2059</v>
      </c>
      <c r="E404" s="63">
        <v>3</v>
      </c>
      <c r="F404" s="63" t="s">
        <v>568</v>
      </c>
      <c r="G404" s="65">
        <v>45135</v>
      </c>
      <c r="H404" s="65" t="s">
        <v>1083</v>
      </c>
      <c r="I404" s="65" t="s">
        <v>1217</v>
      </c>
      <c r="J404" s="63">
        <f>IFERROR(VLOOKUP(I404,Jueces!$A$1:$B$11,2,FALSE),"")</f>
        <v>7</v>
      </c>
      <c r="K404" s="63" t="s">
        <v>508</v>
      </c>
      <c r="L404" s="63" t="s">
        <v>1829</v>
      </c>
    </row>
    <row r="405" spans="1:12" ht="30" customHeight="1">
      <c r="A405" s="172" t="str">
        <f t="shared" si="12"/>
        <v>31/07/20231</v>
      </c>
      <c r="B405" s="166">
        <f t="shared" si="13"/>
        <v>1</v>
      </c>
      <c r="C405" s="63" t="s">
        <v>1689</v>
      </c>
      <c r="D405" s="64" t="s">
        <v>1690</v>
      </c>
      <c r="E405" s="63">
        <v>4</v>
      </c>
      <c r="F405" s="63" t="s">
        <v>1433</v>
      </c>
      <c r="G405" s="65">
        <v>45138</v>
      </c>
      <c r="H405" s="65" t="s">
        <v>73</v>
      </c>
      <c r="I405" s="65" t="s">
        <v>31</v>
      </c>
      <c r="J405" s="63">
        <f>IFERROR(VLOOKUP(I405,Jueces!$A$1:$B$11,2,FALSE),"")</f>
        <v>2</v>
      </c>
      <c r="K405" s="63" t="s">
        <v>802</v>
      </c>
      <c r="L405" s="63" t="s">
        <v>695</v>
      </c>
    </row>
    <row r="406" spans="1:12" ht="30" customHeight="1">
      <c r="A406" s="172" t="str">
        <f t="shared" si="12"/>
        <v>31/07/20232</v>
      </c>
      <c r="B406" s="166">
        <f t="shared" si="13"/>
        <v>2</v>
      </c>
      <c r="C406" s="63" t="s">
        <v>1840</v>
      </c>
      <c r="D406" s="64" t="s">
        <v>1839</v>
      </c>
      <c r="E406" s="63">
        <v>3</v>
      </c>
      <c r="F406" s="63" t="s">
        <v>32</v>
      </c>
      <c r="G406" s="65">
        <v>45138</v>
      </c>
      <c r="H406" s="65" t="s">
        <v>73</v>
      </c>
      <c r="I406" s="65" t="s">
        <v>1219</v>
      </c>
      <c r="J406" s="63" t="s">
        <v>1341</v>
      </c>
      <c r="K406" s="63" t="s">
        <v>797</v>
      </c>
      <c r="L406" s="63" t="s">
        <v>2036</v>
      </c>
    </row>
    <row r="407" spans="1:12" ht="30" customHeight="1">
      <c r="A407" s="172" t="str">
        <f t="shared" si="12"/>
        <v>31/07/20233</v>
      </c>
      <c r="B407" s="166">
        <f t="shared" si="13"/>
        <v>3</v>
      </c>
      <c r="C407" s="63" t="s">
        <v>1898</v>
      </c>
      <c r="D407" s="64" t="s">
        <v>1921</v>
      </c>
      <c r="E407" s="63">
        <v>5</v>
      </c>
      <c r="F407" s="63" t="s">
        <v>283</v>
      </c>
      <c r="G407" s="65">
        <v>45138</v>
      </c>
      <c r="H407" s="65" t="s">
        <v>73</v>
      </c>
      <c r="I407" s="65" t="s">
        <v>35</v>
      </c>
      <c r="J407" s="63">
        <f>IFERROR(VLOOKUP(I407,Jueces!$A$1:$B$11,2,FALSE),"")</f>
        <v>3</v>
      </c>
      <c r="K407" s="63" t="s">
        <v>807</v>
      </c>
      <c r="L407" s="63" t="s">
        <v>1866</v>
      </c>
    </row>
    <row r="408" spans="1:12" ht="30" customHeight="1">
      <c r="A408" s="172" t="str">
        <f t="shared" si="12"/>
        <v>31/07/20234</v>
      </c>
      <c r="B408" s="166">
        <f t="shared" si="13"/>
        <v>4</v>
      </c>
      <c r="C408" s="63" t="s">
        <v>1919</v>
      </c>
      <c r="D408" s="64" t="s">
        <v>2061</v>
      </c>
      <c r="E408" s="63">
        <v>4</v>
      </c>
      <c r="F408" s="63" t="s">
        <v>29</v>
      </c>
      <c r="G408" s="65">
        <v>45138</v>
      </c>
      <c r="H408" s="65" t="s">
        <v>73</v>
      </c>
      <c r="I408" s="65" t="s">
        <v>78</v>
      </c>
      <c r="J408" s="63">
        <f>IFERROR(VLOOKUP(I408,Jueces!$A$1:$B$11,2,FALSE),"")</f>
        <v>8</v>
      </c>
      <c r="K408" s="63" t="s">
        <v>792</v>
      </c>
      <c r="L408" s="63" t="s">
        <v>1829</v>
      </c>
    </row>
    <row r="409" spans="1:12" ht="30" customHeight="1">
      <c r="A409" s="172" t="str">
        <f t="shared" si="12"/>
        <v>31/07/20235</v>
      </c>
      <c r="B409" s="166">
        <f t="shared" si="13"/>
        <v>5</v>
      </c>
      <c r="C409" s="63" t="s">
        <v>1900</v>
      </c>
      <c r="D409" s="64" t="s">
        <v>1896</v>
      </c>
      <c r="E409" s="63">
        <v>2</v>
      </c>
      <c r="F409" s="63" t="s">
        <v>43</v>
      </c>
      <c r="G409" s="65">
        <v>45138</v>
      </c>
      <c r="H409" s="65" t="s">
        <v>1083</v>
      </c>
      <c r="I409" s="65" t="s">
        <v>1217</v>
      </c>
      <c r="J409" s="63">
        <f>IFERROR(VLOOKUP(I409,Jueces!$A$1:$B$11,2,FALSE),"")</f>
        <v>7</v>
      </c>
      <c r="K409" s="63" t="s">
        <v>800</v>
      </c>
      <c r="L409" s="193" t="s">
        <v>695</v>
      </c>
    </row>
    <row r="410" spans="1:12" ht="30" customHeight="1">
      <c r="A410" s="172" t="str">
        <f t="shared" si="12"/>
        <v>31/07/20236</v>
      </c>
      <c r="B410" s="166">
        <f t="shared" si="13"/>
        <v>6</v>
      </c>
      <c r="C410" s="63" t="s">
        <v>1927</v>
      </c>
      <c r="D410" s="64" t="s">
        <v>1928</v>
      </c>
      <c r="E410" s="63">
        <v>5</v>
      </c>
      <c r="F410" s="63" t="s">
        <v>1434</v>
      </c>
      <c r="G410" s="65">
        <v>45138</v>
      </c>
      <c r="H410" s="65" t="s">
        <v>1083</v>
      </c>
      <c r="I410" s="65" t="s">
        <v>1220</v>
      </c>
      <c r="J410" s="63" t="s">
        <v>1321</v>
      </c>
      <c r="K410" s="63" t="s">
        <v>791</v>
      </c>
      <c r="L410" s="63" t="s">
        <v>1866</v>
      </c>
    </row>
    <row r="411" spans="1:12" ht="30" customHeight="1">
      <c r="A411" s="172" t="str">
        <f t="shared" si="12"/>
        <v>31/07/20237</v>
      </c>
      <c r="B411" s="166">
        <f t="shared" si="13"/>
        <v>7</v>
      </c>
      <c r="C411" s="63" t="s">
        <v>1931</v>
      </c>
      <c r="D411" s="64" t="s">
        <v>2058</v>
      </c>
      <c r="E411" s="63">
        <v>4</v>
      </c>
      <c r="F411" s="63" t="s">
        <v>568</v>
      </c>
      <c r="G411" s="65">
        <v>45138</v>
      </c>
      <c r="H411" s="65" t="s">
        <v>1083</v>
      </c>
      <c r="I411" s="65" t="s">
        <v>35</v>
      </c>
      <c r="J411" s="63" t="s">
        <v>1512</v>
      </c>
      <c r="K411" s="63" t="s">
        <v>792</v>
      </c>
      <c r="L411" s="63" t="s">
        <v>1829</v>
      </c>
    </row>
    <row r="412" spans="1:12" ht="30" customHeight="1">
      <c r="A412" s="172" t="str">
        <f t="shared" si="12"/>
        <v>01/08/20231</v>
      </c>
      <c r="B412" s="166">
        <f t="shared" si="13"/>
        <v>1</v>
      </c>
      <c r="C412" s="63" t="s">
        <v>1809</v>
      </c>
      <c r="D412" s="64" t="s">
        <v>2114</v>
      </c>
      <c r="E412" s="63">
        <v>4</v>
      </c>
      <c r="F412" s="63" t="s">
        <v>43</v>
      </c>
      <c r="G412" s="65">
        <v>45139</v>
      </c>
      <c r="H412" s="65" t="s">
        <v>73</v>
      </c>
      <c r="I412" s="65" t="s">
        <v>1216</v>
      </c>
      <c r="J412" s="63">
        <f>IFERROR(VLOOKUP(I412,Jueces!$A$1:$B$11,2,FALSE),"")</f>
        <v>1</v>
      </c>
      <c r="K412" s="63" t="s">
        <v>803</v>
      </c>
      <c r="L412" s="63" t="s">
        <v>1960</v>
      </c>
    </row>
    <row r="413" spans="1:12" ht="30" customHeight="1">
      <c r="A413" s="172" t="str">
        <f t="shared" si="12"/>
        <v>01/08/20232</v>
      </c>
      <c r="B413" s="166">
        <f t="shared" si="13"/>
        <v>2</v>
      </c>
      <c r="C413" s="63" t="s">
        <v>1917</v>
      </c>
      <c r="D413" s="64" t="s">
        <v>2113</v>
      </c>
      <c r="E413" s="63">
        <v>4</v>
      </c>
      <c r="F413" s="63" t="s">
        <v>1434</v>
      </c>
      <c r="G413" s="65">
        <v>45139</v>
      </c>
      <c r="H413" s="65" t="s">
        <v>73</v>
      </c>
      <c r="I413" s="65" t="s">
        <v>31</v>
      </c>
      <c r="J413" s="63">
        <f>IFERROR(VLOOKUP(I413,Jueces!$A$1:$B$11,2,FALSE),"")</f>
        <v>2</v>
      </c>
      <c r="K413" s="63" t="s">
        <v>1693</v>
      </c>
      <c r="L413" s="63" t="s">
        <v>695</v>
      </c>
    </row>
    <row r="414" spans="1:12" ht="30" customHeight="1">
      <c r="A414" s="172" t="str">
        <f t="shared" si="12"/>
        <v>01/08/20233</v>
      </c>
      <c r="B414" s="166">
        <f t="shared" si="13"/>
        <v>3</v>
      </c>
      <c r="C414" s="63" t="s">
        <v>1806</v>
      </c>
      <c r="D414" s="64" t="s">
        <v>2112</v>
      </c>
      <c r="E414" s="63">
        <v>4</v>
      </c>
      <c r="F414" s="63" t="s">
        <v>1435</v>
      </c>
      <c r="G414" s="65">
        <v>45139</v>
      </c>
      <c r="H414" s="65" t="s">
        <v>1083</v>
      </c>
      <c r="I414" s="65" t="s">
        <v>33</v>
      </c>
      <c r="J414" s="63">
        <f>IFERROR(VLOOKUP(I414,Jueces!$A$1:$B$11,2,FALSE),"")</f>
        <v>4</v>
      </c>
      <c r="K414" s="63" t="s">
        <v>801</v>
      </c>
      <c r="L414" s="63" t="s">
        <v>1829</v>
      </c>
    </row>
    <row r="415" spans="1:12" ht="30" customHeight="1">
      <c r="A415" s="172" t="str">
        <f t="shared" si="12"/>
        <v>01/08/20234</v>
      </c>
      <c r="B415" s="166">
        <f t="shared" si="13"/>
        <v>4</v>
      </c>
      <c r="C415" s="63" t="s">
        <v>1803</v>
      </c>
      <c r="D415" s="64" t="s">
        <v>2111</v>
      </c>
      <c r="E415" s="63">
        <v>4</v>
      </c>
      <c r="F415" s="63" t="s">
        <v>29</v>
      </c>
      <c r="G415" s="65">
        <v>45139</v>
      </c>
      <c r="H415" s="65" t="s">
        <v>1083</v>
      </c>
      <c r="I415" s="65" t="s">
        <v>1220</v>
      </c>
      <c r="J415" s="63" t="s">
        <v>1321</v>
      </c>
      <c r="K415" s="63" t="s">
        <v>809</v>
      </c>
      <c r="L415" s="63" t="s">
        <v>695</v>
      </c>
    </row>
    <row r="416" spans="1:12" ht="30" customHeight="1">
      <c r="A416" s="172" t="str">
        <f t="shared" si="12"/>
        <v>01/08/20235</v>
      </c>
      <c r="B416" s="166">
        <f t="shared" si="13"/>
        <v>5</v>
      </c>
      <c r="C416" s="63" t="s">
        <v>1953</v>
      </c>
      <c r="D416" s="64" t="s">
        <v>2110</v>
      </c>
      <c r="E416" s="63">
        <v>4</v>
      </c>
      <c r="F416" s="63" t="s">
        <v>32</v>
      </c>
      <c r="G416" s="65">
        <v>45139</v>
      </c>
      <c r="H416" s="65" t="s">
        <v>1442</v>
      </c>
      <c r="I416" s="65" t="s">
        <v>1220</v>
      </c>
      <c r="J416" s="63" t="s">
        <v>1321</v>
      </c>
      <c r="K416" s="63" t="s">
        <v>809</v>
      </c>
      <c r="L416" s="63" t="s">
        <v>1829</v>
      </c>
    </row>
    <row r="417" spans="1:12" ht="30" customHeight="1">
      <c r="A417" s="172" t="str">
        <f t="shared" si="12"/>
        <v>02/08/20231</v>
      </c>
      <c r="B417" s="166">
        <f t="shared" si="13"/>
        <v>1</v>
      </c>
      <c r="C417" s="63" t="s">
        <v>1930</v>
      </c>
      <c r="D417" s="64" t="s">
        <v>2109</v>
      </c>
      <c r="E417" s="63">
        <v>4</v>
      </c>
      <c r="F417" s="63" t="s">
        <v>568</v>
      </c>
      <c r="G417" s="65">
        <v>45140</v>
      </c>
      <c r="H417" s="65" t="s">
        <v>73</v>
      </c>
      <c r="I417" s="65" t="s">
        <v>1216</v>
      </c>
      <c r="J417" s="63">
        <f>IFERROR(VLOOKUP(I417,Jueces!$A$1:$B$11,2,FALSE),"")</f>
        <v>1</v>
      </c>
      <c r="K417" s="63" t="s">
        <v>789</v>
      </c>
      <c r="L417" s="63" t="s">
        <v>2103</v>
      </c>
    </row>
    <row r="418" spans="1:12" ht="30" customHeight="1">
      <c r="A418" s="172" t="str">
        <f t="shared" si="12"/>
        <v>02/08/20232</v>
      </c>
      <c r="B418" s="166">
        <f t="shared" si="13"/>
        <v>2</v>
      </c>
      <c r="C418" s="63" t="s">
        <v>1950</v>
      </c>
      <c r="D418" s="64" t="s">
        <v>2108</v>
      </c>
      <c r="E418" s="63">
        <v>4</v>
      </c>
      <c r="F418" s="63" t="s">
        <v>29</v>
      </c>
      <c r="G418" s="65">
        <v>45140</v>
      </c>
      <c r="H418" s="65" t="s">
        <v>73</v>
      </c>
      <c r="I418" s="65" t="s">
        <v>33</v>
      </c>
      <c r="J418" s="63">
        <f>IFERROR(VLOOKUP(I418,Jueces!$A$1:$B$11,2,FALSE),"")</f>
        <v>4</v>
      </c>
      <c r="K418" s="63" t="s">
        <v>811</v>
      </c>
      <c r="L418" s="63" t="s">
        <v>695</v>
      </c>
    </row>
    <row r="419" spans="1:12" ht="30" customHeight="1">
      <c r="A419" s="172" t="str">
        <f t="shared" si="12"/>
        <v>02/08/20233</v>
      </c>
      <c r="B419" s="166">
        <f t="shared" si="13"/>
        <v>3</v>
      </c>
      <c r="C419" s="63" t="s">
        <v>1932</v>
      </c>
      <c r="D419" s="64" t="s">
        <v>1970</v>
      </c>
      <c r="E419" s="63">
        <v>4</v>
      </c>
      <c r="F419" s="63" t="s">
        <v>32</v>
      </c>
      <c r="G419" s="65">
        <v>45140</v>
      </c>
      <c r="H419" s="65" t="s">
        <v>73</v>
      </c>
      <c r="I419" s="65" t="s">
        <v>1218</v>
      </c>
      <c r="J419" s="63" t="s">
        <v>1512</v>
      </c>
      <c r="K419" s="63" t="s">
        <v>809</v>
      </c>
      <c r="L419" s="63" t="s">
        <v>1829</v>
      </c>
    </row>
    <row r="420" spans="1:12" ht="30" customHeight="1">
      <c r="A420" s="172" t="str">
        <f t="shared" si="12"/>
        <v>02/08/20234</v>
      </c>
      <c r="B420" s="166">
        <f t="shared" si="13"/>
        <v>4</v>
      </c>
      <c r="C420" s="63" t="s">
        <v>1954</v>
      </c>
      <c r="D420" s="64" t="s">
        <v>1955</v>
      </c>
      <c r="E420" s="63">
        <v>5</v>
      </c>
      <c r="F420" s="63" t="s">
        <v>1435</v>
      </c>
      <c r="G420" s="65">
        <v>45140</v>
      </c>
      <c r="H420" s="65" t="s">
        <v>73</v>
      </c>
      <c r="I420" s="65" t="s">
        <v>78</v>
      </c>
      <c r="J420" s="63">
        <f>IFERROR(VLOOKUP(I420,Jueces!$A$1:$B$11,2,FALSE),"")</f>
        <v>8</v>
      </c>
      <c r="K420" s="63" t="s">
        <v>1514</v>
      </c>
      <c r="L420" s="63" t="s">
        <v>1956</v>
      </c>
    </row>
    <row r="421" spans="1:12" ht="30" customHeight="1">
      <c r="A421" s="172" t="str">
        <f t="shared" si="12"/>
        <v>02/08/20235</v>
      </c>
      <c r="B421" s="166">
        <f t="shared" si="13"/>
        <v>5</v>
      </c>
      <c r="C421" s="63" t="s">
        <v>1949</v>
      </c>
      <c r="D421" s="64" t="s">
        <v>2030</v>
      </c>
      <c r="E421" s="63">
        <v>4</v>
      </c>
      <c r="F421" s="63" t="s">
        <v>1434</v>
      </c>
      <c r="G421" s="65">
        <v>45140</v>
      </c>
      <c r="H421" s="65" t="s">
        <v>1083</v>
      </c>
      <c r="I421" s="65" t="s">
        <v>33</v>
      </c>
      <c r="J421" s="63">
        <f>IFERROR(VLOOKUP(I421,Jueces!$A$1:$B$11,2,FALSE),"")</f>
        <v>4</v>
      </c>
      <c r="K421" s="63" t="s">
        <v>805</v>
      </c>
      <c r="L421" s="63" t="s">
        <v>2026</v>
      </c>
    </row>
    <row r="422" spans="1:12" ht="30" customHeight="1">
      <c r="A422" s="172" t="str">
        <f t="shared" si="12"/>
        <v>02/08/20236</v>
      </c>
      <c r="B422" s="166">
        <f t="shared" si="13"/>
        <v>6</v>
      </c>
      <c r="C422" s="63" t="s">
        <v>1743</v>
      </c>
      <c r="D422" s="64" t="s">
        <v>1980</v>
      </c>
      <c r="E422" s="63">
        <v>4</v>
      </c>
      <c r="F422" s="63" t="s">
        <v>283</v>
      </c>
      <c r="G422" s="65">
        <v>45140</v>
      </c>
      <c r="H422" s="65" t="s">
        <v>1083</v>
      </c>
      <c r="I422" s="65" t="s">
        <v>1219</v>
      </c>
      <c r="J422" s="63" t="s">
        <v>1341</v>
      </c>
      <c r="K422" s="63" t="s">
        <v>2092</v>
      </c>
      <c r="L422" s="63" t="s">
        <v>1981</v>
      </c>
    </row>
    <row r="423" spans="1:12" ht="30" customHeight="1">
      <c r="A423" s="172" t="str">
        <f t="shared" si="12"/>
        <v>03/08/20231</v>
      </c>
      <c r="B423" s="166">
        <f t="shared" si="13"/>
        <v>1</v>
      </c>
      <c r="C423" s="63" t="s">
        <v>1830</v>
      </c>
      <c r="D423" s="64" t="s">
        <v>1969</v>
      </c>
      <c r="E423" s="63">
        <v>4</v>
      </c>
      <c r="F423" s="63" t="s">
        <v>32</v>
      </c>
      <c r="G423" s="65">
        <v>45141</v>
      </c>
      <c r="H423" s="65" t="s">
        <v>73</v>
      </c>
      <c r="I423" s="65" t="s">
        <v>1219</v>
      </c>
      <c r="J423" s="63" t="s">
        <v>1321</v>
      </c>
      <c r="K423" s="63" t="s">
        <v>810</v>
      </c>
      <c r="L423" s="63" t="s">
        <v>1829</v>
      </c>
    </row>
    <row r="424" spans="1:12" ht="30" customHeight="1">
      <c r="A424" s="172" t="str">
        <f t="shared" si="12"/>
        <v>03/08/20232</v>
      </c>
      <c r="B424" s="166">
        <f t="shared" si="13"/>
        <v>2</v>
      </c>
      <c r="C424" s="63" t="s">
        <v>1857</v>
      </c>
      <c r="D424" s="64" t="s">
        <v>2125</v>
      </c>
      <c r="E424" s="63">
        <v>2</v>
      </c>
      <c r="F424" s="63" t="s">
        <v>1435</v>
      </c>
      <c r="G424" s="65">
        <v>45141</v>
      </c>
      <c r="H424" s="65" t="s">
        <v>73</v>
      </c>
      <c r="I424" s="65" t="s">
        <v>33</v>
      </c>
      <c r="J424" s="63">
        <f>IFERROR(VLOOKUP(I424,Jueces!$A$1:$B$11,2,FALSE),"")</f>
        <v>4</v>
      </c>
      <c r="K424" s="63" t="s">
        <v>803</v>
      </c>
      <c r="L424" s="63" t="s">
        <v>695</v>
      </c>
    </row>
    <row r="425" spans="1:12" ht="30" customHeight="1">
      <c r="A425" s="172" t="str">
        <f t="shared" si="12"/>
        <v>03/08/20233</v>
      </c>
      <c r="B425" s="166">
        <f t="shared" si="13"/>
        <v>3</v>
      </c>
      <c r="C425" s="63" t="s">
        <v>1999</v>
      </c>
      <c r="D425" s="64" t="s">
        <v>2000</v>
      </c>
      <c r="E425" s="63">
        <v>5</v>
      </c>
      <c r="F425" s="63" t="s">
        <v>1434</v>
      </c>
      <c r="G425" s="65">
        <v>45141</v>
      </c>
      <c r="H425" s="65" t="s">
        <v>73</v>
      </c>
      <c r="I425" s="65" t="s">
        <v>1216</v>
      </c>
      <c r="J425" s="63" t="s">
        <v>1916</v>
      </c>
      <c r="K425" s="63" t="s">
        <v>811</v>
      </c>
      <c r="L425" s="63" t="s">
        <v>1956</v>
      </c>
    </row>
    <row r="426" spans="1:12" ht="30" customHeight="1">
      <c r="A426" s="172" t="str">
        <f t="shared" si="12"/>
        <v>03/08/20234</v>
      </c>
      <c r="B426" s="166">
        <f t="shared" si="13"/>
        <v>4</v>
      </c>
      <c r="C426" s="63" t="s">
        <v>1948</v>
      </c>
      <c r="D426" s="64" t="s">
        <v>1971</v>
      </c>
      <c r="E426" s="63">
        <v>4</v>
      </c>
      <c r="F426" s="63" t="s">
        <v>283</v>
      </c>
      <c r="G426" s="65">
        <v>45141</v>
      </c>
      <c r="H426" s="65" t="s">
        <v>1083</v>
      </c>
      <c r="I426" s="65" t="s">
        <v>35</v>
      </c>
      <c r="J426" s="63">
        <f>IFERROR(VLOOKUP(I426,Jueces!$A$1:$B$11,2,FALSE),"")</f>
        <v>3</v>
      </c>
      <c r="K426" s="63" t="s">
        <v>806</v>
      </c>
      <c r="L426" s="63" t="s">
        <v>1829</v>
      </c>
    </row>
    <row r="427" spans="1:12" ht="30" customHeight="1">
      <c r="A427" s="172" t="str">
        <f t="shared" si="12"/>
        <v>03/08/20235</v>
      </c>
      <c r="B427" s="166">
        <f t="shared" si="13"/>
        <v>5</v>
      </c>
      <c r="C427" s="63" t="s">
        <v>2029</v>
      </c>
      <c r="D427" s="64" t="s">
        <v>2072</v>
      </c>
      <c r="E427" s="63">
        <v>5</v>
      </c>
      <c r="F427" s="63" t="s">
        <v>43</v>
      </c>
      <c r="G427" s="65">
        <v>45141</v>
      </c>
      <c r="H427" s="65" t="s">
        <v>1083</v>
      </c>
      <c r="I427" s="65" t="s">
        <v>1217</v>
      </c>
      <c r="J427" s="63">
        <f>IFERROR(VLOOKUP(I427,Jueces!$A$1:$B$11,2,FALSE),"")</f>
        <v>7</v>
      </c>
      <c r="K427" s="63" t="s">
        <v>789</v>
      </c>
      <c r="L427" s="63" t="s">
        <v>1956</v>
      </c>
    </row>
    <row r="428" spans="1:12" ht="30" customHeight="1">
      <c r="A428" s="172" t="str">
        <f t="shared" si="12"/>
        <v>03/08/20236</v>
      </c>
      <c r="B428" s="166">
        <f t="shared" si="13"/>
        <v>6</v>
      </c>
      <c r="C428" s="63" t="s">
        <v>2019</v>
      </c>
      <c r="D428" s="64" t="s">
        <v>2020</v>
      </c>
      <c r="E428" s="63">
        <v>5</v>
      </c>
      <c r="F428" s="63" t="s">
        <v>1435</v>
      </c>
      <c r="G428" s="65">
        <v>45141</v>
      </c>
      <c r="H428" s="65" t="s">
        <v>1442</v>
      </c>
      <c r="I428" s="65" t="s">
        <v>31</v>
      </c>
      <c r="J428" s="63" t="s">
        <v>1916</v>
      </c>
      <c r="K428" s="63" t="s">
        <v>569</v>
      </c>
      <c r="L428" s="63" t="s">
        <v>1684</v>
      </c>
    </row>
    <row r="429" spans="1:12" ht="30" customHeight="1">
      <c r="A429" s="172" t="str">
        <f t="shared" si="12"/>
        <v>04/08/20231</v>
      </c>
      <c r="B429" s="166">
        <f t="shared" si="13"/>
        <v>1</v>
      </c>
      <c r="C429" s="63" t="s">
        <v>1951</v>
      </c>
      <c r="D429" s="64" t="s">
        <v>2126</v>
      </c>
      <c r="E429" s="63">
        <v>4</v>
      </c>
      <c r="F429" s="63" t="s">
        <v>32</v>
      </c>
      <c r="G429" s="65">
        <v>45142</v>
      </c>
      <c r="H429" s="65" t="s">
        <v>73</v>
      </c>
      <c r="I429" s="65" t="s">
        <v>1219</v>
      </c>
      <c r="J429" s="63" t="s">
        <v>1341</v>
      </c>
      <c r="K429" s="63" t="s">
        <v>801</v>
      </c>
      <c r="L429" s="63" t="s">
        <v>1829</v>
      </c>
    </row>
    <row r="430" spans="1:12" ht="30" customHeight="1">
      <c r="A430" s="172" t="str">
        <f t="shared" si="12"/>
        <v>04/08/20232</v>
      </c>
      <c r="B430" s="166">
        <f t="shared" si="13"/>
        <v>2</v>
      </c>
      <c r="C430" s="63" t="s">
        <v>1987</v>
      </c>
      <c r="D430" s="64" t="s">
        <v>2127</v>
      </c>
      <c r="E430" s="63">
        <v>1</v>
      </c>
      <c r="F430" s="63" t="s">
        <v>29</v>
      </c>
      <c r="G430" s="65">
        <v>45142</v>
      </c>
      <c r="H430" s="65" t="s">
        <v>73</v>
      </c>
      <c r="I430" s="65" t="s">
        <v>1217</v>
      </c>
      <c r="J430" s="63">
        <f>IFERROR(VLOOKUP(I430,Jueces!$A$1:$B$11,2,FALSE),"")</f>
        <v>7</v>
      </c>
      <c r="K430" s="63" t="s">
        <v>582</v>
      </c>
      <c r="L430" s="63" t="s">
        <v>767</v>
      </c>
    </row>
    <row r="431" spans="1:12" ht="30" customHeight="1">
      <c r="A431" s="172" t="str">
        <f t="shared" si="12"/>
        <v>04/08/20233</v>
      </c>
      <c r="B431" s="166">
        <f t="shared" si="13"/>
        <v>3</v>
      </c>
      <c r="C431" s="63" t="s">
        <v>2023</v>
      </c>
      <c r="D431" s="64" t="s">
        <v>2128</v>
      </c>
      <c r="E431" s="63">
        <v>5</v>
      </c>
      <c r="F431" s="63" t="s">
        <v>1434</v>
      </c>
      <c r="G431" s="65">
        <v>45142</v>
      </c>
      <c r="H431" s="65" t="s">
        <v>73</v>
      </c>
      <c r="I431" s="65" t="s">
        <v>1218</v>
      </c>
      <c r="J431" s="63" t="s">
        <v>1321</v>
      </c>
      <c r="K431" s="63" t="s">
        <v>810</v>
      </c>
      <c r="L431" s="63" t="s">
        <v>1956</v>
      </c>
    </row>
    <row r="432" spans="1:12" ht="30" customHeight="1">
      <c r="A432" s="172" t="str">
        <f t="shared" si="12"/>
        <v>04/08/20234</v>
      </c>
      <c r="B432" s="166">
        <f t="shared" si="13"/>
        <v>4</v>
      </c>
      <c r="C432" s="63" t="s">
        <v>2039</v>
      </c>
      <c r="D432" s="64" t="s">
        <v>2129</v>
      </c>
      <c r="E432" s="63">
        <v>5</v>
      </c>
      <c r="F432" s="63" t="s">
        <v>43</v>
      </c>
      <c r="G432" s="65">
        <v>45142</v>
      </c>
      <c r="H432" s="65" t="s">
        <v>73</v>
      </c>
      <c r="I432" s="65" t="s">
        <v>35</v>
      </c>
      <c r="J432" s="63" t="s">
        <v>1512</v>
      </c>
      <c r="K432" s="63" t="s">
        <v>796</v>
      </c>
      <c r="L432" s="63" t="s">
        <v>1984</v>
      </c>
    </row>
    <row r="433" spans="1:12" ht="30" customHeight="1">
      <c r="A433" s="172" t="str">
        <f t="shared" si="12"/>
        <v>04/08/20235</v>
      </c>
      <c r="B433" s="166">
        <f t="shared" si="13"/>
        <v>5</v>
      </c>
      <c r="C433" s="63" t="s">
        <v>1978</v>
      </c>
      <c r="D433" s="64" t="s">
        <v>2130</v>
      </c>
      <c r="E433" s="63">
        <v>4</v>
      </c>
      <c r="F433" s="63" t="s">
        <v>1435</v>
      </c>
      <c r="G433" s="65">
        <v>45142</v>
      </c>
      <c r="H433" s="65" t="s">
        <v>1083</v>
      </c>
      <c r="I433" s="65" t="s">
        <v>1219</v>
      </c>
      <c r="J433" s="63" t="s">
        <v>1916</v>
      </c>
      <c r="K433" s="63" t="s">
        <v>1445</v>
      </c>
      <c r="L433" s="63" t="s">
        <v>1994</v>
      </c>
    </row>
    <row r="434" spans="1:12" ht="30" customHeight="1">
      <c r="A434" s="172" t="str">
        <f t="shared" si="12"/>
        <v>04/08/20236</v>
      </c>
      <c r="B434" s="166">
        <f t="shared" si="13"/>
        <v>6</v>
      </c>
      <c r="C434" s="63" t="s">
        <v>1993</v>
      </c>
      <c r="D434" s="64" t="s">
        <v>2131</v>
      </c>
      <c r="E434" s="63">
        <v>4</v>
      </c>
      <c r="F434" s="63" t="s">
        <v>1433</v>
      </c>
      <c r="G434" s="65">
        <v>45142</v>
      </c>
      <c r="H434" s="65" t="s">
        <v>1083</v>
      </c>
      <c r="I434" s="65" t="s">
        <v>78</v>
      </c>
      <c r="J434" s="63">
        <f>IFERROR(VLOOKUP(I434,Jueces!$A$1:$B$11,2,FALSE),"")</f>
        <v>8</v>
      </c>
      <c r="K434" s="63" t="s">
        <v>796</v>
      </c>
      <c r="L434" s="63" t="s">
        <v>1960</v>
      </c>
    </row>
    <row r="435" spans="1:12" ht="30" customHeight="1">
      <c r="A435" s="172" t="str">
        <f t="shared" si="12"/>
        <v>04/08/20237</v>
      </c>
      <c r="B435" s="166">
        <f t="shared" si="13"/>
        <v>7</v>
      </c>
      <c r="C435" s="63" t="s">
        <v>1979</v>
      </c>
      <c r="D435" s="64" t="s">
        <v>2132</v>
      </c>
      <c r="E435" s="63">
        <v>4</v>
      </c>
      <c r="F435" s="63" t="s">
        <v>568</v>
      </c>
      <c r="G435" s="65">
        <v>45142</v>
      </c>
      <c r="H435" s="65" t="s">
        <v>2011</v>
      </c>
      <c r="I435" s="65" t="s">
        <v>33</v>
      </c>
      <c r="J435" s="63">
        <f>IFERROR(VLOOKUP(I435,Jueces!$A$1:$B$11,2,FALSE),"")</f>
        <v>4</v>
      </c>
      <c r="K435" s="63" t="s">
        <v>796</v>
      </c>
      <c r="L435" s="63" t="s">
        <v>1829</v>
      </c>
    </row>
    <row r="436" spans="1:12" ht="30" customHeight="1">
      <c r="A436" s="172" t="str">
        <f t="shared" si="12"/>
        <v>07/08/20231</v>
      </c>
      <c r="B436" s="166">
        <f t="shared" si="13"/>
        <v>1</v>
      </c>
      <c r="C436" s="7" t="s">
        <v>1986</v>
      </c>
      <c r="D436" s="40" t="s">
        <v>1952</v>
      </c>
      <c r="E436" s="7">
        <v>2</v>
      </c>
      <c r="F436" s="7" t="s">
        <v>29</v>
      </c>
      <c r="G436" s="19">
        <v>45145</v>
      </c>
      <c r="H436" s="19" t="s">
        <v>73</v>
      </c>
      <c r="I436" s="19" t="s">
        <v>33</v>
      </c>
      <c r="J436" s="7">
        <v>4</v>
      </c>
      <c r="K436" s="7" t="s">
        <v>1067</v>
      </c>
      <c r="L436" s="7" t="s">
        <v>1976</v>
      </c>
    </row>
    <row r="437" spans="1:12" ht="30" customHeight="1">
      <c r="A437" s="172" t="str">
        <f t="shared" si="12"/>
        <v>07/08/20232</v>
      </c>
      <c r="B437" s="166">
        <f t="shared" si="13"/>
        <v>2</v>
      </c>
      <c r="C437" s="63" t="s">
        <v>2027</v>
      </c>
      <c r="D437" s="64" t="s">
        <v>2028</v>
      </c>
      <c r="E437" s="63">
        <v>5</v>
      </c>
      <c r="F437" s="63" t="s">
        <v>43</v>
      </c>
      <c r="G437" s="65">
        <v>45145</v>
      </c>
      <c r="H437" s="65" t="s">
        <v>73</v>
      </c>
      <c r="I437" s="65" t="s">
        <v>1216</v>
      </c>
      <c r="J437" s="63">
        <f>IFERROR(VLOOKUP(I437,Jueces!$A$1:$B$11,2,FALSE),"")</f>
        <v>1</v>
      </c>
      <c r="K437" s="63" t="s">
        <v>811</v>
      </c>
      <c r="L437" s="63" t="s">
        <v>1956</v>
      </c>
    </row>
    <row r="438" spans="1:12" ht="30" customHeight="1">
      <c r="A438" s="172" t="str">
        <f t="shared" si="12"/>
        <v>07/08/20233</v>
      </c>
      <c r="B438" s="166">
        <f t="shared" si="13"/>
        <v>3</v>
      </c>
      <c r="C438" s="63" t="s">
        <v>2040</v>
      </c>
      <c r="D438" s="64" t="s">
        <v>2041</v>
      </c>
      <c r="E438" s="63">
        <v>5</v>
      </c>
      <c r="F438" s="63" t="s">
        <v>568</v>
      </c>
      <c r="G438" s="65">
        <v>45145</v>
      </c>
      <c r="H438" s="65" t="s">
        <v>73</v>
      </c>
      <c r="I438" s="65" t="s">
        <v>1218</v>
      </c>
      <c r="J438" s="63" t="s">
        <v>1321</v>
      </c>
      <c r="K438" s="63" t="s">
        <v>810</v>
      </c>
      <c r="L438" s="63" t="s">
        <v>1866</v>
      </c>
    </row>
    <row r="439" spans="1:12" ht="30" customHeight="1">
      <c r="A439" s="172" t="str">
        <f t="shared" si="12"/>
        <v>07/08/20234</v>
      </c>
      <c r="B439" s="166">
        <f t="shared" si="13"/>
        <v>4</v>
      </c>
      <c r="C439" s="63" t="s">
        <v>2065</v>
      </c>
      <c r="D439" s="64" t="s">
        <v>2066</v>
      </c>
      <c r="E439" s="63">
        <v>5</v>
      </c>
      <c r="F439" s="63" t="s">
        <v>283</v>
      </c>
      <c r="G439" s="65">
        <v>45145</v>
      </c>
      <c r="H439" s="65" t="s">
        <v>73</v>
      </c>
      <c r="I439" s="65" t="s">
        <v>31</v>
      </c>
      <c r="J439" s="63">
        <f>IFERROR(VLOOKUP(I439,Jueces!$A$1:$B$11,2,FALSE),"")</f>
        <v>2</v>
      </c>
      <c r="K439" s="63" t="s">
        <v>806</v>
      </c>
      <c r="L439" s="63" t="s">
        <v>2067</v>
      </c>
    </row>
    <row r="440" spans="1:12" ht="30" customHeight="1">
      <c r="A440" s="172" t="str">
        <f t="shared" si="12"/>
        <v>07/08/20235</v>
      </c>
      <c r="B440" s="166">
        <f t="shared" si="13"/>
        <v>5</v>
      </c>
      <c r="C440" s="63" t="s">
        <v>2071</v>
      </c>
      <c r="D440" s="64" t="s">
        <v>2083</v>
      </c>
      <c r="E440" s="63">
        <v>5</v>
      </c>
      <c r="F440" s="63" t="s">
        <v>1433</v>
      </c>
      <c r="G440" s="65">
        <v>45145</v>
      </c>
      <c r="H440" s="65" t="s">
        <v>73</v>
      </c>
      <c r="I440" s="65" t="s">
        <v>78</v>
      </c>
      <c r="J440" s="63">
        <f>IFERROR(VLOOKUP(I440,Jueces!$A$1:$B$11,2,FALSE),"")</f>
        <v>8</v>
      </c>
      <c r="K440" s="63" t="s">
        <v>797</v>
      </c>
      <c r="L440" s="63" t="s">
        <v>2079</v>
      </c>
    </row>
    <row r="441" spans="1:12" ht="30" customHeight="1">
      <c r="A441" s="172" t="str">
        <f t="shared" si="12"/>
        <v>07/08/20236</v>
      </c>
      <c r="B441" s="166">
        <f t="shared" si="13"/>
        <v>6</v>
      </c>
      <c r="C441" s="63" t="s">
        <v>2054</v>
      </c>
      <c r="D441" s="64" t="s">
        <v>2055</v>
      </c>
      <c r="E441" s="63">
        <v>2</v>
      </c>
      <c r="F441" s="63" t="s">
        <v>32</v>
      </c>
      <c r="G441" s="65">
        <v>45145</v>
      </c>
      <c r="H441" s="65" t="s">
        <v>1083</v>
      </c>
      <c r="I441" s="65" t="s">
        <v>35</v>
      </c>
      <c r="J441" s="63">
        <v>1</v>
      </c>
      <c r="K441" s="63" t="s">
        <v>806</v>
      </c>
      <c r="L441" s="63" t="s">
        <v>1956</v>
      </c>
    </row>
    <row r="442" spans="1:12" ht="30" customHeight="1">
      <c r="A442" s="172" t="str">
        <f t="shared" si="12"/>
        <v>07/08/20237</v>
      </c>
      <c r="B442" s="166">
        <f t="shared" si="13"/>
        <v>7</v>
      </c>
      <c r="C442" s="63" t="s">
        <v>1692</v>
      </c>
      <c r="D442" s="64" t="s">
        <v>2176</v>
      </c>
      <c r="E442" s="63">
        <v>3</v>
      </c>
      <c r="F442" s="63" t="s">
        <v>1433</v>
      </c>
      <c r="G442" s="65">
        <v>45145</v>
      </c>
      <c r="H442" s="65" t="s">
        <v>2011</v>
      </c>
      <c r="I442" s="65" t="s">
        <v>35</v>
      </c>
      <c r="J442" s="63" t="s">
        <v>1512</v>
      </c>
      <c r="K442" s="63" t="s">
        <v>1693</v>
      </c>
      <c r="L442" s="63" t="s">
        <v>694</v>
      </c>
    </row>
    <row r="443" spans="1:12" ht="30" customHeight="1">
      <c r="A443" s="172" t="str">
        <f t="shared" si="12"/>
        <v>08/08/20231</v>
      </c>
      <c r="B443" s="166">
        <f t="shared" si="13"/>
        <v>1</v>
      </c>
      <c r="C443" s="63" t="s">
        <v>2057</v>
      </c>
      <c r="D443" s="64" t="s">
        <v>2056</v>
      </c>
      <c r="E443" s="63">
        <v>5</v>
      </c>
      <c r="F443" s="63" t="s">
        <v>32</v>
      </c>
      <c r="G443" s="65">
        <v>45146</v>
      </c>
      <c r="H443" s="65" t="s">
        <v>73</v>
      </c>
      <c r="I443" s="65" t="s">
        <v>1219</v>
      </c>
      <c r="J443" s="63" t="s">
        <v>1321</v>
      </c>
      <c r="K443" s="63" t="s">
        <v>809</v>
      </c>
      <c r="L443" s="63" t="s">
        <v>1866</v>
      </c>
    </row>
    <row r="444" spans="1:12" ht="30" customHeight="1">
      <c r="A444" s="172" t="str">
        <f t="shared" si="12"/>
        <v>08/08/20232</v>
      </c>
      <c r="B444" s="166">
        <f t="shared" si="13"/>
        <v>2</v>
      </c>
      <c r="C444" s="63" t="s">
        <v>2081</v>
      </c>
      <c r="D444" s="64" t="s">
        <v>2082</v>
      </c>
      <c r="E444" s="63">
        <v>5</v>
      </c>
      <c r="F444" s="63" t="s">
        <v>43</v>
      </c>
      <c r="G444" s="65">
        <v>45146</v>
      </c>
      <c r="H444" s="65" t="s">
        <v>73</v>
      </c>
      <c r="I444" s="65" t="s">
        <v>1216</v>
      </c>
      <c r="J444" s="63" t="s">
        <v>1512</v>
      </c>
      <c r="K444" s="63" t="s">
        <v>807</v>
      </c>
      <c r="L444" s="63" t="s">
        <v>1956</v>
      </c>
    </row>
    <row r="445" spans="1:12" ht="30" customHeight="1">
      <c r="A445" s="172" t="str">
        <f t="shared" si="12"/>
        <v>08/08/20233</v>
      </c>
      <c r="B445" s="166">
        <f t="shared" si="13"/>
        <v>3</v>
      </c>
      <c r="C445" s="63" t="s">
        <v>2088</v>
      </c>
      <c r="D445" s="64" t="s">
        <v>2084</v>
      </c>
      <c r="E445" s="63">
        <v>7</v>
      </c>
      <c r="F445" s="63" t="s">
        <v>1434</v>
      </c>
      <c r="G445" s="65">
        <v>45146</v>
      </c>
      <c r="H445" s="65" t="s">
        <v>73</v>
      </c>
      <c r="I445" s="65" t="s">
        <v>78</v>
      </c>
      <c r="J445" s="63">
        <f>IFERROR(VLOOKUP(I445,Jueces!$A$1:$B$11,2,FALSE),"")</f>
        <v>8</v>
      </c>
      <c r="K445" s="63" t="s">
        <v>1301</v>
      </c>
      <c r="L445" s="63" t="s">
        <v>2085</v>
      </c>
    </row>
    <row r="446" spans="1:12" ht="30" customHeight="1">
      <c r="A446" s="172" t="str">
        <f t="shared" si="12"/>
        <v>08/08/20234</v>
      </c>
      <c r="B446" s="166">
        <f t="shared" si="13"/>
        <v>4</v>
      </c>
      <c r="C446" s="63" t="s">
        <v>2086</v>
      </c>
      <c r="D446" s="64" t="s">
        <v>2087</v>
      </c>
      <c r="E446" s="63">
        <v>5</v>
      </c>
      <c r="F446" s="63" t="s">
        <v>1435</v>
      </c>
      <c r="G446" s="65">
        <v>45146</v>
      </c>
      <c r="H446" s="65" t="s">
        <v>73</v>
      </c>
      <c r="I446" s="65" t="s">
        <v>1217</v>
      </c>
      <c r="J446" s="63">
        <f>IFERROR(VLOOKUP(I446,Jueces!$A$1:$B$11,2,FALSE),"")</f>
        <v>7</v>
      </c>
      <c r="K446" s="63" t="s">
        <v>811</v>
      </c>
      <c r="L446" s="63" t="s">
        <v>2107</v>
      </c>
    </row>
    <row r="447" spans="1:12" ht="30" customHeight="1">
      <c r="A447" s="172" t="str">
        <f t="shared" si="12"/>
        <v>08/08/20235</v>
      </c>
      <c r="B447" s="166">
        <f t="shared" si="13"/>
        <v>5</v>
      </c>
      <c r="C447" s="63" t="s">
        <v>2052</v>
      </c>
      <c r="D447" s="64" t="s">
        <v>2119</v>
      </c>
      <c r="E447" s="63">
        <v>4</v>
      </c>
      <c r="F447" s="63" t="s">
        <v>568</v>
      </c>
      <c r="G447" s="65">
        <v>45146</v>
      </c>
      <c r="H447" s="65" t="s">
        <v>73</v>
      </c>
      <c r="I447" s="65" t="s">
        <v>33</v>
      </c>
      <c r="J447" s="63">
        <f>IFERROR(VLOOKUP(I447,Jueces!$A$1:$B$11,2,FALSE),"")</f>
        <v>4</v>
      </c>
      <c r="K447" s="63" t="s">
        <v>801</v>
      </c>
      <c r="L447" s="63" t="s">
        <v>1829</v>
      </c>
    </row>
    <row r="448" spans="1:12" ht="30" customHeight="1">
      <c r="A448" s="172" t="str">
        <f t="shared" si="12"/>
        <v>08/08/20236</v>
      </c>
      <c r="B448" s="166">
        <f t="shared" si="13"/>
        <v>6</v>
      </c>
      <c r="C448" s="63" t="s">
        <v>1926</v>
      </c>
      <c r="D448" s="64" t="s">
        <v>2204</v>
      </c>
      <c r="E448" s="63">
        <v>4</v>
      </c>
      <c r="F448" s="63" t="s">
        <v>1433</v>
      </c>
      <c r="G448" s="65">
        <v>45146</v>
      </c>
      <c r="H448" s="65" t="s">
        <v>1083</v>
      </c>
      <c r="I448" s="65" t="s">
        <v>1217</v>
      </c>
      <c r="J448" s="63">
        <f>IFERROR(VLOOKUP(I448,Jueces!$A$1:$B$11,2,FALSE),"")</f>
        <v>7</v>
      </c>
      <c r="K448" s="63" t="s">
        <v>795</v>
      </c>
      <c r="L448" s="63" t="s">
        <v>1988</v>
      </c>
    </row>
    <row r="449" spans="1:12" ht="30" customHeight="1">
      <c r="A449" s="172" t="str">
        <f t="shared" si="12"/>
        <v>09/08/20231</v>
      </c>
      <c r="B449" s="166">
        <f t="shared" si="13"/>
        <v>1</v>
      </c>
      <c r="C449" s="63" t="s">
        <v>1805</v>
      </c>
      <c r="D449" s="64" t="s">
        <v>1810</v>
      </c>
      <c r="E449" s="63">
        <v>4</v>
      </c>
      <c r="F449" s="63" t="s">
        <v>283</v>
      </c>
      <c r="G449" s="65">
        <v>45147</v>
      </c>
      <c r="H449" s="65" t="s">
        <v>73</v>
      </c>
      <c r="I449" s="65" t="s">
        <v>33</v>
      </c>
      <c r="J449" s="63">
        <v>4</v>
      </c>
      <c r="K449" s="63" t="s">
        <v>802</v>
      </c>
      <c r="L449" s="63" t="s">
        <v>1829</v>
      </c>
    </row>
    <row r="450" spans="1:12" ht="30" customHeight="1">
      <c r="A450" s="172" t="str">
        <f t="shared" si="12"/>
        <v>09/08/20232</v>
      </c>
      <c r="B450" s="166">
        <f t="shared" si="13"/>
        <v>2</v>
      </c>
      <c r="C450" s="208" t="s">
        <v>2042</v>
      </c>
      <c r="D450" s="64" t="s">
        <v>2080</v>
      </c>
      <c r="E450" s="63">
        <v>1</v>
      </c>
      <c r="F450" s="63" t="s">
        <v>43</v>
      </c>
      <c r="G450" s="65">
        <v>45147</v>
      </c>
      <c r="H450" s="65" t="s">
        <v>73</v>
      </c>
      <c r="I450" s="65" t="s">
        <v>1216</v>
      </c>
      <c r="J450" s="63">
        <f>IFERROR(VLOOKUP(I450,Jueces!$A$1:$B$11,2,FALSE),"")</f>
        <v>1</v>
      </c>
      <c r="K450" s="63" t="s">
        <v>791</v>
      </c>
      <c r="L450" s="63" t="s">
        <v>694</v>
      </c>
    </row>
    <row r="451" spans="1:12" ht="30" customHeight="1">
      <c r="A451" s="172" t="str">
        <f t="shared" ref="A451:A514" si="14">CONCATENATE(TEXT($G451,"dd/mm/yyyy"),$B451)</f>
        <v>09/08/20233</v>
      </c>
      <c r="B451" s="166">
        <f t="shared" si="13"/>
        <v>3</v>
      </c>
      <c r="C451" s="63" t="s">
        <v>2095</v>
      </c>
      <c r="D451" s="64" t="s">
        <v>2290</v>
      </c>
      <c r="E451" s="63">
        <v>5</v>
      </c>
      <c r="F451" s="63" t="s">
        <v>32</v>
      </c>
      <c r="G451" s="65">
        <v>45147</v>
      </c>
      <c r="H451" s="65" t="s">
        <v>73</v>
      </c>
      <c r="I451" s="65" t="s">
        <v>35</v>
      </c>
      <c r="J451" s="63">
        <v>3</v>
      </c>
      <c r="K451" s="63" t="s">
        <v>807</v>
      </c>
      <c r="L451" s="63" t="s">
        <v>1956</v>
      </c>
    </row>
    <row r="452" spans="1:12" ht="30" customHeight="1">
      <c r="A452" s="172" t="str">
        <f t="shared" si="14"/>
        <v>09/08/20234</v>
      </c>
      <c r="B452" s="166">
        <f t="shared" ref="B452:B515" si="15">IF($G452=$G451,$B451+1,1)</f>
        <v>4</v>
      </c>
      <c r="C452" s="63" t="s">
        <v>1105</v>
      </c>
      <c r="D452" s="64" t="s">
        <v>2115</v>
      </c>
      <c r="E452" s="63">
        <v>2</v>
      </c>
      <c r="F452" s="63" t="s">
        <v>1435</v>
      </c>
      <c r="G452" s="65">
        <v>45147</v>
      </c>
      <c r="H452" s="65" t="s">
        <v>73</v>
      </c>
      <c r="I452" s="65" t="s">
        <v>31</v>
      </c>
      <c r="J452" s="63">
        <v>8</v>
      </c>
      <c r="K452" s="63" t="s">
        <v>809</v>
      </c>
      <c r="L452" s="63" t="s">
        <v>711</v>
      </c>
    </row>
    <row r="453" spans="1:12" ht="30" customHeight="1">
      <c r="A453" s="172" t="str">
        <f t="shared" si="14"/>
        <v>09/08/20235</v>
      </c>
      <c r="B453" s="166">
        <f t="shared" si="15"/>
        <v>5</v>
      </c>
      <c r="C453" s="63" t="s">
        <v>2105</v>
      </c>
      <c r="D453" s="64" t="s">
        <v>2106</v>
      </c>
      <c r="E453" s="63">
        <v>5</v>
      </c>
      <c r="F453" s="63" t="s">
        <v>1434</v>
      </c>
      <c r="G453" s="65">
        <v>45147</v>
      </c>
      <c r="H453" s="65" t="s">
        <v>1083</v>
      </c>
      <c r="I453" s="65" t="s">
        <v>1220</v>
      </c>
      <c r="J453" s="63" t="s">
        <v>1341</v>
      </c>
      <c r="K453" s="63" t="s">
        <v>806</v>
      </c>
      <c r="L453" s="63" t="s">
        <v>2124</v>
      </c>
    </row>
    <row r="454" spans="1:12" ht="30" customHeight="1">
      <c r="A454" s="172" t="str">
        <f t="shared" si="14"/>
        <v>09/08/20236</v>
      </c>
      <c r="B454" s="166">
        <f t="shared" si="15"/>
        <v>6</v>
      </c>
      <c r="C454" s="63" t="s">
        <v>2117</v>
      </c>
      <c r="D454" s="64" t="s">
        <v>2118</v>
      </c>
      <c r="E454" s="63">
        <v>6</v>
      </c>
      <c r="F454" s="63" t="s">
        <v>29</v>
      </c>
      <c r="G454" s="65">
        <v>45147</v>
      </c>
      <c r="H454" s="65" t="s">
        <v>1206</v>
      </c>
      <c r="I454" s="65" t="s">
        <v>1220</v>
      </c>
      <c r="J454" s="63">
        <v>2</v>
      </c>
      <c r="K454" s="63" t="s">
        <v>806</v>
      </c>
      <c r="L454" s="63" t="s">
        <v>2107</v>
      </c>
    </row>
    <row r="455" spans="1:12" ht="30" customHeight="1">
      <c r="A455" s="172" t="str">
        <f t="shared" si="14"/>
        <v>10/08/20231</v>
      </c>
      <c r="B455" s="166">
        <f t="shared" si="15"/>
        <v>1</v>
      </c>
      <c r="C455" s="63" t="s">
        <v>2096</v>
      </c>
      <c r="D455" s="64" t="s">
        <v>2229</v>
      </c>
      <c r="E455" s="63">
        <v>5</v>
      </c>
      <c r="F455" s="63" t="s">
        <v>1435</v>
      </c>
      <c r="G455" s="65">
        <v>45148</v>
      </c>
      <c r="H455" s="65" t="s">
        <v>73</v>
      </c>
      <c r="I455" s="65" t="s">
        <v>31</v>
      </c>
      <c r="J455" s="63">
        <f>IFERROR(VLOOKUP(I455,Jueces!$A$1:$B$11,2,FALSE),"")</f>
        <v>2</v>
      </c>
      <c r="K455" s="63" t="s">
        <v>807</v>
      </c>
      <c r="L455" s="63" t="s">
        <v>2236</v>
      </c>
    </row>
    <row r="456" spans="1:12" ht="30" customHeight="1">
      <c r="A456" s="172" t="str">
        <f t="shared" si="14"/>
        <v>10/08/20232</v>
      </c>
      <c r="B456" s="166">
        <f t="shared" si="15"/>
        <v>2</v>
      </c>
      <c r="C456" s="63" t="s">
        <v>2139</v>
      </c>
      <c r="D456" s="64" t="s">
        <v>2230</v>
      </c>
      <c r="E456" s="63">
        <v>7</v>
      </c>
      <c r="F456" s="63" t="s">
        <v>1433</v>
      </c>
      <c r="G456" s="65">
        <v>45148</v>
      </c>
      <c r="H456" s="65" t="s">
        <v>73</v>
      </c>
      <c r="I456" s="65" t="s">
        <v>35</v>
      </c>
      <c r="J456" s="63">
        <f>IFERROR(VLOOKUP(I456,Jueces!$A$1:$B$11,2,FALSE),"")</f>
        <v>3</v>
      </c>
      <c r="K456" s="63" t="s">
        <v>806</v>
      </c>
      <c r="L456" s="63" t="s">
        <v>2036</v>
      </c>
    </row>
    <row r="457" spans="1:12" ht="30" customHeight="1">
      <c r="A457" s="172" t="str">
        <f t="shared" si="14"/>
        <v>10/08/20233</v>
      </c>
      <c r="B457" s="166">
        <f t="shared" si="15"/>
        <v>3</v>
      </c>
      <c r="C457" s="63" t="s">
        <v>2160</v>
      </c>
      <c r="D457" s="64" t="s">
        <v>2231</v>
      </c>
      <c r="E457" s="63">
        <v>5</v>
      </c>
      <c r="F457" s="63" t="s">
        <v>29</v>
      </c>
      <c r="G457" s="65">
        <v>45148</v>
      </c>
      <c r="H457" s="65" t="s">
        <v>73</v>
      </c>
      <c r="I457" s="65" t="s">
        <v>1218</v>
      </c>
      <c r="J457" s="63" t="s">
        <v>2164</v>
      </c>
      <c r="K457" s="63" t="s">
        <v>810</v>
      </c>
      <c r="L457" s="63" t="s">
        <v>1956</v>
      </c>
    </row>
    <row r="458" spans="1:12" ht="30" customHeight="1">
      <c r="A458" s="172" t="str">
        <f t="shared" si="14"/>
        <v>10/08/20234</v>
      </c>
      <c r="B458" s="166">
        <f t="shared" si="15"/>
        <v>4</v>
      </c>
      <c r="C458" s="63" t="s">
        <v>2156</v>
      </c>
      <c r="D458" s="64" t="s">
        <v>2232</v>
      </c>
      <c r="E458" s="63">
        <v>5</v>
      </c>
      <c r="F458" s="63" t="s">
        <v>1434</v>
      </c>
      <c r="G458" s="65">
        <v>45148</v>
      </c>
      <c r="H458" s="70" t="s">
        <v>1083</v>
      </c>
      <c r="I458" s="65" t="s">
        <v>1216</v>
      </c>
      <c r="J458" s="63">
        <f>IFERROR(VLOOKUP(I458,Jueces!$A$1:$B$11,2,FALSE),"")</f>
        <v>1</v>
      </c>
      <c r="K458" s="63" t="s">
        <v>811</v>
      </c>
      <c r="L458" s="63" t="s">
        <v>2242</v>
      </c>
    </row>
    <row r="459" spans="1:12" ht="30" customHeight="1">
      <c r="A459" s="172" t="str">
        <f t="shared" si="14"/>
        <v>11/08/20231</v>
      </c>
      <c r="B459" s="166">
        <f t="shared" si="15"/>
        <v>1</v>
      </c>
      <c r="C459" s="63" t="s">
        <v>2073</v>
      </c>
      <c r="D459" s="64" t="s">
        <v>2074</v>
      </c>
      <c r="E459" s="63">
        <v>4</v>
      </c>
      <c r="F459" s="63" t="s">
        <v>568</v>
      </c>
      <c r="G459" s="65">
        <v>45149</v>
      </c>
      <c r="H459" s="65" t="s">
        <v>73</v>
      </c>
      <c r="I459" s="65" t="s">
        <v>35</v>
      </c>
      <c r="J459" s="63">
        <f>IFERROR(VLOOKUP(I459,Jueces!$A$1:$B$11,2,FALSE),"")</f>
        <v>3</v>
      </c>
      <c r="K459" s="63" t="s">
        <v>800</v>
      </c>
      <c r="L459" s="63" t="s">
        <v>1866</v>
      </c>
    </row>
    <row r="460" spans="1:12" ht="30" customHeight="1">
      <c r="A460" s="172" t="str">
        <f t="shared" si="14"/>
        <v>11/08/20232</v>
      </c>
      <c r="B460" s="166">
        <f t="shared" si="15"/>
        <v>2</v>
      </c>
      <c r="C460" s="63" t="s">
        <v>2140</v>
      </c>
      <c r="D460" s="64" t="s">
        <v>2221</v>
      </c>
      <c r="E460" s="63">
        <v>4</v>
      </c>
      <c r="F460" s="63" t="s">
        <v>32</v>
      </c>
      <c r="G460" s="65">
        <v>45149</v>
      </c>
      <c r="H460" s="65" t="s">
        <v>73</v>
      </c>
      <c r="I460" s="65" t="s">
        <v>1216</v>
      </c>
      <c r="J460" s="63">
        <f>IFERROR(VLOOKUP(I460,Jueces!$A$1:$B$11,2,FALSE),"")</f>
        <v>1</v>
      </c>
      <c r="K460" s="63" t="s">
        <v>789</v>
      </c>
      <c r="L460" s="63" t="s">
        <v>1829</v>
      </c>
    </row>
    <row r="461" spans="1:12" ht="30" customHeight="1">
      <c r="A461" s="172" t="str">
        <f t="shared" si="14"/>
        <v>11/08/20233</v>
      </c>
      <c r="B461" s="166">
        <f t="shared" si="15"/>
        <v>3</v>
      </c>
      <c r="C461" s="63" t="s">
        <v>2144</v>
      </c>
      <c r="D461" s="64" t="s">
        <v>2170</v>
      </c>
      <c r="E461" s="63">
        <v>6</v>
      </c>
      <c r="F461" s="63" t="s">
        <v>29</v>
      </c>
      <c r="G461" s="65">
        <v>45149</v>
      </c>
      <c r="H461" s="65" t="s">
        <v>73</v>
      </c>
      <c r="I461" s="65" t="s">
        <v>31</v>
      </c>
      <c r="J461" s="63">
        <f>IFERROR(VLOOKUP(I461,Jueces!$A$1:$B$11,2,FALSE),"")</f>
        <v>2</v>
      </c>
      <c r="K461" s="63" t="s">
        <v>810</v>
      </c>
      <c r="L461" s="63" t="s">
        <v>2107</v>
      </c>
    </row>
    <row r="462" spans="1:12" ht="30" customHeight="1">
      <c r="A462" s="172" t="str">
        <f t="shared" si="14"/>
        <v>11/08/20234</v>
      </c>
      <c r="B462" s="166">
        <f t="shared" si="15"/>
        <v>4</v>
      </c>
      <c r="C462" s="63" t="s">
        <v>2154</v>
      </c>
      <c r="D462" s="64" t="s">
        <v>2155</v>
      </c>
      <c r="E462" s="63">
        <v>5</v>
      </c>
      <c r="F462" s="63" t="s">
        <v>43</v>
      </c>
      <c r="G462" s="65">
        <v>45149</v>
      </c>
      <c r="H462" s="65" t="s">
        <v>73</v>
      </c>
      <c r="I462" s="65" t="s">
        <v>1217</v>
      </c>
      <c r="J462" s="63">
        <f>IFERROR(VLOOKUP(I462,Jueces!$A$1:$B$11,2,FALSE),"")</f>
        <v>7</v>
      </c>
      <c r="K462" s="63" t="s">
        <v>809</v>
      </c>
      <c r="L462" s="63" t="s">
        <v>1956</v>
      </c>
    </row>
    <row r="463" spans="1:12" ht="30" customHeight="1">
      <c r="A463" s="172" t="str">
        <f t="shared" si="14"/>
        <v>11/08/20235</v>
      </c>
      <c r="B463" s="166">
        <f t="shared" si="15"/>
        <v>5</v>
      </c>
      <c r="C463" s="63" t="s">
        <v>2190</v>
      </c>
      <c r="D463" s="64" t="s">
        <v>2191</v>
      </c>
      <c r="E463" s="63">
        <v>6</v>
      </c>
      <c r="F463" s="63" t="s">
        <v>1435</v>
      </c>
      <c r="G463" s="65">
        <v>45149</v>
      </c>
      <c r="H463" s="70" t="s">
        <v>73</v>
      </c>
      <c r="I463" s="65" t="s">
        <v>1219</v>
      </c>
      <c r="J463" s="63" t="s">
        <v>2248</v>
      </c>
      <c r="K463" s="63" t="s">
        <v>508</v>
      </c>
      <c r="L463" s="63" t="s">
        <v>2107</v>
      </c>
    </row>
    <row r="464" spans="1:12" ht="30" customHeight="1">
      <c r="A464" s="172" t="str">
        <f t="shared" si="14"/>
        <v>11/08/20236</v>
      </c>
      <c r="B464" s="166">
        <f t="shared" si="15"/>
        <v>6</v>
      </c>
      <c r="C464" s="63" t="s">
        <v>2145</v>
      </c>
      <c r="D464" s="64" t="s">
        <v>2233</v>
      </c>
      <c r="E464" s="63">
        <v>6</v>
      </c>
      <c r="F464" s="63" t="s">
        <v>283</v>
      </c>
      <c r="G464" s="65">
        <v>45149</v>
      </c>
      <c r="H464" s="65" t="s">
        <v>1083</v>
      </c>
      <c r="I464" s="65" t="s">
        <v>1219</v>
      </c>
      <c r="J464" s="63" t="s">
        <v>1512</v>
      </c>
      <c r="K464" s="63" t="s">
        <v>788</v>
      </c>
      <c r="L464" s="63" t="s">
        <v>2107</v>
      </c>
    </row>
    <row r="465" spans="1:12" ht="30" customHeight="1">
      <c r="A465" s="172" t="str">
        <f t="shared" si="14"/>
        <v>11/08/20237</v>
      </c>
      <c r="B465" s="166">
        <f t="shared" si="15"/>
        <v>7</v>
      </c>
      <c r="C465" s="63" t="s">
        <v>2158</v>
      </c>
      <c r="D465" s="64" t="s">
        <v>2159</v>
      </c>
      <c r="E465" s="63">
        <v>5</v>
      </c>
      <c r="F465" s="63" t="s">
        <v>1433</v>
      </c>
      <c r="G465" s="65">
        <v>45149</v>
      </c>
      <c r="H465" s="65" t="s">
        <v>1083</v>
      </c>
      <c r="I465" s="65" t="s">
        <v>33</v>
      </c>
      <c r="J465" s="63">
        <f>IFERROR(VLOOKUP(I465,Jueces!$A$1:$B$11,2,FALSE),"")</f>
        <v>4</v>
      </c>
      <c r="K465" s="63" t="s">
        <v>809</v>
      </c>
      <c r="L465" s="63" t="s">
        <v>1956</v>
      </c>
    </row>
    <row r="466" spans="1:12" ht="30" customHeight="1">
      <c r="A466" s="172" t="str">
        <f t="shared" si="14"/>
        <v>14/08/20231</v>
      </c>
      <c r="B466" s="166">
        <f t="shared" si="15"/>
        <v>1</v>
      </c>
      <c r="C466" s="63" t="s">
        <v>2142</v>
      </c>
      <c r="D466" s="64" t="s">
        <v>2143</v>
      </c>
      <c r="E466" s="63">
        <v>6</v>
      </c>
      <c r="F466" s="63" t="s">
        <v>1433</v>
      </c>
      <c r="G466" s="65">
        <v>45152</v>
      </c>
      <c r="H466" s="65" t="s">
        <v>73</v>
      </c>
      <c r="I466" s="65" t="s">
        <v>35</v>
      </c>
      <c r="J466" s="63">
        <f>IFERROR(VLOOKUP(I466,Jueces!$A$1:$B$11,2,FALSE),"")</f>
        <v>3</v>
      </c>
      <c r="K466" s="63" t="s">
        <v>809</v>
      </c>
      <c r="L466" s="63" t="s">
        <v>2107</v>
      </c>
    </row>
    <row r="467" spans="1:12" ht="30" customHeight="1">
      <c r="A467" s="172" t="str">
        <f t="shared" si="14"/>
        <v>14/08/20232</v>
      </c>
      <c r="B467" s="166">
        <f t="shared" si="15"/>
        <v>2</v>
      </c>
      <c r="C467" s="63" t="s">
        <v>2162</v>
      </c>
      <c r="D467" s="64" t="s">
        <v>2163</v>
      </c>
      <c r="E467" s="63">
        <v>5</v>
      </c>
      <c r="F467" s="63" t="s">
        <v>1435</v>
      </c>
      <c r="G467" s="65">
        <v>45152</v>
      </c>
      <c r="H467" s="65" t="s">
        <v>73</v>
      </c>
      <c r="I467" s="65" t="s">
        <v>78</v>
      </c>
      <c r="J467" s="63">
        <v>8</v>
      </c>
      <c r="K467" s="63" t="s">
        <v>1693</v>
      </c>
      <c r="L467" s="63" t="s">
        <v>1025</v>
      </c>
    </row>
    <row r="468" spans="1:12" ht="30" customHeight="1">
      <c r="A468" s="172" t="str">
        <f t="shared" si="14"/>
        <v>14/08/20233</v>
      </c>
      <c r="B468" s="166">
        <f t="shared" si="15"/>
        <v>3</v>
      </c>
      <c r="C468" s="63" t="s">
        <v>2182</v>
      </c>
      <c r="D468" s="64" t="s">
        <v>2202</v>
      </c>
      <c r="E468" s="63">
        <v>6</v>
      </c>
      <c r="F468" s="63" t="s">
        <v>32</v>
      </c>
      <c r="G468" s="65">
        <v>45152</v>
      </c>
      <c r="H468" s="65" t="s">
        <v>73</v>
      </c>
      <c r="I468" s="65" t="s">
        <v>1218</v>
      </c>
      <c r="J468" s="63">
        <v>5</v>
      </c>
      <c r="K468" s="63" t="s">
        <v>807</v>
      </c>
      <c r="L468" s="63" t="s">
        <v>2201</v>
      </c>
    </row>
    <row r="469" spans="1:12" ht="30" customHeight="1">
      <c r="A469" s="172" t="str">
        <f t="shared" si="14"/>
        <v>14/08/20234</v>
      </c>
      <c r="B469" s="166">
        <f t="shared" si="15"/>
        <v>4</v>
      </c>
      <c r="C469" s="63" t="s">
        <v>1922</v>
      </c>
      <c r="D469" s="64" t="s">
        <v>2146</v>
      </c>
      <c r="E469" s="63">
        <v>4</v>
      </c>
      <c r="F469" s="63" t="s">
        <v>568</v>
      </c>
      <c r="G469" s="65">
        <v>45152</v>
      </c>
      <c r="H469" s="65" t="s">
        <v>1083</v>
      </c>
      <c r="I469" s="65" t="s">
        <v>33</v>
      </c>
      <c r="J469" s="63">
        <f>IFERROR(VLOOKUP(I469,Jueces!$A$1:$B$11,2,FALSE),"")</f>
        <v>4</v>
      </c>
      <c r="K469" s="63" t="s">
        <v>809</v>
      </c>
      <c r="L469" s="63" t="s">
        <v>1829</v>
      </c>
    </row>
    <row r="470" spans="1:12" ht="30" customHeight="1">
      <c r="A470" s="172" t="str">
        <f t="shared" si="14"/>
        <v>14/08/20235</v>
      </c>
      <c r="B470" s="166">
        <f t="shared" si="15"/>
        <v>5</v>
      </c>
      <c r="C470" s="63" t="s">
        <v>2167</v>
      </c>
      <c r="D470" s="64" t="s">
        <v>2166</v>
      </c>
      <c r="E470" s="63">
        <v>5</v>
      </c>
      <c r="F470" s="63" t="s">
        <v>43</v>
      </c>
      <c r="G470" s="65">
        <v>45152</v>
      </c>
      <c r="H470" s="65" t="s">
        <v>1083</v>
      </c>
      <c r="I470" s="65" t="s">
        <v>1220</v>
      </c>
      <c r="J470" s="63">
        <v>2</v>
      </c>
      <c r="K470" s="63" t="s">
        <v>2076</v>
      </c>
      <c r="L470" s="63" t="s">
        <v>783</v>
      </c>
    </row>
    <row r="471" spans="1:12" ht="30" customHeight="1">
      <c r="A471" s="172" t="str">
        <f t="shared" si="14"/>
        <v>14/08/20236</v>
      </c>
      <c r="B471" s="166">
        <f t="shared" si="15"/>
        <v>6</v>
      </c>
      <c r="C471" s="63" t="s">
        <v>2174</v>
      </c>
      <c r="D471" s="64" t="s">
        <v>2175</v>
      </c>
      <c r="E471" s="63">
        <v>6</v>
      </c>
      <c r="F471" s="63" t="s">
        <v>1434</v>
      </c>
      <c r="G471" s="65">
        <v>45152</v>
      </c>
      <c r="H471" s="65" t="s">
        <v>1083</v>
      </c>
      <c r="I471" s="65" t="s">
        <v>1219</v>
      </c>
      <c r="J471" s="63" t="s">
        <v>1916</v>
      </c>
      <c r="K471" s="63" t="s">
        <v>2076</v>
      </c>
      <c r="L471" s="63" t="s">
        <v>2107</v>
      </c>
    </row>
    <row r="472" spans="1:12" ht="30" customHeight="1">
      <c r="A472" s="172" t="str">
        <f t="shared" si="14"/>
        <v>15/08/20231</v>
      </c>
      <c r="B472" s="166">
        <f t="shared" si="15"/>
        <v>1</v>
      </c>
      <c r="C472" s="63" t="s">
        <v>2168</v>
      </c>
      <c r="D472" s="64" t="s">
        <v>2169</v>
      </c>
      <c r="E472" s="63">
        <v>4</v>
      </c>
      <c r="F472" s="63" t="s">
        <v>29</v>
      </c>
      <c r="G472" s="65">
        <v>45153</v>
      </c>
      <c r="H472" s="65" t="s">
        <v>73</v>
      </c>
      <c r="I472" s="65" t="s">
        <v>31</v>
      </c>
      <c r="J472" s="63">
        <f>IFERROR(VLOOKUP(I472,Jueces!$A$1:$B$11,2,FALSE),"")</f>
        <v>2</v>
      </c>
      <c r="K472" s="63" t="s">
        <v>797</v>
      </c>
      <c r="L472" s="63" t="s">
        <v>695</v>
      </c>
    </row>
    <row r="473" spans="1:12" ht="30" customHeight="1">
      <c r="A473" s="172" t="str">
        <f t="shared" si="14"/>
        <v>15/08/20232</v>
      </c>
      <c r="B473" s="166">
        <f t="shared" si="15"/>
        <v>2</v>
      </c>
      <c r="C473" s="63" t="s">
        <v>2200</v>
      </c>
      <c r="D473" s="64" t="s">
        <v>2181</v>
      </c>
      <c r="E473" s="63">
        <v>6</v>
      </c>
      <c r="F473" s="63" t="s">
        <v>283</v>
      </c>
      <c r="G473" s="65">
        <v>45153</v>
      </c>
      <c r="H473" s="65" t="s">
        <v>73</v>
      </c>
      <c r="I473" s="65" t="s">
        <v>1217</v>
      </c>
      <c r="J473" s="63" t="s">
        <v>2285</v>
      </c>
      <c r="K473" s="63" t="s">
        <v>1067</v>
      </c>
      <c r="L473" s="63" t="s">
        <v>2107</v>
      </c>
    </row>
    <row r="474" spans="1:12" ht="30" customHeight="1">
      <c r="A474" s="172" t="str">
        <f t="shared" si="14"/>
        <v>15/08/20233</v>
      </c>
      <c r="B474" s="166">
        <f t="shared" si="15"/>
        <v>3</v>
      </c>
      <c r="C474" s="63" t="s">
        <v>2193</v>
      </c>
      <c r="D474" s="64" t="s">
        <v>2194</v>
      </c>
      <c r="E474" s="63">
        <v>2</v>
      </c>
      <c r="F474" s="63" t="s">
        <v>43</v>
      </c>
      <c r="G474" s="65">
        <v>45153</v>
      </c>
      <c r="H474" s="65" t="s">
        <v>73</v>
      </c>
      <c r="I474" s="65" t="s">
        <v>1218</v>
      </c>
      <c r="J474" s="63" t="s">
        <v>1916</v>
      </c>
      <c r="K474" s="63" t="s">
        <v>807</v>
      </c>
      <c r="L474" s="63" t="s">
        <v>1956</v>
      </c>
    </row>
    <row r="475" spans="1:12" ht="30" customHeight="1">
      <c r="A475" s="172" t="str">
        <f t="shared" si="14"/>
        <v>15/08/20234</v>
      </c>
      <c r="B475" s="166">
        <f t="shared" si="15"/>
        <v>4</v>
      </c>
      <c r="C475" s="63" t="s">
        <v>2208</v>
      </c>
      <c r="D475" s="64" t="s">
        <v>2205</v>
      </c>
      <c r="E475" s="63">
        <v>5</v>
      </c>
      <c r="F475" s="63" t="s">
        <v>568</v>
      </c>
      <c r="G475" s="65">
        <v>45153</v>
      </c>
      <c r="H475" s="65" t="s">
        <v>73</v>
      </c>
      <c r="I475" s="65" t="s">
        <v>35</v>
      </c>
      <c r="J475" s="63">
        <f>IFERROR(VLOOKUP(I475,Jueces!$A$1:$B$11,2,FALSE),"")</f>
        <v>3</v>
      </c>
      <c r="K475" s="63" t="s">
        <v>805</v>
      </c>
      <c r="L475" s="63" t="s">
        <v>1866</v>
      </c>
    </row>
    <row r="476" spans="1:12" ht="30" customHeight="1">
      <c r="A476" s="172" t="str">
        <f t="shared" si="14"/>
        <v>15/08/20235</v>
      </c>
      <c r="B476" s="166">
        <f t="shared" si="15"/>
        <v>5</v>
      </c>
      <c r="C476" s="63" t="s">
        <v>2195</v>
      </c>
      <c r="D476" s="64" t="s">
        <v>2196</v>
      </c>
      <c r="E476" s="63">
        <v>6</v>
      </c>
      <c r="F476" s="63" t="s">
        <v>32</v>
      </c>
      <c r="G476" s="65">
        <v>45153</v>
      </c>
      <c r="H476" s="65" t="s">
        <v>547</v>
      </c>
      <c r="I476" s="65" t="s">
        <v>1216</v>
      </c>
      <c r="J476" s="63">
        <f>IFERROR(VLOOKUP(I476,Jueces!$A$1:$B$11,2,FALSE),"")</f>
        <v>1</v>
      </c>
      <c r="K476" s="63" t="s">
        <v>807</v>
      </c>
      <c r="L476" s="63" t="s">
        <v>2107</v>
      </c>
    </row>
    <row r="477" spans="1:12" ht="30" customHeight="1">
      <c r="A477" s="172" t="str">
        <f t="shared" si="14"/>
        <v>16/08/20231</v>
      </c>
      <c r="B477" s="166">
        <f t="shared" si="15"/>
        <v>1</v>
      </c>
      <c r="C477" s="63" t="s">
        <v>2141</v>
      </c>
      <c r="D477" s="64" t="s">
        <v>2199</v>
      </c>
      <c r="E477" s="63">
        <v>6</v>
      </c>
      <c r="F477" s="63" t="s">
        <v>29</v>
      </c>
      <c r="G477" s="65">
        <v>45154</v>
      </c>
      <c r="H477" s="65" t="s">
        <v>73</v>
      </c>
      <c r="I477" s="65" t="s">
        <v>1216</v>
      </c>
      <c r="J477" s="63">
        <f>IFERROR(VLOOKUP(I477,Jueces!$A$1:$B$11,2,FALSE),"")</f>
        <v>1</v>
      </c>
      <c r="K477" s="63" t="s">
        <v>810</v>
      </c>
      <c r="L477" s="63" t="s">
        <v>2107</v>
      </c>
    </row>
    <row r="478" spans="1:12" ht="30" customHeight="1">
      <c r="A478" s="172" t="str">
        <f t="shared" si="14"/>
        <v>16/08/20232</v>
      </c>
      <c r="B478" s="166">
        <f t="shared" si="15"/>
        <v>2</v>
      </c>
      <c r="C478" s="63" t="s">
        <v>2209</v>
      </c>
      <c r="D478" s="64" t="s">
        <v>2206</v>
      </c>
      <c r="E478" s="63">
        <v>5</v>
      </c>
      <c r="F478" s="63" t="s">
        <v>1434</v>
      </c>
      <c r="G478" s="65">
        <v>45154</v>
      </c>
      <c r="H478" s="65" t="s">
        <v>73</v>
      </c>
      <c r="I478" s="65" t="s">
        <v>78</v>
      </c>
      <c r="J478" s="63">
        <f>IFERROR(VLOOKUP(I478,Jueces!$A$1:$B$11,2,FALSE),"")</f>
        <v>8</v>
      </c>
      <c r="K478" s="63" t="s">
        <v>811</v>
      </c>
      <c r="L478" s="63" t="s">
        <v>1956</v>
      </c>
    </row>
    <row r="479" spans="1:12" ht="30" customHeight="1">
      <c r="A479" s="172" t="str">
        <f t="shared" si="14"/>
        <v>16/08/20233</v>
      </c>
      <c r="B479" s="166">
        <f t="shared" si="15"/>
        <v>3</v>
      </c>
      <c r="C479" s="63" t="s">
        <v>2218</v>
      </c>
      <c r="D479" s="64" t="s">
        <v>2342</v>
      </c>
      <c r="E479" s="63">
        <v>6</v>
      </c>
      <c r="F479" s="63" t="s">
        <v>283</v>
      </c>
      <c r="G479" s="65">
        <v>45154</v>
      </c>
      <c r="H479" s="65" t="s">
        <v>73</v>
      </c>
      <c r="I479" s="65" t="s">
        <v>31</v>
      </c>
      <c r="J479" s="63">
        <f>IFERROR(VLOOKUP(I479,Jueces!$A$1:$B$11,2,FALSE),"")</f>
        <v>2</v>
      </c>
      <c r="K479" s="63" t="s">
        <v>1406</v>
      </c>
      <c r="L479" s="63" t="s">
        <v>2201</v>
      </c>
    </row>
    <row r="480" spans="1:12" ht="30" customHeight="1">
      <c r="A480" s="172" t="str">
        <f t="shared" si="14"/>
        <v>16/08/20234</v>
      </c>
      <c r="B480" s="166">
        <f t="shared" si="15"/>
        <v>4</v>
      </c>
      <c r="C480" s="63" t="s">
        <v>2216</v>
      </c>
      <c r="D480" s="64" t="s">
        <v>2198</v>
      </c>
      <c r="E480" s="63">
        <v>6</v>
      </c>
      <c r="F480" s="63" t="s">
        <v>32</v>
      </c>
      <c r="G480" s="65">
        <v>45154</v>
      </c>
      <c r="H480" s="65" t="s">
        <v>1083</v>
      </c>
      <c r="I480" s="65" t="s">
        <v>1218</v>
      </c>
      <c r="J480" s="63" t="s">
        <v>1341</v>
      </c>
      <c r="K480" s="63" t="s">
        <v>810</v>
      </c>
      <c r="L480" s="63" t="s">
        <v>2107</v>
      </c>
    </row>
    <row r="481" spans="1:12" ht="30" customHeight="1">
      <c r="A481" s="172" t="str">
        <f t="shared" si="14"/>
        <v>16/08/20235</v>
      </c>
      <c r="B481" s="166">
        <f t="shared" si="15"/>
        <v>5</v>
      </c>
      <c r="C481" s="63" t="s">
        <v>2183</v>
      </c>
      <c r="D481" s="64" t="s">
        <v>2184</v>
      </c>
      <c r="E481" s="63">
        <v>2</v>
      </c>
      <c r="F481" s="63" t="s">
        <v>568</v>
      </c>
      <c r="G481" s="65">
        <v>45154</v>
      </c>
      <c r="H481" s="65" t="s">
        <v>1083</v>
      </c>
      <c r="I481" s="65" t="s">
        <v>33</v>
      </c>
      <c r="J481" s="63">
        <f>IFERROR(VLOOKUP(I481,Jueces!$A$1:$B$11,2,FALSE),"")</f>
        <v>4</v>
      </c>
      <c r="K481" s="63" t="s">
        <v>802</v>
      </c>
      <c r="L481" s="63" t="s">
        <v>2247</v>
      </c>
    </row>
    <row r="482" spans="1:12" ht="30" customHeight="1">
      <c r="A482" s="172" t="str">
        <f t="shared" si="14"/>
        <v>16/08/20236</v>
      </c>
      <c r="B482" s="166">
        <f t="shared" si="15"/>
        <v>6</v>
      </c>
      <c r="C482" s="63" t="s">
        <v>2245</v>
      </c>
      <c r="D482" s="64" t="s">
        <v>2343</v>
      </c>
      <c r="E482" s="63">
        <v>6</v>
      </c>
      <c r="F482" s="63" t="s">
        <v>1433</v>
      </c>
      <c r="G482" s="65">
        <v>45154</v>
      </c>
      <c r="H482" s="65" t="s">
        <v>1083</v>
      </c>
      <c r="I482" s="65" t="s">
        <v>1220</v>
      </c>
      <c r="J482" s="63" t="s">
        <v>1916</v>
      </c>
      <c r="K482" s="63" t="s">
        <v>811</v>
      </c>
      <c r="L482" s="63" t="s">
        <v>2201</v>
      </c>
    </row>
    <row r="483" spans="1:12" ht="30" customHeight="1">
      <c r="A483" s="172" t="str">
        <f t="shared" si="14"/>
        <v>16/08/20237</v>
      </c>
      <c r="B483" s="166">
        <f t="shared" si="15"/>
        <v>7</v>
      </c>
      <c r="C483" s="63" t="s">
        <v>2093</v>
      </c>
      <c r="D483" s="64" t="s">
        <v>2120</v>
      </c>
      <c r="E483" s="63">
        <v>1</v>
      </c>
      <c r="F483" s="63" t="s">
        <v>1433</v>
      </c>
      <c r="G483" s="65">
        <v>45154</v>
      </c>
      <c r="H483" s="65" t="s">
        <v>547</v>
      </c>
      <c r="I483" s="65" t="s">
        <v>1216</v>
      </c>
      <c r="J483" s="63">
        <f>IFERROR(VLOOKUP(I483,Jueces!$A$1:$B$11,2,FALSE),"")</f>
        <v>1</v>
      </c>
      <c r="K483" s="63" t="s">
        <v>192</v>
      </c>
      <c r="L483" s="63" t="s">
        <v>1281</v>
      </c>
    </row>
    <row r="484" spans="1:12" ht="30" customHeight="1">
      <c r="A484" s="172" t="str">
        <f t="shared" si="14"/>
        <v>17/08/20231</v>
      </c>
      <c r="B484" s="166">
        <f t="shared" si="15"/>
        <v>1</v>
      </c>
      <c r="C484" s="63" t="s">
        <v>2197</v>
      </c>
      <c r="D484" s="64" t="s">
        <v>2357</v>
      </c>
      <c r="E484" s="63">
        <v>6</v>
      </c>
      <c r="F484" s="63" t="s">
        <v>283</v>
      </c>
      <c r="G484" s="65">
        <v>45155</v>
      </c>
      <c r="H484" s="65" t="s">
        <v>73</v>
      </c>
      <c r="I484" s="65" t="s">
        <v>78</v>
      </c>
      <c r="J484" s="63">
        <v>8</v>
      </c>
      <c r="K484" s="63" t="s">
        <v>801</v>
      </c>
      <c r="L484" s="63" t="s">
        <v>2107</v>
      </c>
    </row>
    <row r="485" spans="1:12" ht="30" customHeight="1">
      <c r="A485" s="172" t="str">
        <f t="shared" si="14"/>
        <v>17/08/20232</v>
      </c>
      <c r="B485" s="166">
        <f t="shared" si="15"/>
        <v>2</v>
      </c>
      <c r="C485" s="63" t="s">
        <v>2239</v>
      </c>
      <c r="D485" s="64" t="s">
        <v>2358</v>
      </c>
      <c r="E485" s="63">
        <v>5</v>
      </c>
      <c r="F485" s="63" t="s">
        <v>1433</v>
      </c>
      <c r="G485" s="65">
        <v>45155</v>
      </c>
      <c r="H485" s="65" t="s">
        <v>73</v>
      </c>
      <c r="I485" s="65" t="s">
        <v>33</v>
      </c>
      <c r="J485" s="63">
        <f>IFERROR(VLOOKUP(I485,Jueces!$A$1:$B$11,2,FALSE),"")</f>
        <v>4</v>
      </c>
      <c r="K485" s="63" t="s">
        <v>810</v>
      </c>
      <c r="L485" s="63" t="s">
        <v>1956</v>
      </c>
    </row>
    <row r="486" spans="1:12" ht="30" customHeight="1">
      <c r="A486" s="172" t="str">
        <f t="shared" si="14"/>
        <v>17/08/20233</v>
      </c>
      <c r="B486" s="166">
        <f t="shared" si="15"/>
        <v>3</v>
      </c>
      <c r="C486" s="63" t="s">
        <v>2246</v>
      </c>
      <c r="D486" s="64" t="s">
        <v>2359</v>
      </c>
      <c r="E486" s="63">
        <v>1</v>
      </c>
      <c r="F486" s="63" t="s">
        <v>29</v>
      </c>
      <c r="G486" s="65">
        <v>45155</v>
      </c>
      <c r="H486" s="65" t="s">
        <v>73</v>
      </c>
      <c r="I486" s="65" t="s">
        <v>1219</v>
      </c>
      <c r="J486" s="63" t="s">
        <v>1341</v>
      </c>
      <c r="K486" s="63" t="s">
        <v>811</v>
      </c>
      <c r="L486" s="63" t="s">
        <v>767</v>
      </c>
    </row>
    <row r="487" spans="1:12" ht="30" customHeight="1">
      <c r="A487" s="172" t="str">
        <f t="shared" si="14"/>
        <v>17/08/20234</v>
      </c>
      <c r="B487" s="166">
        <f t="shared" si="15"/>
        <v>4</v>
      </c>
      <c r="C487" s="63" t="s">
        <v>2210</v>
      </c>
      <c r="D487" s="64" t="s">
        <v>2360</v>
      </c>
      <c r="E487" s="63">
        <v>5</v>
      </c>
      <c r="F487" s="63" t="s">
        <v>43</v>
      </c>
      <c r="G487" s="65">
        <v>45155</v>
      </c>
      <c r="H487" s="65" t="s">
        <v>1083</v>
      </c>
      <c r="I487" s="65" t="s">
        <v>31</v>
      </c>
      <c r="J487" s="63">
        <f>IFERROR(VLOOKUP(I487,Jueces!$A$1:$B$11,2,FALSE),"")</f>
        <v>2</v>
      </c>
      <c r="K487" s="63" t="s">
        <v>810</v>
      </c>
      <c r="L487" s="63" t="s">
        <v>700</v>
      </c>
    </row>
    <row r="488" spans="1:12" ht="30" customHeight="1">
      <c r="A488" s="172" t="str">
        <f t="shared" si="14"/>
        <v>17/08/20235</v>
      </c>
      <c r="B488" s="166">
        <f t="shared" si="15"/>
        <v>5</v>
      </c>
      <c r="C488" s="7" t="s">
        <v>2244</v>
      </c>
      <c r="D488" s="40" t="s">
        <v>2361</v>
      </c>
      <c r="E488" s="7">
        <v>5</v>
      </c>
      <c r="F488" s="7" t="s">
        <v>1435</v>
      </c>
      <c r="G488" s="19">
        <v>45155</v>
      </c>
      <c r="H488" s="19" t="s">
        <v>1083</v>
      </c>
      <c r="I488" s="19" t="s">
        <v>1216</v>
      </c>
      <c r="J488" s="7">
        <f>IFERROR(VLOOKUP(I488,Jueces!$A$1:$B$11,2,FALSE),"")</f>
        <v>1</v>
      </c>
      <c r="K488" s="7" t="s">
        <v>809</v>
      </c>
      <c r="L488" s="7" t="s">
        <v>2353</v>
      </c>
    </row>
    <row r="489" spans="1:12" ht="30" customHeight="1">
      <c r="A489" s="172" t="str">
        <f t="shared" si="14"/>
        <v>18/08/20231</v>
      </c>
      <c r="B489" s="166">
        <f t="shared" si="15"/>
        <v>1</v>
      </c>
      <c r="C489" s="63" t="s">
        <v>2185</v>
      </c>
      <c r="D489" s="64" t="s">
        <v>2374</v>
      </c>
      <c r="E489" s="63">
        <v>8</v>
      </c>
      <c r="F489" s="63" t="s">
        <v>1434</v>
      </c>
      <c r="G489" s="65">
        <v>45156</v>
      </c>
      <c r="H489" s="65" t="s">
        <v>73</v>
      </c>
      <c r="I489" s="65" t="s">
        <v>35</v>
      </c>
      <c r="J489" s="63">
        <f>IFERROR(VLOOKUP(I489,Jueces!$A$1:$B$11,2,FALSE),"")</f>
        <v>3</v>
      </c>
      <c r="K489" s="63" t="s">
        <v>1067</v>
      </c>
      <c r="L489" s="63" t="s">
        <v>2212</v>
      </c>
    </row>
    <row r="490" spans="1:12" ht="30" customHeight="1">
      <c r="A490" s="172" t="str">
        <f t="shared" si="14"/>
        <v>18/08/20232</v>
      </c>
      <c r="B490" s="166">
        <f t="shared" si="15"/>
        <v>2</v>
      </c>
      <c r="C490" s="63" t="s">
        <v>2227</v>
      </c>
      <c r="D490" s="64" t="s">
        <v>2207</v>
      </c>
      <c r="E490" s="63">
        <v>5</v>
      </c>
      <c r="F490" s="63" t="s">
        <v>568</v>
      </c>
      <c r="G490" s="65">
        <v>45156</v>
      </c>
      <c r="H490" s="65" t="s">
        <v>73</v>
      </c>
      <c r="I490" s="65" t="s">
        <v>78</v>
      </c>
      <c r="J490" s="63">
        <f>IFERROR(VLOOKUP(I490,Jueces!$A$1:$B$11,2,FALSE),"")</f>
        <v>8</v>
      </c>
      <c r="K490" s="63" t="s">
        <v>508</v>
      </c>
      <c r="L490" s="63" t="s">
        <v>2353</v>
      </c>
    </row>
    <row r="491" spans="1:12" ht="30" customHeight="1">
      <c r="A491" s="172" t="str">
        <f t="shared" si="14"/>
        <v>18/08/20233</v>
      </c>
      <c r="B491" s="166">
        <f t="shared" si="15"/>
        <v>3</v>
      </c>
      <c r="C491" s="63" t="s">
        <v>2213</v>
      </c>
      <c r="D491" s="64" t="s">
        <v>2214</v>
      </c>
      <c r="E491" s="63">
        <v>5</v>
      </c>
      <c r="F491" s="63" t="s">
        <v>1433</v>
      </c>
      <c r="G491" s="65">
        <v>45156</v>
      </c>
      <c r="H491" s="65" t="s">
        <v>73</v>
      </c>
      <c r="I491" s="65" t="s">
        <v>31</v>
      </c>
      <c r="J491" s="63">
        <f>IFERROR(VLOOKUP(I491,Jueces!$A$1:$B$11,2,FALSE),"")</f>
        <v>2</v>
      </c>
      <c r="K491" s="63" t="s">
        <v>2077</v>
      </c>
      <c r="L491" s="63" t="s">
        <v>1563</v>
      </c>
    </row>
    <row r="492" spans="1:12" ht="30" customHeight="1">
      <c r="A492" s="172" t="str">
        <f t="shared" si="14"/>
        <v>18/08/20234</v>
      </c>
      <c r="B492" s="166">
        <f t="shared" si="15"/>
        <v>4</v>
      </c>
      <c r="C492" s="63" t="s">
        <v>2249</v>
      </c>
      <c r="D492" s="64" t="s">
        <v>2251</v>
      </c>
      <c r="E492" s="63">
        <v>5</v>
      </c>
      <c r="F492" s="63" t="s">
        <v>43</v>
      </c>
      <c r="G492" s="65">
        <v>45156</v>
      </c>
      <c r="H492" s="65" t="s">
        <v>73</v>
      </c>
      <c r="I492" s="65" t="s">
        <v>33</v>
      </c>
      <c r="J492" s="63">
        <f>IFERROR(VLOOKUP(I492,Jueces!$A$1:$B$11,2,FALSE),"")</f>
        <v>4</v>
      </c>
      <c r="K492" s="63" t="s">
        <v>810</v>
      </c>
      <c r="L492" s="63" t="s">
        <v>2250</v>
      </c>
    </row>
    <row r="493" spans="1:12" ht="30" customHeight="1">
      <c r="A493" s="172" t="str">
        <f t="shared" si="14"/>
        <v>18/08/20235</v>
      </c>
      <c r="B493" s="166">
        <f t="shared" si="15"/>
        <v>5</v>
      </c>
      <c r="C493" s="63" t="s">
        <v>2262</v>
      </c>
      <c r="D493" s="64" t="s">
        <v>2279</v>
      </c>
      <c r="E493" s="63">
        <v>6</v>
      </c>
      <c r="F493" s="63" t="s">
        <v>29</v>
      </c>
      <c r="G493" s="65">
        <v>45156</v>
      </c>
      <c r="H493" s="65" t="s">
        <v>73</v>
      </c>
      <c r="I493" s="65" t="s">
        <v>1219</v>
      </c>
      <c r="J493" s="63" t="s">
        <v>1341</v>
      </c>
      <c r="K493" s="63" t="s">
        <v>805</v>
      </c>
      <c r="L493" s="63" t="s">
        <v>2368</v>
      </c>
    </row>
    <row r="494" spans="1:12" ht="30" customHeight="1">
      <c r="A494" s="172" t="str">
        <f t="shared" si="14"/>
        <v>18/08/20236</v>
      </c>
      <c r="B494" s="166">
        <f t="shared" si="15"/>
        <v>6</v>
      </c>
      <c r="C494" s="63" t="s">
        <v>2215</v>
      </c>
      <c r="D494" s="64" t="s">
        <v>2217</v>
      </c>
      <c r="E494" s="63">
        <v>5</v>
      </c>
      <c r="F494" s="63" t="s">
        <v>1435</v>
      </c>
      <c r="G494" s="65">
        <v>45156</v>
      </c>
      <c r="H494" s="65" t="s">
        <v>1083</v>
      </c>
      <c r="I494" s="65" t="s">
        <v>1218</v>
      </c>
      <c r="J494" s="63">
        <v>3</v>
      </c>
      <c r="K494" s="63" t="s">
        <v>792</v>
      </c>
      <c r="L494" s="63" t="s">
        <v>1866</v>
      </c>
    </row>
    <row r="495" spans="1:12" ht="30" customHeight="1">
      <c r="A495" s="172" t="str">
        <f t="shared" si="14"/>
        <v>18/08/20237</v>
      </c>
      <c r="B495" s="166">
        <f t="shared" si="15"/>
        <v>7</v>
      </c>
      <c r="C495" s="63" t="s">
        <v>2260</v>
      </c>
      <c r="D495" s="64" t="s">
        <v>2261</v>
      </c>
      <c r="E495" s="63">
        <v>6</v>
      </c>
      <c r="F495" s="63" t="s">
        <v>32</v>
      </c>
      <c r="G495" s="65">
        <v>45156</v>
      </c>
      <c r="H495" s="65" t="s">
        <v>1083</v>
      </c>
      <c r="I495" s="65" t="s">
        <v>1216</v>
      </c>
      <c r="J495" s="63">
        <f>IFERROR(VLOOKUP(I495,Jueces!$A$1:$B$11,2,FALSE),"")</f>
        <v>1</v>
      </c>
      <c r="K495" s="63" t="s">
        <v>810</v>
      </c>
      <c r="L495" s="63" t="s">
        <v>2368</v>
      </c>
    </row>
    <row r="496" spans="1:12" ht="30" customHeight="1">
      <c r="A496" s="172" t="str">
        <f t="shared" si="14"/>
        <v>18/08/20238</v>
      </c>
      <c r="B496" s="166">
        <f t="shared" si="15"/>
        <v>8</v>
      </c>
      <c r="C496" s="63" t="s">
        <v>2306</v>
      </c>
      <c r="D496" s="64" t="s">
        <v>2304</v>
      </c>
      <c r="E496" s="63">
        <v>5</v>
      </c>
      <c r="F496" s="63" t="s">
        <v>283</v>
      </c>
      <c r="G496" s="65">
        <v>45156</v>
      </c>
      <c r="H496" s="65" t="s">
        <v>1083</v>
      </c>
      <c r="I496" s="65" t="s">
        <v>1220</v>
      </c>
      <c r="J496" s="63" t="s">
        <v>1512</v>
      </c>
      <c r="K496" s="63" t="s">
        <v>2076</v>
      </c>
      <c r="L496" s="63" t="s">
        <v>2353</v>
      </c>
    </row>
    <row r="497" spans="1:12" ht="30" customHeight="1">
      <c r="A497" s="172" t="str">
        <f t="shared" si="14"/>
        <v>22/08/20231</v>
      </c>
      <c r="B497" s="166">
        <f t="shared" si="15"/>
        <v>1</v>
      </c>
      <c r="C497" s="63" t="s">
        <v>2173</v>
      </c>
      <c r="D497" s="64" t="s">
        <v>2203</v>
      </c>
      <c r="E497" s="63">
        <v>6</v>
      </c>
      <c r="F497" s="63" t="s">
        <v>1434</v>
      </c>
      <c r="G497" s="65">
        <v>45160</v>
      </c>
      <c r="H497" s="65" t="s">
        <v>73</v>
      </c>
      <c r="I497" s="65" t="s">
        <v>31</v>
      </c>
      <c r="J497" s="63" t="s">
        <v>2324</v>
      </c>
      <c r="K497" s="63" t="s">
        <v>807</v>
      </c>
      <c r="L497" s="63" t="s">
        <v>2107</v>
      </c>
    </row>
    <row r="498" spans="1:12" ht="30" customHeight="1">
      <c r="A498" s="172" t="str">
        <f t="shared" si="14"/>
        <v>22/08/20232</v>
      </c>
      <c r="B498" s="166">
        <f t="shared" si="15"/>
        <v>2</v>
      </c>
      <c r="C498" s="63" t="s">
        <v>2267</v>
      </c>
      <c r="D498" s="64" t="s">
        <v>2269</v>
      </c>
      <c r="E498" s="63">
        <v>4</v>
      </c>
      <c r="F498" s="63" t="s">
        <v>283</v>
      </c>
      <c r="G498" s="65">
        <v>45160</v>
      </c>
      <c r="H498" s="65" t="s">
        <v>73</v>
      </c>
      <c r="I498" s="65" t="s">
        <v>35</v>
      </c>
      <c r="J498" s="63">
        <f>IFERROR(VLOOKUP(I498,Jueces!$A$1:$B$11,2,FALSE),"")</f>
        <v>3</v>
      </c>
      <c r="K498" s="63" t="s">
        <v>812</v>
      </c>
      <c r="L498" s="63" t="s">
        <v>2268</v>
      </c>
    </row>
    <row r="499" spans="1:12" ht="30" customHeight="1">
      <c r="A499" s="172" t="str">
        <f t="shared" si="14"/>
        <v>22/08/20233</v>
      </c>
      <c r="B499" s="166">
        <f t="shared" si="15"/>
        <v>3</v>
      </c>
      <c r="C499" s="63" t="s">
        <v>2288</v>
      </c>
      <c r="D499" s="64" t="s">
        <v>2294</v>
      </c>
      <c r="E499" s="63">
        <v>4</v>
      </c>
      <c r="F499" s="63" t="s">
        <v>568</v>
      </c>
      <c r="G499" s="65">
        <v>45160</v>
      </c>
      <c r="H499" s="65" t="s">
        <v>73</v>
      </c>
      <c r="I499" s="65" t="s">
        <v>33</v>
      </c>
      <c r="J499" s="63">
        <f>IFERROR(VLOOKUP(I499,Jueces!$A$1:$B$11,2,FALSE),"")</f>
        <v>4</v>
      </c>
      <c r="K499" s="63" t="s">
        <v>799</v>
      </c>
      <c r="L499" s="63" t="s">
        <v>2201</v>
      </c>
    </row>
    <row r="500" spans="1:12" ht="30" customHeight="1">
      <c r="A500" s="172" t="str">
        <f t="shared" si="14"/>
        <v>22/08/20234</v>
      </c>
      <c r="B500" s="166">
        <f t="shared" si="15"/>
        <v>4</v>
      </c>
      <c r="C500" s="63" t="s">
        <v>2263</v>
      </c>
      <c r="D500" s="64" t="s">
        <v>2309</v>
      </c>
      <c r="E500" s="63">
        <v>6</v>
      </c>
      <c r="F500" s="63" t="s">
        <v>1433</v>
      </c>
      <c r="G500" s="65">
        <v>45160</v>
      </c>
      <c r="H500" s="65" t="s">
        <v>749</v>
      </c>
      <c r="I500" s="65" t="s">
        <v>1218</v>
      </c>
      <c r="J500" s="63" t="s">
        <v>2375</v>
      </c>
      <c r="K500" s="63" t="s">
        <v>791</v>
      </c>
      <c r="L500" s="63" t="s">
        <v>2286</v>
      </c>
    </row>
    <row r="501" spans="1:12" ht="30" customHeight="1">
      <c r="A501" s="172" t="str">
        <f t="shared" si="14"/>
        <v>22/08/20235</v>
      </c>
      <c r="B501" s="166">
        <f t="shared" si="15"/>
        <v>5</v>
      </c>
      <c r="C501" s="63" t="s">
        <v>2284</v>
      </c>
      <c r="D501" s="64" t="s">
        <v>2289</v>
      </c>
      <c r="E501" s="63">
        <v>5</v>
      </c>
      <c r="F501" s="63" t="s">
        <v>29</v>
      </c>
      <c r="G501" s="65">
        <v>45160</v>
      </c>
      <c r="H501" s="65" t="s">
        <v>1083</v>
      </c>
      <c r="I501" s="65" t="s">
        <v>1216</v>
      </c>
      <c r="J501" s="63">
        <f>IFERROR(VLOOKUP(I501,Jueces!$A$1:$B$11,2,FALSE),"")</f>
        <v>1</v>
      </c>
      <c r="K501" s="63" t="s">
        <v>809</v>
      </c>
      <c r="L501" s="63" t="s">
        <v>2107</v>
      </c>
    </row>
    <row r="502" spans="1:12" ht="30" customHeight="1">
      <c r="A502" s="172" t="str">
        <f t="shared" si="14"/>
        <v>23/08/20231</v>
      </c>
      <c r="B502" s="166">
        <f t="shared" si="15"/>
        <v>1</v>
      </c>
      <c r="C502" s="63" t="s">
        <v>2264</v>
      </c>
      <c r="D502" s="64" t="s">
        <v>2394</v>
      </c>
      <c r="E502" s="63">
        <v>4</v>
      </c>
      <c r="F502" s="63" t="s">
        <v>283</v>
      </c>
      <c r="G502" s="65">
        <v>45161</v>
      </c>
      <c r="H502" s="65" t="s">
        <v>73</v>
      </c>
      <c r="I502" s="65" t="s">
        <v>1219</v>
      </c>
      <c r="J502" s="63" t="s">
        <v>1321</v>
      </c>
      <c r="K502" s="63" t="s">
        <v>806</v>
      </c>
      <c r="L502" s="63" t="s">
        <v>2266</v>
      </c>
    </row>
    <row r="503" spans="1:12" ht="30" customHeight="1">
      <c r="A503" s="172" t="str">
        <f t="shared" si="14"/>
        <v>23/08/20232</v>
      </c>
      <c r="B503" s="166">
        <f t="shared" si="15"/>
        <v>2</v>
      </c>
      <c r="C503" s="63" t="s">
        <v>2282</v>
      </c>
      <c r="D503" s="64" t="s">
        <v>2395</v>
      </c>
      <c r="E503" s="63">
        <v>7</v>
      </c>
      <c r="F503" s="63" t="s">
        <v>1435</v>
      </c>
      <c r="G503" s="65">
        <v>45161</v>
      </c>
      <c r="H503" s="65" t="s">
        <v>73</v>
      </c>
      <c r="I503" s="65" t="s">
        <v>1218</v>
      </c>
      <c r="J503" s="63" t="s">
        <v>1341</v>
      </c>
      <c r="K503" s="64" t="s">
        <v>192</v>
      </c>
      <c r="L503" s="63" t="s">
        <v>2107</v>
      </c>
    </row>
    <row r="504" spans="1:12" ht="30" customHeight="1">
      <c r="A504" s="172" t="str">
        <f t="shared" si="14"/>
        <v>23/08/20233</v>
      </c>
      <c r="B504" s="166">
        <f t="shared" si="15"/>
        <v>3</v>
      </c>
      <c r="C504" s="63" t="s">
        <v>2296</v>
      </c>
      <c r="D504" s="64" t="s">
        <v>2396</v>
      </c>
      <c r="E504" s="63">
        <v>5</v>
      </c>
      <c r="F504" s="63" t="s">
        <v>568</v>
      </c>
      <c r="G504" s="65">
        <v>45161</v>
      </c>
      <c r="H504" s="65" t="s">
        <v>73</v>
      </c>
      <c r="I504" s="65" t="s">
        <v>1216</v>
      </c>
      <c r="J504" s="63" t="s">
        <v>1512</v>
      </c>
      <c r="K504" s="63" t="s">
        <v>2412</v>
      </c>
      <c r="L504" s="7" t="s">
        <v>2411</v>
      </c>
    </row>
    <row r="505" spans="1:12" ht="30" customHeight="1">
      <c r="A505" s="172" t="str">
        <f t="shared" si="14"/>
        <v>23/08/20234</v>
      </c>
      <c r="B505" s="166">
        <f t="shared" si="15"/>
        <v>4</v>
      </c>
      <c r="C505" s="63" t="s">
        <v>2303</v>
      </c>
      <c r="D505" s="64" t="s">
        <v>2397</v>
      </c>
      <c r="E505" s="63">
        <v>6</v>
      </c>
      <c r="F505" s="63" t="s">
        <v>43</v>
      </c>
      <c r="G505" s="65">
        <v>45161</v>
      </c>
      <c r="H505" s="65" t="s">
        <v>73</v>
      </c>
      <c r="I505" s="65" t="s">
        <v>1220</v>
      </c>
      <c r="J505" s="63" t="s">
        <v>2375</v>
      </c>
      <c r="K505" s="63" t="s">
        <v>827</v>
      </c>
      <c r="L505" s="7" t="s">
        <v>2201</v>
      </c>
    </row>
    <row r="506" spans="1:12" ht="30" customHeight="1">
      <c r="A506" s="172" t="str">
        <f t="shared" si="14"/>
        <v>23/08/20235</v>
      </c>
      <c r="B506" s="166">
        <f t="shared" si="15"/>
        <v>5</v>
      </c>
      <c r="C506" s="63" t="s">
        <v>2240</v>
      </c>
      <c r="D506" s="64" t="s">
        <v>2398</v>
      </c>
      <c r="E506" s="63">
        <v>5</v>
      </c>
      <c r="F506" s="63" t="s">
        <v>1434</v>
      </c>
      <c r="G506" s="65">
        <v>45161</v>
      </c>
      <c r="H506" s="65" t="s">
        <v>1083</v>
      </c>
      <c r="I506" s="65" t="s">
        <v>31</v>
      </c>
      <c r="J506" s="63" t="s">
        <v>1341</v>
      </c>
      <c r="K506" s="63" t="s">
        <v>811</v>
      </c>
      <c r="L506" s="7" t="s">
        <v>2107</v>
      </c>
    </row>
    <row r="507" spans="1:12" ht="30" customHeight="1">
      <c r="A507" s="172" t="str">
        <f t="shared" si="14"/>
        <v>23/08/20236</v>
      </c>
      <c r="B507" s="166">
        <f t="shared" si="15"/>
        <v>6</v>
      </c>
      <c r="C507" s="63" t="s">
        <v>2341</v>
      </c>
      <c r="D507" s="64" t="s">
        <v>2399</v>
      </c>
      <c r="E507" s="63">
        <v>5</v>
      </c>
      <c r="F507" s="63" t="s">
        <v>32</v>
      </c>
      <c r="G507" s="65">
        <v>45161</v>
      </c>
      <c r="H507" s="65" t="s">
        <v>1083</v>
      </c>
      <c r="I507" s="65" t="s">
        <v>33</v>
      </c>
      <c r="J507" s="63">
        <f>IFERROR(VLOOKUP(I507,Jueces!$A$1:$B$11,2,FALSE),"")</f>
        <v>4</v>
      </c>
      <c r="K507" s="63" t="s">
        <v>800</v>
      </c>
      <c r="L507" s="7" t="s">
        <v>1956</v>
      </c>
    </row>
    <row r="508" spans="1:12" ht="30" customHeight="1">
      <c r="A508" s="172" t="str">
        <f t="shared" si="14"/>
        <v>23/08/20237</v>
      </c>
      <c r="B508" s="166">
        <f t="shared" si="15"/>
        <v>7</v>
      </c>
      <c r="C508" s="63" t="s">
        <v>2287</v>
      </c>
      <c r="D508" s="64" t="s">
        <v>2400</v>
      </c>
      <c r="E508" s="63">
        <v>6</v>
      </c>
      <c r="F508" s="63" t="s">
        <v>29</v>
      </c>
      <c r="G508" s="65">
        <v>45161</v>
      </c>
      <c r="H508" s="65" t="s">
        <v>77</v>
      </c>
      <c r="I508" s="65" t="s">
        <v>31</v>
      </c>
      <c r="J508" s="63" t="s">
        <v>1483</v>
      </c>
      <c r="K508" s="63" t="s">
        <v>809</v>
      </c>
      <c r="L508" s="7" t="s">
        <v>2107</v>
      </c>
    </row>
    <row r="509" spans="1:12" ht="30" customHeight="1">
      <c r="A509" s="172" t="str">
        <f t="shared" si="14"/>
        <v>24/08/20231</v>
      </c>
      <c r="B509" s="166">
        <f t="shared" si="15"/>
        <v>1</v>
      </c>
      <c r="C509" s="63" t="s">
        <v>2265</v>
      </c>
      <c r="D509" s="64" t="s">
        <v>2434</v>
      </c>
      <c r="E509" s="63">
        <v>7</v>
      </c>
      <c r="F509" s="63" t="s">
        <v>1435</v>
      </c>
      <c r="G509" s="65">
        <v>45162</v>
      </c>
      <c r="H509" s="65" t="s">
        <v>73</v>
      </c>
      <c r="I509" s="65" t="s">
        <v>1218</v>
      </c>
      <c r="J509" s="63" t="s">
        <v>1341</v>
      </c>
      <c r="K509" s="63" t="s">
        <v>2077</v>
      </c>
      <c r="L509" s="63" t="s">
        <v>2305</v>
      </c>
    </row>
    <row r="510" spans="1:12" ht="30" customHeight="1">
      <c r="A510" s="172" t="str">
        <f t="shared" si="14"/>
        <v>24/08/20232</v>
      </c>
      <c r="B510" s="166">
        <f t="shared" si="15"/>
        <v>2</v>
      </c>
      <c r="C510" s="63" t="s">
        <v>2281</v>
      </c>
      <c r="D510" s="64" t="s">
        <v>2428</v>
      </c>
      <c r="E510" s="63">
        <v>8</v>
      </c>
      <c r="F510" s="63" t="s">
        <v>43</v>
      </c>
      <c r="G510" s="65">
        <v>45162</v>
      </c>
      <c r="H510" s="65" t="s">
        <v>73</v>
      </c>
      <c r="I510" s="65" t="s">
        <v>33</v>
      </c>
      <c r="J510" s="63">
        <f>IFERROR(VLOOKUP(I510,Jueces!$A$1:$B$11,2,FALSE),"")</f>
        <v>4</v>
      </c>
      <c r="K510" s="63" t="s">
        <v>1067</v>
      </c>
      <c r="L510" s="63" t="s">
        <v>2295</v>
      </c>
    </row>
    <row r="511" spans="1:12" ht="30" customHeight="1">
      <c r="A511" s="172" t="str">
        <f t="shared" si="14"/>
        <v>24/08/20233</v>
      </c>
      <c r="B511" s="166">
        <f t="shared" si="15"/>
        <v>3</v>
      </c>
      <c r="C511" s="63" t="s">
        <v>2297</v>
      </c>
      <c r="D511" s="64" t="s">
        <v>2450</v>
      </c>
      <c r="E511" s="63">
        <v>5</v>
      </c>
      <c r="F511" s="63" t="s">
        <v>29</v>
      </c>
      <c r="G511" s="65">
        <v>45162</v>
      </c>
      <c r="H511" s="65" t="s">
        <v>73</v>
      </c>
      <c r="I511" s="65" t="s">
        <v>78</v>
      </c>
      <c r="J511" s="63">
        <f>IFERROR(VLOOKUP(I511,Jueces!$A$1:$B$11,2,FALSE),"")</f>
        <v>8</v>
      </c>
      <c r="K511" s="63" t="s">
        <v>795</v>
      </c>
      <c r="L511" s="63" t="s">
        <v>2298</v>
      </c>
    </row>
    <row r="512" spans="1:12" ht="30" customHeight="1">
      <c r="A512" s="172" t="str">
        <f t="shared" si="14"/>
        <v>24/08/20234</v>
      </c>
      <c r="B512" s="166">
        <f t="shared" si="15"/>
        <v>4</v>
      </c>
      <c r="C512" s="63" t="s">
        <v>2302</v>
      </c>
      <c r="D512" s="64" t="s">
        <v>2323</v>
      </c>
      <c r="E512" s="63">
        <v>6</v>
      </c>
      <c r="F512" s="63" t="s">
        <v>1434</v>
      </c>
      <c r="G512" s="65">
        <v>45162</v>
      </c>
      <c r="H512" s="65" t="s">
        <v>73</v>
      </c>
      <c r="I512" s="65" t="s">
        <v>1219</v>
      </c>
      <c r="J512" s="63" t="s">
        <v>1916</v>
      </c>
      <c r="K512" s="63" t="s">
        <v>805</v>
      </c>
      <c r="L512" s="63" t="s">
        <v>725</v>
      </c>
    </row>
    <row r="513" spans="1:12" ht="30" customHeight="1">
      <c r="A513" s="172" t="str">
        <f t="shared" si="14"/>
        <v>24/08/20235</v>
      </c>
      <c r="B513" s="166">
        <f t="shared" si="15"/>
        <v>5</v>
      </c>
      <c r="C513" s="63" t="s">
        <v>2307</v>
      </c>
      <c r="D513" s="64" t="s">
        <v>2334</v>
      </c>
      <c r="E513" s="63">
        <v>5</v>
      </c>
      <c r="F513" s="63" t="s">
        <v>1433</v>
      </c>
      <c r="G513" s="65">
        <v>45162</v>
      </c>
      <c r="H513" s="65" t="s">
        <v>73</v>
      </c>
      <c r="I513" s="65" t="s">
        <v>1219</v>
      </c>
      <c r="J513" s="63" t="s">
        <v>1916</v>
      </c>
      <c r="K513" s="63" t="s">
        <v>810</v>
      </c>
      <c r="L513" s="63" t="s">
        <v>1956</v>
      </c>
    </row>
    <row r="514" spans="1:12" ht="30" customHeight="1">
      <c r="A514" s="172" t="str">
        <f t="shared" si="14"/>
        <v>24/08/20236</v>
      </c>
      <c r="B514" s="166">
        <f t="shared" si="15"/>
        <v>6</v>
      </c>
      <c r="C514" s="63" t="s">
        <v>2331</v>
      </c>
      <c r="D514" s="64" t="s">
        <v>2332</v>
      </c>
      <c r="E514" s="63">
        <v>6</v>
      </c>
      <c r="F514" s="63" t="s">
        <v>568</v>
      </c>
      <c r="G514" s="65">
        <v>45162</v>
      </c>
      <c r="H514" s="65" t="s">
        <v>73</v>
      </c>
      <c r="I514" s="65" t="s">
        <v>1216</v>
      </c>
      <c r="J514" s="63" t="s">
        <v>1512</v>
      </c>
      <c r="K514" s="63" t="s">
        <v>827</v>
      </c>
      <c r="L514" s="63" t="s">
        <v>2107</v>
      </c>
    </row>
    <row r="515" spans="1:12" ht="30" customHeight="1">
      <c r="A515" s="172" t="str">
        <f t="shared" ref="A515:A578" si="16">CONCATENATE(TEXT($G515,"dd/mm/yyyy"),$B515)</f>
        <v>24/08/20237</v>
      </c>
      <c r="B515" s="166">
        <f t="shared" si="15"/>
        <v>7</v>
      </c>
      <c r="C515" s="63" t="s">
        <v>2329</v>
      </c>
      <c r="D515" s="64" t="s">
        <v>2340</v>
      </c>
      <c r="E515" s="63">
        <v>5</v>
      </c>
      <c r="F515" s="63" t="s">
        <v>283</v>
      </c>
      <c r="G515" s="65">
        <v>45162</v>
      </c>
      <c r="H515" s="65" t="s">
        <v>1083</v>
      </c>
      <c r="I515" s="65" t="s">
        <v>1220</v>
      </c>
      <c r="J515" s="63" t="s">
        <v>1512</v>
      </c>
      <c r="K515" s="63" t="s">
        <v>2076</v>
      </c>
      <c r="L515" s="63" t="s">
        <v>2107</v>
      </c>
    </row>
    <row r="516" spans="1:12" ht="30" customHeight="1">
      <c r="A516" s="172" t="str">
        <f t="shared" si="16"/>
        <v>25/08/20231</v>
      </c>
      <c r="B516" s="166">
        <f t="shared" ref="B516:B579" si="17">IF($G516=$G515,$B515+1,1)</f>
        <v>1</v>
      </c>
      <c r="C516" s="63" t="s">
        <v>2283</v>
      </c>
      <c r="D516" s="64" t="s">
        <v>2378</v>
      </c>
      <c r="E516" s="63">
        <v>6</v>
      </c>
      <c r="F516" s="63" t="s">
        <v>1435</v>
      </c>
      <c r="G516" s="65">
        <v>45163</v>
      </c>
      <c r="H516" s="65" t="s">
        <v>73</v>
      </c>
      <c r="I516" s="65" t="s">
        <v>1219</v>
      </c>
      <c r="J516" s="63" t="s">
        <v>1916</v>
      </c>
      <c r="K516" s="63" t="s">
        <v>1067</v>
      </c>
      <c r="L516" s="63" t="s">
        <v>1408</v>
      </c>
    </row>
    <row r="517" spans="1:12" ht="30" customHeight="1">
      <c r="A517" s="172" t="str">
        <f t="shared" si="16"/>
        <v>25/08/20232</v>
      </c>
      <c r="B517" s="166">
        <f t="shared" si="17"/>
        <v>2</v>
      </c>
      <c r="C517" s="63" t="s">
        <v>2337</v>
      </c>
      <c r="D517" s="64" t="s">
        <v>2453</v>
      </c>
      <c r="E517" s="63">
        <v>6</v>
      </c>
      <c r="F517" s="63" t="s">
        <v>568</v>
      </c>
      <c r="G517" s="65">
        <v>45163</v>
      </c>
      <c r="H517" s="65" t="s">
        <v>73</v>
      </c>
      <c r="I517" s="65" t="s">
        <v>1216</v>
      </c>
      <c r="J517" s="63" t="s">
        <v>1512</v>
      </c>
      <c r="K517" s="63" t="s">
        <v>810</v>
      </c>
      <c r="L517" s="63" t="s">
        <v>725</v>
      </c>
    </row>
    <row r="518" spans="1:12" ht="30" customHeight="1">
      <c r="A518" s="172" t="str">
        <f t="shared" si="16"/>
        <v>25/08/20233</v>
      </c>
      <c r="B518" s="166">
        <f t="shared" si="17"/>
        <v>3</v>
      </c>
      <c r="C518" s="63" t="s">
        <v>2349</v>
      </c>
      <c r="D518" s="64" t="s">
        <v>2454</v>
      </c>
      <c r="E518" s="63">
        <v>6</v>
      </c>
      <c r="F518" s="63" t="s">
        <v>43</v>
      </c>
      <c r="G518" s="65">
        <v>45163</v>
      </c>
      <c r="H518" s="65" t="s">
        <v>73</v>
      </c>
      <c r="I518" s="65" t="s">
        <v>1218</v>
      </c>
      <c r="J518" s="63" t="s">
        <v>1341</v>
      </c>
      <c r="K518" s="63" t="s">
        <v>797</v>
      </c>
      <c r="L518" s="63" t="s">
        <v>2107</v>
      </c>
    </row>
    <row r="519" spans="1:12" ht="30" customHeight="1">
      <c r="A519" s="172" t="str">
        <f t="shared" si="16"/>
        <v>25/08/20234</v>
      </c>
      <c r="B519" s="166">
        <f t="shared" si="17"/>
        <v>4</v>
      </c>
      <c r="C519" s="63" t="s">
        <v>2377</v>
      </c>
      <c r="D519" s="64" t="s">
        <v>2455</v>
      </c>
      <c r="E519" s="63">
        <v>6</v>
      </c>
      <c r="F519" s="63" t="s">
        <v>32</v>
      </c>
      <c r="G519" s="65">
        <v>45163</v>
      </c>
      <c r="H519" s="65" t="s">
        <v>73</v>
      </c>
      <c r="I519" s="65" t="s">
        <v>78</v>
      </c>
      <c r="J519" s="63" t="s">
        <v>1483</v>
      </c>
      <c r="K519" s="63" t="s">
        <v>809</v>
      </c>
      <c r="L519" s="63" t="s">
        <v>2201</v>
      </c>
    </row>
    <row r="520" spans="1:12" ht="30" customHeight="1">
      <c r="A520" s="172" t="str">
        <f t="shared" si="16"/>
        <v>25/08/20235</v>
      </c>
      <c r="B520" s="166">
        <f t="shared" si="17"/>
        <v>5</v>
      </c>
      <c r="C520" s="63" t="s">
        <v>2347</v>
      </c>
      <c r="D520" s="64" t="s">
        <v>2456</v>
      </c>
      <c r="E520" s="63">
        <v>4</v>
      </c>
      <c r="F520" s="63" t="s">
        <v>29</v>
      </c>
      <c r="G520" s="65">
        <v>45163</v>
      </c>
      <c r="H520" s="65" t="s">
        <v>1083</v>
      </c>
      <c r="I520" s="65" t="s">
        <v>1220</v>
      </c>
      <c r="J520" s="63" t="s">
        <v>1321</v>
      </c>
      <c r="K520" s="63" t="s">
        <v>795</v>
      </c>
      <c r="L520" s="63" t="s">
        <v>2351</v>
      </c>
    </row>
    <row r="521" spans="1:12" ht="30" customHeight="1">
      <c r="A521" s="172" t="str">
        <f t="shared" si="16"/>
        <v>25/08/20236</v>
      </c>
      <c r="B521" s="166">
        <f t="shared" si="17"/>
        <v>6</v>
      </c>
      <c r="C521" s="63" t="s">
        <v>2350</v>
      </c>
      <c r="D521" s="64" t="s">
        <v>2457</v>
      </c>
      <c r="E521" s="63">
        <v>5</v>
      </c>
      <c r="F521" s="63" t="s">
        <v>1434</v>
      </c>
      <c r="G521" s="65">
        <v>45163</v>
      </c>
      <c r="H521" s="65" t="s">
        <v>1083</v>
      </c>
      <c r="I521" s="65" t="s">
        <v>33</v>
      </c>
      <c r="J521" s="63" t="s">
        <v>1512</v>
      </c>
      <c r="K521" s="63" t="s">
        <v>797</v>
      </c>
      <c r="L521" s="63" t="s">
        <v>1956</v>
      </c>
    </row>
    <row r="522" spans="1:12" ht="30" customHeight="1">
      <c r="A522" s="172" t="str">
        <f t="shared" si="16"/>
        <v>29/08/20231</v>
      </c>
      <c r="B522" s="166">
        <f t="shared" si="17"/>
        <v>1</v>
      </c>
      <c r="C522" s="63" t="s">
        <v>2280</v>
      </c>
      <c r="D522" s="64" t="s">
        <v>2482</v>
      </c>
      <c r="E522" s="63">
        <v>7</v>
      </c>
      <c r="F522" s="63" t="s">
        <v>32</v>
      </c>
      <c r="G522" s="65">
        <v>45167</v>
      </c>
      <c r="H522" s="65" t="s">
        <v>73</v>
      </c>
      <c r="I522" s="65" t="s">
        <v>1220</v>
      </c>
      <c r="J522" s="63" t="s">
        <v>1321</v>
      </c>
      <c r="K522" s="63" t="s">
        <v>795</v>
      </c>
      <c r="L522" s="63"/>
    </row>
    <row r="523" spans="1:12" ht="30" customHeight="1">
      <c r="A523" s="172" t="str">
        <f t="shared" si="16"/>
        <v>29/08/20232</v>
      </c>
      <c r="B523" s="166">
        <f t="shared" si="17"/>
        <v>2</v>
      </c>
      <c r="C523" s="63" t="s">
        <v>2308</v>
      </c>
      <c r="D523" s="64" t="s">
        <v>2485</v>
      </c>
      <c r="E523" s="63">
        <v>6</v>
      </c>
      <c r="F523" s="63" t="s">
        <v>43</v>
      </c>
      <c r="G523" s="65">
        <v>45167</v>
      </c>
      <c r="H523" s="65" t="s">
        <v>73</v>
      </c>
      <c r="I523" s="65" t="s">
        <v>31</v>
      </c>
      <c r="J523" s="63">
        <f>IFERROR(VLOOKUP(I523,Jueces!$A$1:$B$11,2,FALSE),"")</f>
        <v>2</v>
      </c>
      <c r="K523" s="63" t="s">
        <v>810</v>
      </c>
      <c r="L523" s="63" t="s">
        <v>2201</v>
      </c>
    </row>
    <row r="524" spans="1:12" ht="30" customHeight="1">
      <c r="A524" s="172" t="str">
        <f t="shared" si="16"/>
        <v>29/08/20233</v>
      </c>
      <c r="B524" s="166">
        <f t="shared" si="17"/>
        <v>3</v>
      </c>
      <c r="C524" s="63" t="s">
        <v>2328</v>
      </c>
      <c r="D524" s="64" t="s">
        <v>2484</v>
      </c>
      <c r="E524" s="63">
        <v>5</v>
      </c>
      <c r="F524" s="63" t="s">
        <v>29</v>
      </c>
      <c r="G524" s="65">
        <v>45167</v>
      </c>
      <c r="H524" s="65" t="s">
        <v>73</v>
      </c>
      <c r="I524" s="65" t="s">
        <v>1219</v>
      </c>
      <c r="J524" s="63" t="s">
        <v>1341</v>
      </c>
      <c r="K524" s="63" t="s">
        <v>569</v>
      </c>
      <c r="L524" s="63"/>
    </row>
    <row r="525" spans="1:12" ht="30" customHeight="1">
      <c r="A525" s="172" t="str">
        <f t="shared" si="16"/>
        <v>29/08/20234</v>
      </c>
      <c r="B525" s="166">
        <f t="shared" si="17"/>
        <v>4</v>
      </c>
      <c r="C525" s="63" t="s">
        <v>2333</v>
      </c>
      <c r="D525" s="64" t="s">
        <v>2483</v>
      </c>
      <c r="E525" s="63">
        <v>5</v>
      </c>
      <c r="F525" s="63" t="s">
        <v>1433</v>
      </c>
      <c r="G525" s="65">
        <v>45167</v>
      </c>
      <c r="H525" s="65" t="s">
        <v>73</v>
      </c>
      <c r="I525" s="65" t="s">
        <v>1218</v>
      </c>
      <c r="J525" s="63" t="s">
        <v>1916</v>
      </c>
      <c r="K525" s="63" t="s">
        <v>791</v>
      </c>
      <c r="L525" s="63" t="s">
        <v>2107</v>
      </c>
    </row>
    <row r="526" spans="1:12" ht="30" customHeight="1">
      <c r="A526" s="172" t="str">
        <f t="shared" si="16"/>
        <v>29/08/20235</v>
      </c>
      <c r="B526" s="166">
        <f t="shared" si="17"/>
        <v>5</v>
      </c>
      <c r="C526" s="63" t="s">
        <v>2384</v>
      </c>
      <c r="D526" s="64" t="s">
        <v>2486</v>
      </c>
      <c r="E526" s="63">
        <v>6</v>
      </c>
      <c r="F526" s="63" t="s">
        <v>568</v>
      </c>
      <c r="G526" s="65">
        <v>45167</v>
      </c>
      <c r="H526" s="65" t="s">
        <v>73</v>
      </c>
      <c r="I526" s="65" t="s">
        <v>78</v>
      </c>
      <c r="J526" s="63">
        <f>IFERROR(VLOOKUP(I526,Jueces!$A$1:$B$11,2,FALSE),"")</f>
        <v>8</v>
      </c>
      <c r="K526" s="63" t="s">
        <v>809</v>
      </c>
      <c r="L526" s="63" t="s">
        <v>725</v>
      </c>
    </row>
    <row r="527" spans="1:12" ht="30" customHeight="1">
      <c r="A527" s="172" t="str">
        <f t="shared" si="16"/>
        <v>29/08/20236</v>
      </c>
      <c r="B527" s="166">
        <f t="shared" si="17"/>
        <v>6</v>
      </c>
      <c r="C527" s="63" t="s">
        <v>2382</v>
      </c>
      <c r="D527" s="64" t="s">
        <v>2488</v>
      </c>
      <c r="E527" s="63">
        <v>6</v>
      </c>
      <c r="F527" s="63" t="s">
        <v>283</v>
      </c>
      <c r="G527" s="65">
        <v>45167</v>
      </c>
      <c r="H527" s="65" t="s">
        <v>1083</v>
      </c>
      <c r="I527" s="65" t="s">
        <v>1219</v>
      </c>
      <c r="J527" s="63" t="s">
        <v>2404</v>
      </c>
      <c r="K527" s="63" t="s">
        <v>797</v>
      </c>
      <c r="L527" s="63" t="s">
        <v>2107</v>
      </c>
    </row>
    <row r="528" spans="1:12" ht="30" customHeight="1">
      <c r="A528" s="172" t="str">
        <f t="shared" si="16"/>
        <v>30/08/20231</v>
      </c>
      <c r="B528" s="166">
        <f t="shared" si="17"/>
        <v>1</v>
      </c>
      <c r="C528" s="63" t="s">
        <v>2338</v>
      </c>
      <c r="D528" s="64" t="s">
        <v>2339</v>
      </c>
      <c r="E528" s="63">
        <v>6</v>
      </c>
      <c r="F528" s="63" t="s">
        <v>32</v>
      </c>
      <c r="G528" s="65">
        <v>45168</v>
      </c>
      <c r="H528" s="65" t="s">
        <v>73</v>
      </c>
      <c r="I528" s="65" t="s">
        <v>78</v>
      </c>
      <c r="J528" s="63">
        <v>1</v>
      </c>
      <c r="K528" s="63" t="s">
        <v>811</v>
      </c>
      <c r="L528" s="63" t="s">
        <v>725</v>
      </c>
    </row>
    <row r="529" spans="1:12" ht="30" customHeight="1">
      <c r="A529" s="172" t="str">
        <f t="shared" si="16"/>
        <v>30/08/20232</v>
      </c>
      <c r="B529" s="166">
        <f t="shared" si="17"/>
        <v>2</v>
      </c>
      <c r="C529" s="63" t="s">
        <v>2376</v>
      </c>
      <c r="D529" s="64" t="s">
        <v>2451</v>
      </c>
      <c r="E529" s="63">
        <v>6</v>
      </c>
      <c r="F529" s="63" t="s">
        <v>1434</v>
      </c>
      <c r="G529" s="65">
        <v>45168</v>
      </c>
      <c r="H529" s="65" t="s">
        <v>73</v>
      </c>
      <c r="I529" s="65" t="s">
        <v>33</v>
      </c>
      <c r="J529" s="63">
        <f>IFERROR(VLOOKUP(I529,Jueces!$A$1:$B$11,2,FALSE),"")</f>
        <v>4</v>
      </c>
      <c r="K529" s="63" t="s">
        <v>791</v>
      </c>
      <c r="L529" s="63" t="s">
        <v>2201</v>
      </c>
    </row>
    <row r="530" spans="1:12" ht="30" customHeight="1">
      <c r="A530" s="172" t="str">
        <f t="shared" si="16"/>
        <v>30/08/20233</v>
      </c>
      <c r="B530" s="166">
        <f t="shared" si="17"/>
        <v>3</v>
      </c>
      <c r="C530" s="63" t="s">
        <v>2171</v>
      </c>
      <c r="D530" s="64" t="s">
        <v>2172</v>
      </c>
      <c r="E530" s="63">
        <v>5</v>
      </c>
      <c r="F530" s="63" t="s">
        <v>1435</v>
      </c>
      <c r="G530" s="65">
        <v>45168</v>
      </c>
      <c r="H530" s="65" t="s">
        <v>1083</v>
      </c>
      <c r="I530" s="65" t="s">
        <v>1220</v>
      </c>
      <c r="J530" s="63" t="s">
        <v>1916</v>
      </c>
      <c r="K530" s="63" t="s">
        <v>795</v>
      </c>
      <c r="L530" s="63" t="s">
        <v>2189</v>
      </c>
    </row>
    <row r="531" spans="1:12" ht="30" customHeight="1">
      <c r="A531" s="172" t="str">
        <f t="shared" si="16"/>
        <v>30/08/20234</v>
      </c>
      <c r="B531" s="166">
        <f t="shared" si="17"/>
        <v>4</v>
      </c>
      <c r="C531" s="63" t="s">
        <v>2405</v>
      </c>
      <c r="D531" s="64" t="s">
        <v>2468</v>
      </c>
      <c r="E531" s="63">
        <v>7</v>
      </c>
      <c r="F531" s="63" t="s">
        <v>43</v>
      </c>
      <c r="G531" s="65">
        <v>45168</v>
      </c>
      <c r="H531" s="65" t="s">
        <v>1083</v>
      </c>
      <c r="I531" s="65" t="s">
        <v>35</v>
      </c>
      <c r="J531" s="63" t="s">
        <v>1512</v>
      </c>
      <c r="K531" s="63" t="s">
        <v>811</v>
      </c>
      <c r="L531" s="63" t="s">
        <v>723</v>
      </c>
    </row>
    <row r="532" spans="1:12" ht="30" customHeight="1">
      <c r="A532" s="172" t="str">
        <f t="shared" si="16"/>
        <v>30/08/20235</v>
      </c>
      <c r="B532" s="166">
        <f t="shared" si="17"/>
        <v>5</v>
      </c>
      <c r="C532" s="63" t="s">
        <v>2406</v>
      </c>
      <c r="D532" s="64" t="s">
        <v>2441</v>
      </c>
      <c r="E532" s="63">
        <v>7</v>
      </c>
      <c r="F532" s="63" t="s">
        <v>1433</v>
      </c>
      <c r="G532" s="65">
        <v>45168</v>
      </c>
      <c r="H532" s="65" t="s">
        <v>1083</v>
      </c>
      <c r="I532" s="65" t="s">
        <v>1216</v>
      </c>
      <c r="J532" s="63">
        <f>IFERROR(VLOOKUP(I532,Jueces!$A$1:$B$11,2,FALSE),"")</f>
        <v>1</v>
      </c>
      <c r="K532" s="63" t="s">
        <v>801</v>
      </c>
      <c r="L532" s="63" t="s">
        <v>725</v>
      </c>
    </row>
    <row r="533" spans="1:12" ht="30" customHeight="1">
      <c r="A533" s="172" t="str">
        <f t="shared" si="16"/>
        <v>31/08/20231</v>
      </c>
      <c r="B533" s="166">
        <f t="shared" si="17"/>
        <v>1</v>
      </c>
      <c r="C533" s="63" t="s">
        <v>2381</v>
      </c>
      <c r="D533" s="64" t="s">
        <v>2523</v>
      </c>
      <c r="E533" s="63">
        <v>6</v>
      </c>
      <c r="F533" s="63" t="s">
        <v>283</v>
      </c>
      <c r="G533" s="65">
        <v>45169</v>
      </c>
      <c r="H533" s="65" t="s">
        <v>73</v>
      </c>
      <c r="I533" s="65" t="s">
        <v>31</v>
      </c>
      <c r="J533" s="63" t="s">
        <v>1341</v>
      </c>
      <c r="K533" s="63" t="s">
        <v>808</v>
      </c>
      <c r="L533" s="63" t="s">
        <v>725</v>
      </c>
    </row>
    <row r="534" spans="1:12" ht="30" customHeight="1">
      <c r="A534" s="172" t="str">
        <f t="shared" si="16"/>
        <v>31/08/20232</v>
      </c>
      <c r="B534" s="166">
        <f t="shared" si="17"/>
        <v>2</v>
      </c>
      <c r="C534" s="63" t="s">
        <v>2429</v>
      </c>
      <c r="D534" s="64" t="s">
        <v>2524</v>
      </c>
      <c r="E534" s="63">
        <v>7</v>
      </c>
      <c r="F534" s="63" t="s">
        <v>1434</v>
      </c>
      <c r="G534" s="65">
        <v>45169</v>
      </c>
      <c r="H534" s="65" t="s">
        <v>73</v>
      </c>
      <c r="I534" s="65" t="s">
        <v>35</v>
      </c>
      <c r="J534" s="63" t="s">
        <v>1512</v>
      </c>
      <c r="K534" s="63" t="s">
        <v>2075</v>
      </c>
      <c r="L534" s="63" t="s">
        <v>783</v>
      </c>
    </row>
    <row r="535" spans="1:12" ht="30" customHeight="1">
      <c r="A535" s="172" t="str">
        <f t="shared" si="16"/>
        <v>31/08/20233</v>
      </c>
      <c r="B535" s="166">
        <f t="shared" si="17"/>
        <v>3</v>
      </c>
      <c r="C535" s="63" t="s">
        <v>2444</v>
      </c>
      <c r="D535" s="64" t="s">
        <v>2525</v>
      </c>
      <c r="E535" s="63">
        <v>7</v>
      </c>
      <c r="F535" s="63" t="s">
        <v>43</v>
      </c>
      <c r="G535" s="65">
        <v>45169</v>
      </c>
      <c r="H535" s="65" t="s">
        <v>73</v>
      </c>
      <c r="I535" s="65" t="s">
        <v>78</v>
      </c>
      <c r="J535" s="63">
        <f>IFERROR(VLOOKUP(I535,Jueces!$A$1:$B$11,2,FALSE),"")</f>
        <v>8</v>
      </c>
      <c r="K535" s="63" t="s">
        <v>809</v>
      </c>
      <c r="L535" s="63" t="s">
        <v>723</v>
      </c>
    </row>
    <row r="536" spans="1:12" ht="30" customHeight="1">
      <c r="A536" s="172" t="str">
        <f t="shared" si="16"/>
        <v>31/08/20234</v>
      </c>
      <c r="B536" s="166">
        <f t="shared" si="17"/>
        <v>4</v>
      </c>
      <c r="C536" s="63" t="s">
        <v>2418</v>
      </c>
      <c r="D536" s="64" t="s">
        <v>2526</v>
      </c>
      <c r="E536" s="63">
        <v>7</v>
      </c>
      <c r="F536" s="63" t="s">
        <v>1433</v>
      </c>
      <c r="G536" s="65">
        <v>45169</v>
      </c>
      <c r="H536" s="65" t="s">
        <v>1083</v>
      </c>
      <c r="I536" s="65" t="s">
        <v>1221</v>
      </c>
      <c r="J536" s="63">
        <f>IFERROR(VLOOKUP(I536,Jueces!$A$1:$B$11,2,FALSE),"")</f>
        <v>6</v>
      </c>
      <c r="K536" s="63" t="s">
        <v>810</v>
      </c>
      <c r="L536" s="63" t="s">
        <v>725</v>
      </c>
    </row>
    <row r="537" spans="1:12" ht="30" customHeight="1">
      <c r="A537" s="172" t="str">
        <f t="shared" si="16"/>
        <v>31/08/20235</v>
      </c>
      <c r="B537" s="166">
        <f t="shared" si="17"/>
        <v>5</v>
      </c>
      <c r="C537" s="63" t="s">
        <v>2432</v>
      </c>
      <c r="D537" s="64" t="s">
        <v>2527</v>
      </c>
      <c r="E537" s="63">
        <v>6</v>
      </c>
      <c r="F537" s="63" t="s">
        <v>32</v>
      </c>
      <c r="G537" s="65">
        <v>45169</v>
      </c>
      <c r="H537" s="65" t="s">
        <v>1083</v>
      </c>
      <c r="I537" s="65" t="s">
        <v>1220</v>
      </c>
      <c r="J537" s="63" t="s">
        <v>2324</v>
      </c>
      <c r="K537" s="63" t="s">
        <v>789</v>
      </c>
      <c r="L537" s="63" t="s">
        <v>725</v>
      </c>
    </row>
    <row r="538" spans="1:12" ht="30" customHeight="1">
      <c r="A538" s="172" t="str">
        <f t="shared" si="16"/>
        <v>31/08/20236</v>
      </c>
      <c r="B538" s="166">
        <f t="shared" si="17"/>
        <v>6</v>
      </c>
      <c r="C538" s="63" t="s">
        <v>2445</v>
      </c>
      <c r="D538" s="64" t="s">
        <v>2528</v>
      </c>
      <c r="E538" s="63">
        <v>7</v>
      </c>
      <c r="F538" s="63" t="s">
        <v>29</v>
      </c>
      <c r="G538" s="65">
        <v>45169</v>
      </c>
      <c r="H538" s="65" t="s">
        <v>1083</v>
      </c>
      <c r="I538" s="65" t="s">
        <v>1218</v>
      </c>
      <c r="J538" s="63" t="s">
        <v>1916</v>
      </c>
      <c r="K538" s="63" t="s">
        <v>807</v>
      </c>
      <c r="L538" s="63" t="s">
        <v>723</v>
      </c>
    </row>
    <row r="539" spans="1:12" ht="30" customHeight="1">
      <c r="A539" s="172" t="str">
        <f t="shared" si="16"/>
        <v>31/08/20237</v>
      </c>
      <c r="B539" s="166">
        <f t="shared" si="17"/>
        <v>7</v>
      </c>
      <c r="C539" s="63" t="s">
        <v>2447</v>
      </c>
      <c r="D539" s="64" t="s">
        <v>2529</v>
      </c>
      <c r="E539" s="63">
        <v>7</v>
      </c>
      <c r="F539" s="63" t="s">
        <v>568</v>
      </c>
      <c r="G539" s="65">
        <v>45169</v>
      </c>
      <c r="H539" s="65" t="s">
        <v>987</v>
      </c>
      <c r="I539" s="65" t="s">
        <v>31</v>
      </c>
      <c r="J539" s="63" t="s">
        <v>1916</v>
      </c>
      <c r="K539" s="63" t="s">
        <v>809</v>
      </c>
      <c r="L539" s="63" t="s">
        <v>725</v>
      </c>
    </row>
    <row r="540" spans="1:12" ht="30" customHeight="1">
      <c r="A540" s="172" t="str">
        <f t="shared" si="16"/>
        <v>01/09/20231</v>
      </c>
      <c r="B540" s="166">
        <f t="shared" si="17"/>
        <v>1</v>
      </c>
      <c r="C540" s="63" t="s">
        <v>2383</v>
      </c>
      <c r="D540" s="64" t="s">
        <v>2442</v>
      </c>
      <c r="E540" s="63">
        <v>7</v>
      </c>
      <c r="F540" s="63" t="s">
        <v>1433</v>
      </c>
      <c r="G540" s="65">
        <v>45170</v>
      </c>
      <c r="H540" s="65" t="s">
        <v>73</v>
      </c>
      <c r="I540" s="65" t="s">
        <v>31</v>
      </c>
      <c r="J540" s="63">
        <f>IFERROR(VLOOKUP(I540,Jueces!$A$1:$B$11,2,FALSE),"")</f>
        <v>2</v>
      </c>
      <c r="K540" s="63" t="s">
        <v>810</v>
      </c>
      <c r="L540" s="63" t="s">
        <v>2549</v>
      </c>
    </row>
    <row r="541" spans="1:12" ht="30" customHeight="1">
      <c r="A541" s="172" t="str">
        <f t="shared" si="16"/>
        <v>01/09/20232</v>
      </c>
      <c r="B541" s="166">
        <f t="shared" si="17"/>
        <v>2</v>
      </c>
      <c r="C541" s="63" t="s">
        <v>2470</v>
      </c>
      <c r="D541" s="64" t="s">
        <v>2471</v>
      </c>
      <c r="E541" s="63">
        <v>6</v>
      </c>
      <c r="F541" s="63" t="s">
        <v>1435</v>
      </c>
      <c r="G541" s="65">
        <v>45170</v>
      </c>
      <c r="H541" s="65" t="s">
        <v>73</v>
      </c>
      <c r="I541" s="65" t="s">
        <v>1217</v>
      </c>
      <c r="J541" s="63" t="s">
        <v>1341</v>
      </c>
      <c r="K541" s="63" t="s">
        <v>805</v>
      </c>
      <c r="L541" s="63" t="s">
        <v>2201</v>
      </c>
    </row>
    <row r="542" spans="1:12" ht="30" customHeight="1">
      <c r="A542" s="172" t="str">
        <f t="shared" si="16"/>
        <v>01/09/20233</v>
      </c>
      <c r="B542" s="166">
        <f t="shared" si="17"/>
        <v>3</v>
      </c>
      <c r="C542" s="63" t="s">
        <v>2473</v>
      </c>
      <c r="D542" s="64" t="s">
        <v>2474</v>
      </c>
      <c r="E542" s="63">
        <v>6</v>
      </c>
      <c r="F542" s="63" t="s">
        <v>568</v>
      </c>
      <c r="G542" s="65">
        <v>45170</v>
      </c>
      <c r="H542" s="65" t="s">
        <v>73</v>
      </c>
      <c r="I542" s="65" t="s">
        <v>35</v>
      </c>
      <c r="J542" s="63">
        <f>IFERROR(VLOOKUP(I542,Jueces!$A$1:$B$11,2,FALSE),"")</f>
        <v>3</v>
      </c>
      <c r="K542" s="63" t="s">
        <v>797</v>
      </c>
      <c r="L542" s="63" t="s">
        <v>696</v>
      </c>
    </row>
    <row r="543" spans="1:12" ht="30" customHeight="1">
      <c r="A543" s="172" t="str">
        <f t="shared" si="16"/>
        <v>01/09/20234</v>
      </c>
      <c r="B543" s="166">
        <f t="shared" si="17"/>
        <v>4</v>
      </c>
      <c r="C543" s="63" t="s">
        <v>2422</v>
      </c>
      <c r="D543" s="64" t="s">
        <v>2440</v>
      </c>
      <c r="E543" s="63">
        <v>7</v>
      </c>
      <c r="F543" s="63" t="s">
        <v>283</v>
      </c>
      <c r="G543" s="65">
        <v>45170</v>
      </c>
      <c r="H543" s="65" t="s">
        <v>749</v>
      </c>
      <c r="I543" s="65" t="s">
        <v>1221</v>
      </c>
      <c r="J543" s="63">
        <f>IFERROR(VLOOKUP(I543,Jueces!$A$1:$B$11,2,FALSE),"")</f>
        <v>6</v>
      </c>
      <c r="K543" s="63" t="s">
        <v>801</v>
      </c>
      <c r="L543" s="63" t="s">
        <v>723</v>
      </c>
    </row>
    <row r="544" spans="1:12" ht="30" customHeight="1">
      <c r="A544" s="172" t="str">
        <f t="shared" si="16"/>
        <v>01/09/20235</v>
      </c>
      <c r="B544" s="166">
        <f t="shared" si="17"/>
        <v>5</v>
      </c>
      <c r="C544" s="63" t="s">
        <v>2385</v>
      </c>
      <c r="D544" s="64" t="s">
        <v>2439</v>
      </c>
      <c r="E544" s="63">
        <v>7</v>
      </c>
      <c r="F544" s="63" t="s">
        <v>43</v>
      </c>
      <c r="G544" s="65">
        <v>45170</v>
      </c>
      <c r="H544" s="65" t="s">
        <v>1083</v>
      </c>
      <c r="I544" s="65" t="s">
        <v>1218</v>
      </c>
      <c r="J544" s="63" t="s">
        <v>1512</v>
      </c>
      <c r="K544" s="63" t="s">
        <v>791</v>
      </c>
      <c r="L544" s="63" t="s">
        <v>2549</v>
      </c>
    </row>
    <row r="545" spans="1:12" ht="30" customHeight="1">
      <c r="A545" s="172" t="str">
        <f t="shared" si="16"/>
        <v>01/09/20236</v>
      </c>
      <c r="B545" s="166">
        <f t="shared" si="17"/>
        <v>6</v>
      </c>
      <c r="C545" s="63" t="s">
        <v>2426</v>
      </c>
      <c r="D545" s="64" t="s">
        <v>2467</v>
      </c>
      <c r="E545" s="63">
        <v>7</v>
      </c>
      <c r="F545" s="63" t="s">
        <v>1434</v>
      </c>
      <c r="G545" s="65">
        <v>45170</v>
      </c>
      <c r="H545" s="65" t="s">
        <v>1083</v>
      </c>
      <c r="I545" s="65" t="s">
        <v>1220</v>
      </c>
      <c r="J545" s="63" t="s">
        <v>1916</v>
      </c>
      <c r="K545" s="63" t="s">
        <v>807</v>
      </c>
      <c r="L545" s="63" t="s">
        <v>723</v>
      </c>
    </row>
    <row r="546" spans="1:12" ht="30" customHeight="1">
      <c r="A546" s="172" t="str">
        <f t="shared" si="16"/>
        <v>01/09/20237</v>
      </c>
      <c r="B546" s="166">
        <f t="shared" si="17"/>
        <v>7</v>
      </c>
      <c r="C546" s="63" t="s">
        <v>2480</v>
      </c>
      <c r="D546" s="64" t="s">
        <v>2481</v>
      </c>
      <c r="E546" s="63">
        <v>5</v>
      </c>
      <c r="F546" s="63" t="s">
        <v>32</v>
      </c>
      <c r="G546" s="65">
        <v>45170</v>
      </c>
      <c r="H546" s="65" t="s">
        <v>1083</v>
      </c>
      <c r="I546" s="65" t="s">
        <v>35</v>
      </c>
      <c r="J546" s="63">
        <v>4</v>
      </c>
      <c r="K546" s="63" t="s">
        <v>828</v>
      </c>
      <c r="L546" s="63" t="s">
        <v>1866</v>
      </c>
    </row>
    <row r="547" spans="1:12" ht="30" customHeight="1">
      <c r="A547" s="172" t="str">
        <f t="shared" si="16"/>
        <v>04/09/20231</v>
      </c>
      <c r="B547" s="166">
        <f t="shared" si="17"/>
        <v>1</v>
      </c>
      <c r="C547" s="63" t="s">
        <v>2448</v>
      </c>
      <c r="D547" s="64" t="s">
        <v>2596</v>
      </c>
      <c r="E547" s="63">
        <v>7</v>
      </c>
      <c r="F547" s="63" t="s">
        <v>568</v>
      </c>
      <c r="G547" s="65">
        <v>45173</v>
      </c>
      <c r="H547" s="65" t="s">
        <v>73</v>
      </c>
      <c r="I547" s="65" t="s">
        <v>35</v>
      </c>
      <c r="J547" s="63">
        <f>IFERROR(VLOOKUP(I547,Jueces!$A$1:$B$11,2,FALSE),"")</f>
        <v>3</v>
      </c>
      <c r="K547" s="63" t="s">
        <v>807</v>
      </c>
      <c r="L547" s="63" t="s">
        <v>723</v>
      </c>
    </row>
    <row r="548" spans="1:12" ht="30" customHeight="1">
      <c r="A548" s="172" t="str">
        <f t="shared" si="16"/>
        <v>04/09/20232</v>
      </c>
      <c r="B548" s="166">
        <f t="shared" si="17"/>
        <v>2</v>
      </c>
      <c r="C548" s="63" t="s">
        <v>2491</v>
      </c>
      <c r="D548" s="64" t="s">
        <v>2597</v>
      </c>
      <c r="E548" s="63">
        <v>7</v>
      </c>
      <c r="F548" s="63" t="s">
        <v>1434</v>
      </c>
      <c r="G548" s="65">
        <v>45173</v>
      </c>
      <c r="H548" s="65" t="s">
        <v>73</v>
      </c>
      <c r="I548" s="65" t="s">
        <v>1217</v>
      </c>
      <c r="J548" s="63">
        <f>IFERROR(VLOOKUP(I548,Jueces!$A$1:$B$11,2,FALSE),"")</f>
        <v>7</v>
      </c>
      <c r="K548" s="63" t="s">
        <v>569</v>
      </c>
      <c r="L548" s="63" t="s">
        <v>782</v>
      </c>
    </row>
    <row r="549" spans="1:12" ht="30" customHeight="1">
      <c r="A549" s="172" t="str">
        <f t="shared" si="16"/>
        <v>04/09/20233</v>
      </c>
      <c r="B549" s="166">
        <f t="shared" si="17"/>
        <v>3</v>
      </c>
      <c r="C549" s="63" t="s">
        <v>1375</v>
      </c>
      <c r="D549" s="64" t="s">
        <v>2598</v>
      </c>
      <c r="E549" s="63">
        <v>2</v>
      </c>
      <c r="F549" s="63" t="s">
        <v>43</v>
      </c>
      <c r="G549" s="65">
        <v>45173</v>
      </c>
      <c r="H549" s="65" t="s">
        <v>73</v>
      </c>
      <c r="I549" s="65" t="s">
        <v>1216</v>
      </c>
      <c r="J549" s="63" t="s">
        <v>1916</v>
      </c>
      <c r="K549" s="63" t="s">
        <v>791</v>
      </c>
      <c r="L549" s="63" t="s">
        <v>712</v>
      </c>
    </row>
    <row r="550" spans="1:12" ht="30" customHeight="1">
      <c r="A550" s="172" t="str">
        <f t="shared" si="16"/>
        <v>04/09/20234</v>
      </c>
      <c r="B550" s="166">
        <f t="shared" si="17"/>
        <v>4</v>
      </c>
      <c r="C550" s="63" t="s">
        <v>2449</v>
      </c>
      <c r="D550" s="64" t="s">
        <v>2599</v>
      </c>
      <c r="E550" s="63">
        <v>7</v>
      </c>
      <c r="F550" s="63" t="s">
        <v>32</v>
      </c>
      <c r="G550" s="65">
        <v>45173</v>
      </c>
      <c r="H550" s="65" t="s">
        <v>1083</v>
      </c>
      <c r="I550" s="65" t="s">
        <v>1220</v>
      </c>
      <c r="J550" s="63" t="s">
        <v>1512</v>
      </c>
      <c r="K550" s="63" t="s">
        <v>800</v>
      </c>
      <c r="L550" s="63" t="s">
        <v>723</v>
      </c>
    </row>
    <row r="551" spans="1:12" ht="30" customHeight="1">
      <c r="A551" s="172" t="str">
        <f t="shared" si="16"/>
        <v>04/09/20235</v>
      </c>
      <c r="B551" s="166">
        <f t="shared" si="17"/>
        <v>5</v>
      </c>
      <c r="C551" s="63" t="s">
        <v>2500</v>
      </c>
      <c r="D551" s="64" t="s">
        <v>2600</v>
      </c>
      <c r="E551" s="63">
        <v>6</v>
      </c>
      <c r="F551" s="63" t="s">
        <v>283</v>
      </c>
      <c r="G551" s="65">
        <v>45173</v>
      </c>
      <c r="H551" s="65" t="s">
        <v>1083</v>
      </c>
      <c r="I551" s="65" t="s">
        <v>1218</v>
      </c>
      <c r="J551" s="63" t="s">
        <v>1916</v>
      </c>
      <c r="K551" s="63" t="s">
        <v>2075</v>
      </c>
      <c r="L551" s="63" t="s">
        <v>2368</v>
      </c>
    </row>
    <row r="552" spans="1:12" ht="30" customHeight="1">
      <c r="A552" s="172" t="str">
        <f t="shared" si="16"/>
        <v>05/09/20231</v>
      </c>
      <c r="B552" s="166">
        <f t="shared" si="17"/>
        <v>1</v>
      </c>
      <c r="C552" s="63" t="s">
        <v>2446</v>
      </c>
      <c r="D552" s="64" t="s">
        <v>2585</v>
      </c>
      <c r="E552" s="63">
        <v>7</v>
      </c>
      <c r="F552" s="63" t="s">
        <v>32</v>
      </c>
      <c r="G552" s="65">
        <v>45174</v>
      </c>
      <c r="H552" s="65" t="s">
        <v>73</v>
      </c>
      <c r="I552" s="65" t="s">
        <v>33</v>
      </c>
      <c r="J552" s="63">
        <f>IFERROR(VLOOKUP(I552,Jueces!$A$1:$B$11,2,FALSE),"")</f>
        <v>4</v>
      </c>
      <c r="K552" s="63" t="s">
        <v>789</v>
      </c>
      <c r="L552" s="63" t="s">
        <v>723</v>
      </c>
    </row>
    <row r="553" spans="1:12" ht="30" customHeight="1">
      <c r="A553" s="172" t="str">
        <f t="shared" si="16"/>
        <v>05/09/20232</v>
      </c>
      <c r="B553" s="166">
        <f t="shared" si="17"/>
        <v>2</v>
      </c>
      <c r="C553" s="63" t="s">
        <v>2475</v>
      </c>
      <c r="D553" s="64" t="s">
        <v>2605</v>
      </c>
      <c r="E553" s="63">
        <v>6</v>
      </c>
      <c r="F553" s="63" t="s">
        <v>1434</v>
      </c>
      <c r="G553" s="65">
        <v>45174</v>
      </c>
      <c r="H553" s="65" t="s">
        <v>73</v>
      </c>
      <c r="I553" s="65" t="s">
        <v>35</v>
      </c>
      <c r="J553" s="63">
        <f>IFERROR(VLOOKUP(I553,Jueces!$A$1:$B$11,2,FALSE),"")</f>
        <v>3</v>
      </c>
      <c r="K553" s="63" t="s">
        <v>792</v>
      </c>
      <c r="L553" s="63" t="s">
        <v>2201</v>
      </c>
    </row>
    <row r="554" spans="1:12" ht="30" customHeight="1">
      <c r="A554" s="172" t="str">
        <f t="shared" si="16"/>
        <v>05/09/20233</v>
      </c>
      <c r="B554" s="166">
        <f t="shared" si="17"/>
        <v>3</v>
      </c>
      <c r="C554" s="63" t="s">
        <v>2478</v>
      </c>
      <c r="D554" s="64" t="s">
        <v>2601</v>
      </c>
      <c r="E554" s="63">
        <v>7</v>
      </c>
      <c r="F554" s="63" t="s">
        <v>29</v>
      </c>
      <c r="G554" s="65">
        <v>45174</v>
      </c>
      <c r="H554" s="65" t="s">
        <v>73</v>
      </c>
      <c r="I554" s="65" t="s">
        <v>1217</v>
      </c>
      <c r="J554" s="63">
        <f>IFERROR(VLOOKUP(I554,Jueces!$A$1:$B$11,2,FALSE),"")</f>
        <v>7</v>
      </c>
      <c r="K554" s="63" t="s">
        <v>569</v>
      </c>
      <c r="L554" s="63" t="s">
        <v>782</v>
      </c>
    </row>
    <row r="555" spans="1:12" ht="30" customHeight="1">
      <c r="A555" s="172" t="str">
        <f t="shared" si="16"/>
        <v>05/09/20234</v>
      </c>
      <c r="B555" s="166">
        <f t="shared" si="17"/>
        <v>4</v>
      </c>
      <c r="C555" s="63" t="s">
        <v>2501</v>
      </c>
      <c r="D555" s="64" t="s">
        <v>2602</v>
      </c>
      <c r="E555" s="63">
        <v>5</v>
      </c>
      <c r="F555" s="63" t="s">
        <v>568</v>
      </c>
      <c r="G555" s="65">
        <v>45174</v>
      </c>
      <c r="H555" s="65" t="s">
        <v>73</v>
      </c>
      <c r="I555" s="65" t="s">
        <v>1218</v>
      </c>
      <c r="J555" s="63" t="s">
        <v>1512</v>
      </c>
      <c r="K555" s="63" t="s">
        <v>569</v>
      </c>
      <c r="L555" s="63" t="s">
        <v>2107</v>
      </c>
    </row>
    <row r="556" spans="1:12" ht="30" customHeight="1">
      <c r="A556" s="172" t="str">
        <f t="shared" si="16"/>
        <v>05/09/20235</v>
      </c>
      <c r="B556" s="166">
        <f t="shared" si="17"/>
        <v>5</v>
      </c>
      <c r="C556" s="63" t="s">
        <v>2458</v>
      </c>
      <c r="D556" s="64" t="s">
        <v>2603</v>
      </c>
      <c r="E556" s="63">
        <v>7</v>
      </c>
      <c r="F556" s="63" t="s">
        <v>1433</v>
      </c>
      <c r="G556" s="65">
        <v>45174</v>
      </c>
      <c r="H556" s="65" t="s">
        <v>1083</v>
      </c>
      <c r="I556" s="65" t="s">
        <v>1218</v>
      </c>
      <c r="J556" s="63" t="s">
        <v>1512</v>
      </c>
      <c r="K556" s="63" t="s">
        <v>799</v>
      </c>
      <c r="L556" s="63" t="s">
        <v>725</v>
      </c>
    </row>
    <row r="557" spans="1:12" ht="30" customHeight="1">
      <c r="A557" s="172" t="str">
        <f t="shared" si="16"/>
        <v>05/09/20236</v>
      </c>
      <c r="B557" s="166">
        <f t="shared" si="17"/>
        <v>6</v>
      </c>
      <c r="C557" s="63" t="s">
        <v>2477</v>
      </c>
      <c r="D557" s="64" t="s">
        <v>2604</v>
      </c>
      <c r="E557" s="63">
        <v>7</v>
      </c>
      <c r="F557" s="63" t="s">
        <v>1435</v>
      </c>
      <c r="G557" s="65">
        <v>45174</v>
      </c>
      <c r="H557" s="65" t="s">
        <v>1083</v>
      </c>
      <c r="I557" s="65" t="s">
        <v>1221</v>
      </c>
      <c r="J557" s="63">
        <f>IFERROR(VLOOKUP(I557,Jueces!$A$1:$B$11,2,FALSE),"")</f>
        <v>6</v>
      </c>
      <c r="K557" s="63" t="s">
        <v>806</v>
      </c>
      <c r="L557" s="63" t="s">
        <v>723</v>
      </c>
    </row>
    <row r="558" spans="1:12" ht="30" customHeight="1">
      <c r="A558" s="172" t="str">
        <f t="shared" si="16"/>
        <v>06/09/20231</v>
      </c>
      <c r="B558" s="166">
        <f t="shared" si="17"/>
        <v>1</v>
      </c>
      <c r="C558" s="63" t="s">
        <v>2380</v>
      </c>
      <c r="D558" s="64" t="s">
        <v>2606</v>
      </c>
      <c r="E558" s="63">
        <v>6</v>
      </c>
      <c r="F558" s="63" t="s">
        <v>29</v>
      </c>
      <c r="G558" s="65">
        <v>45175</v>
      </c>
      <c r="H558" s="65" t="s">
        <v>73</v>
      </c>
      <c r="I558" s="65" t="s">
        <v>35</v>
      </c>
      <c r="J558" s="63">
        <f>IFERROR(VLOOKUP(I558,Jueces!$A$1:$B$11,2,FALSE),"")</f>
        <v>3</v>
      </c>
      <c r="K558" s="63" t="s">
        <v>1145</v>
      </c>
      <c r="L558" s="63" t="s">
        <v>2466</v>
      </c>
    </row>
    <row r="559" spans="1:12" ht="30" customHeight="1">
      <c r="A559" s="172" t="str">
        <f t="shared" si="16"/>
        <v>06/09/20232</v>
      </c>
      <c r="B559" s="166">
        <f t="shared" si="17"/>
        <v>2</v>
      </c>
      <c r="C559" s="63" t="s">
        <v>2472</v>
      </c>
      <c r="D559" s="64" t="s">
        <v>2608</v>
      </c>
      <c r="E559" s="63">
        <v>4</v>
      </c>
      <c r="F559" s="63" t="s">
        <v>1433</v>
      </c>
      <c r="G559" s="65">
        <v>45175</v>
      </c>
      <c r="H559" s="65" t="s">
        <v>73</v>
      </c>
      <c r="I559" s="65" t="s">
        <v>1217</v>
      </c>
      <c r="J559" s="63">
        <f>IFERROR(VLOOKUP(I559,Jueces!$A$1:$B$11,2,FALSE),"")</f>
        <v>7</v>
      </c>
      <c r="K559" s="63" t="s">
        <v>569</v>
      </c>
      <c r="L559" s="63" t="s">
        <v>2201</v>
      </c>
    </row>
    <row r="560" spans="1:12" ht="30" customHeight="1">
      <c r="A560" s="172" t="str">
        <f t="shared" si="16"/>
        <v>06/09/20233</v>
      </c>
      <c r="B560" s="166">
        <f t="shared" si="17"/>
        <v>3</v>
      </c>
      <c r="C560" s="63" t="s">
        <v>2492</v>
      </c>
      <c r="D560" s="64" t="s">
        <v>2607</v>
      </c>
      <c r="E560" s="63">
        <v>7</v>
      </c>
      <c r="F560" s="63" t="s">
        <v>43</v>
      </c>
      <c r="G560" s="65">
        <v>45175</v>
      </c>
      <c r="H560" s="65" t="s">
        <v>73</v>
      </c>
      <c r="I560" s="65" t="s">
        <v>33</v>
      </c>
      <c r="J560" s="63">
        <f>IFERROR(VLOOKUP(I560,Jueces!$A$1:$B$11,2,FALSE),"")</f>
        <v>4</v>
      </c>
      <c r="K560" s="63" t="s">
        <v>810</v>
      </c>
      <c r="L560" s="63" t="s">
        <v>723</v>
      </c>
    </row>
    <row r="561" spans="1:12" ht="30" customHeight="1">
      <c r="A561" s="172" t="str">
        <f t="shared" si="16"/>
        <v>06/09/20234</v>
      </c>
      <c r="B561" s="166">
        <f t="shared" si="17"/>
        <v>4</v>
      </c>
      <c r="C561" s="63" t="s">
        <v>2490</v>
      </c>
      <c r="D561" s="64" t="s">
        <v>2609</v>
      </c>
      <c r="E561" s="63">
        <v>7</v>
      </c>
      <c r="F561" s="63" t="s">
        <v>283</v>
      </c>
      <c r="G561" s="65">
        <v>45175</v>
      </c>
      <c r="H561" s="65" t="s">
        <v>1083</v>
      </c>
      <c r="I561" s="65" t="s">
        <v>1218</v>
      </c>
      <c r="J561" s="63" t="s">
        <v>1916</v>
      </c>
      <c r="K561" s="63" t="s">
        <v>789</v>
      </c>
      <c r="L561" s="63" t="s">
        <v>723</v>
      </c>
    </row>
    <row r="562" spans="1:12" ht="30" customHeight="1">
      <c r="A562" s="172" t="str">
        <f t="shared" si="16"/>
        <v>06/09/20235</v>
      </c>
      <c r="B562" s="166">
        <f t="shared" si="17"/>
        <v>5</v>
      </c>
      <c r="C562" s="63" t="s">
        <v>2493</v>
      </c>
      <c r="D562" s="64" t="s">
        <v>2610</v>
      </c>
      <c r="E562" s="63">
        <v>6</v>
      </c>
      <c r="F562" s="63" t="s">
        <v>1434</v>
      </c>
      <c r="G562" s="65">
        <v>45175</v>
      </c>
      <c r="H562" s="65" t="s">
        <v>1083</v>
      </c>
      <c r="I562" s="65" t="s">
        <v>1217</v>
      </c>
      <c r="J562" s="63">
        <f>IFERROR(VLOOKUP(I562,Jueces!$A$1:$B$11,2,FALSE),"")</f>
        <v>7</v>
      </c>
      <c r="K562" s="63" t="s">
        <v>806</v>
      </c>
      <c r="L562" s="63" t="s">
        <v>725</v>
      </c>
    </row>
    <row r="563" spans="1:12" ht="30" customHeight="1">
      <c r="A563" s="172" t="str">
        <f t="shared" si="16"/>
        <v>07/09/20231</v>
      </c>
      <c r="B563" s="166">
        <f t="shared" si="17"/>
        <v>1</v>
      </c>
      <c r="C563" s="63" t="s">
        <v>2431</v>
      </c>
      <c r="D563" s="64" t="s">
        <v>2632</v>
      </c>
      <c r="E563" s="63">
        <v>7</v>
      </c>
      <c r="F563" s="63" t="s">
        <v>43</v>
      </c>
      <c r="G563" s="65">
        <v>45176</v>
      </c>
      <c r="H563" s="65" t="s">
        <v>73</v>
      </c>
      <c r="I563" s="65" t="s">
        <v>31</v>
      </c>
      <c r="J563" s="63">
        <f>IFERROR(VLOOKUP(I563,Jueces!$A$1:$B$11,2,FALSE),"")</f>
        <v>2</v>
      </c>
      <c r="K563" s="257" t="s">
        <v>2412</v>
      </c>
      <c r="L563" s="63" t="s">
        <v>723</v>
      </c>
    </row>
    <row r="564" spans="1:12" ht="30" customHeight="1">
      <c r="A564" s="172" t="str">
        <f t="shared" si="16"/>
        <v>07/09/20232</v>
      </c>
      <c r="B564" s="166">
        <f t="shared" si="17"/>
        <v>2</v>
      </c>
      <c r="C564" s="63" t="s">
        <v>2514</v>
      </c>
      <c r="D564" s="64" t="s">
        <v>2633</v>
      </c>
      <c r="E564" s="63">
        <v>6</v>
      </c>
      <c r="F564" s="63" t="s">
        <v>568</v>
      </c>
      <c r="G564" s="65">
        <v>45176</v>
      </c>
      <c r="H564" s="65" t="s">
        <v>73</v>
      </c>
      <c r="I564" s="65" t="s">
        <v>1218</v>
      </c>
      <c r="J564" s="63" t="s">
        <v>1321</v>
      </c>
      <c r="K564" s="63" t="s">
        <v>812</v>
      </c>
      <c r="L564" s="63" t="s">
        <v>725</v>
      </c>
    </row>
    <row r="565" spans="1:12" ht="30" customHeight="1">
      <c r="A565" s="172" t="str">
        <f t="shared" si="16"/>
        <v>07/09/20233</v>
      </c>
      <c r="B565" s="166">
        <f t="shared" si="17"/>
        <v>3</v>
      </c>
      <c r="C565" s="63" t="s">
        <v>2534</v>
      </c>
      <c r="D565" s="64" t="s">
        <v>2634</v>
      </c>
      <c r="E565" s="63">
        <v>7</v>
      </c>
      <c r="F565" s="63" t="s">
        <v>283</v>
      </c>
      <c r="G565" s="65">
        <v>45176</v>
      </c>
      <c r="H565" s="65" t="s">
        <v>73</v>
      </c>
      <c r="I565" s="65" t="s">
        <v>33</v>
      </c>
      <c r="J565" s="63">
        <f>IFERROR(VLOOKUP(I565,Jueces!$A$1:$B$11,2,FALSE),"")</f>
        <v>4</v>
      </c>
      <c r="K565" s="63" t="s">
        <v>805</v>
      </c>
      <c r="L565" s="63" t="s">
        <v>767</v>
      </c>
    </row>
    <row r="566" spans="1:12" ht="30" customHeight="1">
      <c r="A566" s="172" t="str">
        <f t="shared" si="16"/>
        <v>07/09/20234</v>
      </c>
      <c r="B566" s="166">
        <f t="shared" si="17"/>
        <v>4</v>
      </c>
      <c r="C566" s="7" t="s">
        <v>2476</v>
      </c>
      <c r="D566" s="40" t="s">
        <v>2638</v>
      </c>
      <c r="E566" s="7">
        <v>4</v>
      </c>
      <c r="F566" s="7" t="s">
        <v>1434</v>
      </c>
      <c r="G566" s="19">
        <v>45176</v>
      </c>
      <c r="H566" s="19" t="s">
        <v>1083</v>
      </c>
      <c r="I566" s="19" t="s">
        <v>1216</v>
      </c>
      <c r="J566" s="7" t="s">
        <v>1916</v>
      </c>
      <c r="K566" s="7" t="s">
        <v>797</v>
      </c>
      <c r="L566" s="7" t="s">
        <v>695</v>
      </c>
    </row>
    <row r="567" spans="1:12" ht="30" customHeight="1">
      <c r="A567" s="172" t="str">
        <f t="shared" si="16"/>
        <v>07/09/20235</v>
      </c>
      <c r="B567" s="166">
        <f t="shared" si="17"/>
        <v>5</v>
      </c>
      <c r="C567" s="254" t="s">
        <v>2498</v>
      </c>
      <c r="D567" s="255" t="s">
        <v>2635</v>
      </c>
      <c r="E567" s="254">
        <v>6</v>
      </c>
      <c r="F567" s="254" t="s">
        <v>1435</v>
      </c>
      <c r="G567" s="256">
        <v>45176</v>
      </c>
      <c r="H567" s="256" t="s">
        <v>1083</v>
      </c>
      <c r="I567" s="256" t="s">
        <v>1217</v>
      </c>
      <c r="J567" s="254">
        <f>IFERROR(VLOOKUP(I567,Jueces!$A$1:$B$11,2,FALSE),"")</f>
        <v>7</v>
      </c>
      <c r="K567" s="7" t="s">
        <v>799</v>
      </c>
      <c r="L567" s="7" t="s">
        <v>725</v>
      </c>
    </row>
    <row r="568" spans="1:12" ht="30" customHeight="1">
      <c r="A568" s="172" t="str">
        <f t="shared" si="16"/>
        <v>07/09/20236</v>
      </c>
      <c r="B568" s="166">
        <f t="shared" si="17"/>
        <v>6</v>
      </c>
      <c r="C568" s="107" t="s">
        <v>2535</v>
      </c>
      <c r="D568" s="108" t="s">
        <v>2636</v>
      </c>
      <c r="E568" s="107">
        <v>7</v>
      </c>
      <c r="F568" s="107" t="s">
        <v>32</v>
      </c>
      <c r="G568" s="253">
        <v>45176</v>
      </c>
      <c r="H568" s="253" t="s">
        <v>1083</v>
      </c>
      <c r="I568" s="253" t="s">
        <v>35</v>
      </c>
      <c r="J568" s="107" t="s">
        <v>1483</v>
      </c>
      <c r="K568" s="63" t="s">
        <v>807</v>
      </c>
      <c r="L568" s="63" t="s">
        <v>767</v>
      </c>
    </row>
    <row r="569" spans="1:12" ht="30" customHeight="1">
      <c r="A569" s="172" t="str">
        <f t="shared" si="16"/>
        <v>07/09/20237</v>
      </c>
      <c r="B569" s="166">
        <f t="shared" si="17"/>
        <v>7</v>
      </c>
      <c r="C569" s="63" t="s">
        <v>2547</v>
      </c>
      <c r="D569" s="64" t="s">
        <v>2637</v>
      </c>
      <c r="E569" s="63">
        <v>7</v>
      </c>
      <c r="F569" s="65" t="s">
        <v>29</v>
      </c>
      <c r="G569" s="65">
        <v>45176</v>
      </c>
      <c r="H569" s="65" t="s">
        <v>547</v>
      </c>
      <c r="I569" s="63" t="s">
        <v>33</v>
      </c>
      <c r="J569" s="63" t="s">
        <v>2568</v>
      </c>
      <c r="K569" s="63" t="s">
        <v>809</v>
      </c>
      <c r="L569" s="63" t="s">
        <v>725</v>
      </c>
    </row>
    <row r="570" spans="1:12" ht="30" customHeight="1">
      <c r="A570" s="172" t="str">
        <f t="shared" si="16"/>
        <v>08/09/20231</v>
      </c>
      <c r="B570" s="166">
        <f t="shared" si="17"/>
        <v>1</v>
      </c>
      <c r="C570" s="63" t="s">
        <v>2420</v>
      </c>
      <c r="D570" s="64" t="s">
        <v>2421</v>
      </c>
      <c r="E570" s="63">
        <v>5</v>
      </c>
      <c r="F570" s="63" t="s">
        <v>43</v>
      </c>
      <c r="G570" s="65">
        <v>45177</v>
      </c>
      <c r="H570" s="65" t="s">
        <v>73</v>
      </c>
      <c r="I570" s="65" t="s">
        <v>33</v>
      </c>
      <c r="J570" s="63">
        <f>IFERROR(VLOOKUP(I570,Jueces!$A$1:$B$11,2,FALSE),"")</f>
        <v>4</v>
      </c>
      <c r="K570" s="63" t="s">
        <v>2077</v>
      </c>
      <c r="L570" s="63" t="s">
        <v>697</v>
      </c>
    </row>
    <row r="571" spans="1:12" ht="30" customHeight="1">
      <c r="A571" s="172" t="str">
        <f t="shared" si="16"/>
        <v>08/09/20232</v>
      </c>
      <c r="B571" s="166">
        <f t="shared" si="17"/>
        <v>2</v>
      </c>
      <c r="C571" s="63" t="s">
        <v>2509</v>
      </c>
      <c r="D571" s="64" t="s">
        <v>2533</v>
      </c>
      <c r="E571" s="63">
        <v>7</v>
      </c>
      <c r="F571" s="63" t="s">
        <v>29</v>
      </c>
      <c r="G571" s="65">
        <v>45177</v>
      </c>
      <c r="H571" s="65" t="s">
        <v>73</v>
      </c>
      <c r="I571" s="65" t="s">
        <v>1217</v>
      </c>
      <c r="J571" s="63">
        <f>IFERROR(VLOOKUP(I571,Jueces!$A$1:$B$11,2,FALSE),"")</f>
        <v>7</v>
      </c>
      <c r="K571" s="63" t="s">
        <v>805</v>
      </c>
      <c r="L571" s="63" t="s">
        <v>723</v>
      </c>
    </row>
    <row r="572" spans="1:12" ht="30" customHeight="1">
      <c r="A572" s="172" t="str">
        <f t="shared" si="16"/>
        <v>08/09/20233</v>
      </c>
      <c r="B572" s="166">
        <f t="shared" si="17"/>
        <v>3</v>
      </c>
      <c r="C572" s="63" t="s">
        <v>2512</v>
      </c>
      <c r="D572" s="64" t="s">
        <v>2513</v>
      </c>
      <c r="E572" s="63">
        <v>6</v>
      </c>
      <c r="F572" s="63" t="s">
        <v>32</v>
      </c>
      <c r="G572" s="65">
        <v>45177</v>
      </c>
      <c r="H572" s="65" t="s">
        <v>73</v>
      </c>
      <c r="I572" s="65" t="s">
        <v>31</v>
      </c>
      <c r="J572" s="63">
        <v>3</v>
      </c>
      <c r="K572" s="63" t="s">
        <v>798</v>
      </c>
      <c r="L572" s="63" t="s">
        <v>725</v>
      </c>
    </row>
    <row r="573" spans="1:12" ht="30" customHeight="1">
      <c r="A573" s="172" t="str">
        <f t="shared" si="16"/>
        <v>08/09/20234</v>
      </c>
      <c r="B573" s="166">
        <f t="shared" si="17"/>
        <v>4</v>
      </c>
      <c r="C573" s="63" t="s">
        <v>2507</v>
      </c>
      <c r="D573" s="64" t="s">
        <v>2508</v>
      </c>
      <c r="E573" s="63">
        <v>7</v>
      </c>
      <c r="F573" s="63" t="s">
        <v>283</v>
      </c>
      <c r="G573" s="65">
        <v>45177</v>
      </c>
      <c r="H573" s="65" t="s">
        <v>1206</v>
      </c>
      <c r="I573" s="65" t="s">
        <v>1217</v>
      </c>
      <c r="J573" s="63">
        <f>IFERROR(VLOOKUP(I573,Jueces!$A$1:$B$11,2,FALSE),"")</f>
        <v>7</v>
      </c>
      <c r="K573" s="63" t="s">
        <v>807</v>
      </c>
      <c r="L573" s="63" t="s">
        <v>723</v>
      </c>
    </row>
    <row r="574" spans="1:12" ht="30" customHeight="1">
      <c r="A574" s="172" t="str">
        <f t="shared" si="16"/>
        <v>11/09/20231</v>
      </c>
      <c r="B574" s="166">
        <f t="shared" si="17"/>
        <v>1</v>
      </c>
      <c r="C574" s="63" t="s">
        <v>2388</v>
      </c>
      <c r="D574" s="64" t="s">
        <v>2487</v>
      </c>
      <c r="E574" s="63">
        <v>6</v>
      </c>
      <c r="F574" s="63" t="s">
        <v>1435</v>
      </c>
      <c r="G574" s="65">
        <v>45180</v>
      </c>
      <c r="H574" s="65" t="s">
        <v>73</v>
      </c>
      <c r="I574" s="65" t="s">
        <v>33</v>
      </c>
      <c r="J574" s="7">
        <f>IFERROR(VLOOKUP(I574,Jueces!$A$1:$B$11,2,FALSE),"")</f>
        <v>4</v>
      </c>
      <c r="K574" s="63" t="s">
        <v>795</v>
      </c>
      <c r="L574" s="63" t="s">
        <v>783</v>
      </c>
    </row>
    <row r="575" spans="1:12" ht="30" customHeight="1">
      <c r="A575" s="172" t="str">
        <f t="shared" si="16"/>
        <v>11/09/20232</v>
      </c>
      <c r="B575" s="166">
        <f t="shared" si="17"/>
        <v>2</v>
      </c>
      <c r="C575" s="63" t="s">
        <v>2424</v>
      </c>
      <c r="D575" s="64" t="s">
        <v>2425</v>
      </c>
      <c r="E575" s="63">
        <v>7</v>
      </c>
      <c r="F575" s="63" t="s">
        <v>29</v>
      </c>
      <c r="G575" s="65">
        <v>45180</v>
      </c>
      <c r="H575" s="65" t="s">
        <v>73</v>
      </c>
      <c r="I575" s="65" t="s">
        <v>31</v>
      </c>
      <c r="J575" s="63">
        <f>IFERROR(VLOOKUP(I575,Jueces!$A$1:$B$11,2,FALSE),"")</f>
        <v>2</v>
      </c>
      <c r="K575" s="63" t="s">
        <v>2077</v>
      </c>
      <c r="L575" s="63" t="s">
        <v>723</v>
      </c>
    </row>
    <row r="576" spans="1:12" ht="30" customHeight="1">
      <c r="A576" s="172" t="str">
        <f t="shared" si="16"/>
        <v>11/09/20233</v>
      </c>
      <c r="B576" s="166">
        <f t="shared" si="17"/>
        <v>3</v>
      </c>
      <c r="C576" s="63" t="s">
        <v>2504</v>
      </c>
      <c r="D576" s="64" t="s">
        <v>2505</v>
      </c>
      <c r="E576" s="63">
        <v>7</v>
      </c>
      <c r="F576" s="63" t="s">
        <v>1433</v>
      </c>
      <c r="G576" s="65">
        <v>45180</v>
      </c>
      <c r="H576" s="65" t="s">
        <v>73</v>
      </c>
      <c r="I576" s="65" t="s">
        <v>35</v>
      </c>
      <c r="J576" s="63">
        <f>IFERROR(VLOOKUP(I576,Jueces!$A$1:$B$11,2,FALSE),"")</f>
        <v>3</v>
      </c>
      <c r="K576" s="63" t="s">
        <v>582</v>
      </c>
      <c r="L576" s="63" t="s">
        <v>697</v>
      </c>
    </row>
    <row r="577" spans="1:12" ht="30" customHeight="1">
      <c r="A577" s="172" t="str">
        <f t="shared" si="16"/>
        <v>11/09/20234</v>
      </c>
      <c r="B577" s="166">
        <f t="shared" si="17"/>
        <v>4</v>
      </c>
      <c r="C577" s="63" t="s">
        <v>2516</v>
      </c>
      <c r="D577" s="64" t="s">
        <v>2517</v>
      </c>
      <c r="E577" s="63">
        <v>1</v>
      </c>
      <c r="F577" s="63" t="s">
        <v>283</v>
      </c>
      <c r="G577" s="65">
        <v>45180</v>
      </c>
      <c r="H577" s="65" t="s">
        <v>73</v>
      </c>
      <c r="I577" s="65" t="s">
        <v>1216</v>
      </c>
      <c r="J577" s="63" t="s">
        <v>1483</v>
      </c>
      <c r="K577" s="63" t="s">
        <v>791</v>
      </c>
      <c r="L577" s="63" t="s">
        <v>725</v>
      </c>
    </row>
    <row r="578" spans="1:12" ht="30" customHeight="1">
      <c r="A578" s="172" t="str">
        <f t="shared" si="16"/>
        <v>11/09/20235</v>
      </c>
      <c r="B578" s="166">
        <f t="shared" si="17"/>
        <v>5</v>
      </c>
      <c r="C578" s="63" t="s">
        <v>2562</v>
      </c>
      <c r="D578" s="64" t="s">
        <v>2563</v>
      </c>
      <c r="E578" s="63">
        <v>6</v>
      </c>
      <c r="F578" s="63" t="s">
        <v>1434</v>
      </c>
      <c r="G578" s="65">
        <v>45180</v>
      </c>
      <c r="H578" s="65" t="s">
        <v>73</v>
      </c>
      <c r="I578" s="65" t="s">
        <v>1217</v>
      </c>
      <c r="J578" s="63">
        <f>IFERROR(VLOOKUP(I578,Jueces!$A$1:$B$11,2,FALSE),"")</f>
        <v>7</v>
      </c>
      <c r="K578" s="63" t="s">
        <v>1301</v>
      </c>
      <c r="L578" s="63" t="s">
        <v>2107</v>
      </c>
    </row>
    <row r="579" spans="1:12" ht="30" customHeight="1">
      <c r="A579" s="172" t="str">
        <f t="shared" ref="A579:A642" si="18">CONCATENATE(TEXT($G579,"dd/mm/yyyy"),$B579)</f>
        <v>11/09/20236</v>
      </c>
      <c r="B579" s="166">
        <f t="shared" si="17"/>
        <v>6</v>
      </c>
      <c r="C579" s="63" t="s">
        <v>2564</v>
      </c>
      <c r="D579" s="64" t="s">
        <v>2565</v>
      </c>
      <c r="E579" s="63">
        <v>6</v>
      </c>
      <c r="F579" s="63" t="s">
        <v>568</v>
      </c>
      <c r="G579" s="65">
        <v>45180</v>
      </c>
      <c r="H579" s="65" t="s">
        <v>73</v>
      </c>
      <c r="I579" s="65" t="s">
        <v>1218</v>
      </c>
      <c r="J579" s="63" t="s">
        <v>1916</v>
      </c>
      <c r="K579" s="63" t="s">
        <v>2076</v>
      </c>
      <c r="L579" s="63" t="s">
        <v>2578</v>
      </c>
    </row>
    <row r="580" spans="1:12" ht="30" customHeight="1">
      <c r="A580" s="172" t="str">
        <f t="shared" si="18"/>
        <v>11/09/20237</v>
      </c>
      <c r="B580" s="166">
        <f t="shared" ref="B580:B643" si="19">IF($G580=$G579,$B579+1,1)</f>
        <v>7</v>
      </c>
      <c r="C580" s="63" t="s">
        <v>2510</v>
      </c>
      <c r="D580" s="64" t="s">
        <v>2511</v>
      </c>
      <c r="E580" s="63">
        <v>7</v>
      </c>
      <c r="F580" s="63" t="s">
        <v>43</v>
      </c>
      <c r="G580" s="65">
        <v>45180</v>
      </c>
      <c r="H580" s="65" t="s">
        <v>1083</v>
      </c>
      <c r="I580" s="65" t="s">
        <v>33</v>
      </c>
      <c r="J580" s="63">
        <f>IFERROR(VLOOKUP(I580,Jueces!$A$1:$B$11,2,FALSE),"")</f>
        <v>4</v>
      </c>
      <c r="K580" s="63" t="s">
        <v>806</v>
      </c>
      <c r="L580" s="63" t="s">
        <v>767</v>
      </c>
    </row>
    <row r="581" spans="1:12" ht="30" customHeight="1">
      <c r="A581" s="172" t="str">
        <f t="shared" si="18"/>
        <v>12/09/20231</v>
      </c>
      <c r="B581" s="166">
        <f t="shared" si="19"/>
        <v>1</v>
      </c>
      <c r="C581" s="63" t="s">
        <v>2574</v>
      </c>
      <c r="D581" s="64" t="s">
        <v>2705</v>
      </c>
      <c r="E581" s="63">
        <v>8</v>
      </c>
      <c r="F581" s="63" t="s">
        <v>283</v>
      </c>
      <c r="G581" s="65">
        <v>45181</v>
      </c>
      <c r="H581" s="65" t="s">
        <v>73</v>
      </c>
      <c r="I581" s="65" t="s">
        <v>1218</v>
      </c>
      <c r="J581" s="63" t="s">
        <v>1321</v>
      </c>
      <c r="K581" s="63" t="s">
        <v>807</v>
      </c>
      <c r="L581" s="63" t="s">
        <v>767</v>
      </c>
    </row>
    <row r="582" spans="1:12" ht="30" customHeight="1">
      <c r="A582" s="172" t="str">
        <f t="shared" si="18"/>
        <v>12/09/20232</v>
      </c>
      <c r="B582" s="166">
        <f t="shared" si="19"/>
        <v>2</v>
      </c>
      <c r="C582" s="63" t="s">
        <v>2581</v>
      </c>
      <c r="D582" s="64" t="s">
        <v>2582</v>
      </c>
      <c r="E582" s="63">
        <v>7</v>
      </c>
      <c r="F582" s="63" t="s">
        <v>43</v>
      </c>
      <c r="G582" s="65">
        <v>45181</v>
      </c>
      <c r="H582" s="65" t="s">
        <v>73</v>
      </c>
      <c r="I582" s="65" t="s">
        <v>31</v>
      </c>
      <c r="J582" s="63">
        <f>IFERROR(VLOOKUP(I582,Jueces!$A$1:$B$11,2,FALSE),"")</f>
        <v>2</v>
      </c>
      <c r="K582" s="63" t="s">
        <v>795</v>
      </c>
      <c r="L582" s="63" t="s">
        <v>725</v>
      </c>
    </row>
    <row r="583" spans="1:12" ht="30" customHeight="1">
      <c r="A583" s="172" t="str">
        <f t="shared" si="18"/>
        <v>12/09/20233</v>
      </c>
      <c r="B583" s="166">
        <f t="shared" si="19"/>
        <v>3</v>
      </c>
      <c r="C583" s="63" t="s">
        <v>2583</v>
      </c>
      <c r="D583" s="64" t="s">
        <v>2584</v>
      </c>
      <c r="E583" s="63">
        <v>7</v>
      </c>
      <c r="F583" s="63" t="s">
        <v>1435</v>
      </c>
      <c r="G583" s="65">
        <v>45181</v>
      </c>
      <c r="H583" s="65" t="s">
        <v>73</v>
      </c>
      <c r="I583" s="65" t="s">
        <v>1217</v>
      </c>
      <c r="J583" s="63">
        <f>IFERROR(VLOOKUP(I583,Jueces!$A$1:$B$11,2,FALSE),"")</f>
        <v>7</v>
      </c>
      <c r="K583" s="63" t="s">
        <v>2715</v>
      </c>
      <c r="L583" s="63" t="s">
        <v>723</v>
      </c>
    </row>
    <row r="584" spans="1:12" ht="30" customHeight="1">
      <c r="A584" s="172" t="str">
        <f t="shared" si="18"/>
        <v>12/09/20234</v>
      </c>
      <c r="B584" s="166">
        <f t="shared" si="19"/>
        <v>4</v>
      </c>
      <c r="C584" s="63" t="s">
        <v>2579</v>
      </c>
      <c r="D584" s="64" t="s">
        <v>2580</v>
      </c>
      <c r="E584" s="63">
        <v>7</v>
      </c>
      <c r="F584" s="63" t="s">
        <v>568</v>
      </c>
      <c r="G584" s="65">
        <v>45181</v>
      </c>
      <c r="H584" s="65" t="s">
        <v>1083</v>
      </c>
      <c r="I584" s="65" t="s">
        <v>33</v>
      </c>
      <c r="J584" s="63">
        <f>IFERROR(VLOOKUP(I584,Jueces!$A$1:$B$11,2,FALSE),"")</f>
        <v>4</v>
      </c>
      <c r="K584" s="63" t="s">
        <v>800</v>
      </c>
      <c r="L584" s="63" t="s">
        <v>2549</v>
      </c>
    </row>
    <row r="585" spans="1:12" ht="30" customHeight="1">
      <c r="A585" s="172" t="str">
        <f t="shared" si="18"/>
        <v>12/09/20235</v>
      </c>
      <c r="B585" s="166">
        <f t="shared" si="19"/>
        <v>5</v>
      </c>
      <c r="C585" s="63" t="s">
        <v>2589</v>
      </c>
      <c r="D585" s="64" t="s">
        <v>2590</v>
      </c>
      <c r="E585" s="63">
        <v>7</v>
      </c>
      <c r="F585" s="63" t="s">
        <v>1433</v>
      </c>
      <c r="G585" s="65">
        <v>45181</v>
      </c>
      <c r="H585" s="65" t="s">
        <v>1083</v>
      </c>
      <c r="I585" s="65" t="s">
        <v>35</v>
      </c>
      <c r="J585" s="63">
        <f>IFERROR(VLOOKUP(I585,Jueces!$A$1:$B$11,2,FALSE),"")</f>
        <v>3</v>
      </c>
      <c r="K585" s="63" t="s">
        <v>811</v>
      </c>
      <c r="L585" s="63" t="s">
        <v>723</v>
      </c>
    </row>
    <row r="586" spans="1:12" ht="30" customHeight="1">
      <c r="A586" s="172" t="str">
        <f t="shared" si="18"/>
        <v>18/09/20231</v>
      </c>
      <c r="B586" s="166">
        <f t="shared" si="19"/>
        <v>1</v>
      </c>
      <c r="C586" s="63" t="s">
        <v>2545</v>
      </c>
      <c r="D586" s="64" t="s">
        <v>2546</v>
      </c>
      <c r="E586" s="63">
        <v>7</v>
      </c>
      <c r="F586" s="63" t="s">
        <v>1434</v>
      </c>
      <c r="G586" s="65">
        <v>45187</v>
      </c>
      <c r="H586" s="65" t="s">
        <v>73</v>
      </c>
      <c r="I586" s="65" t="s">
        <v>31</v>
      </c>
      <c r="J586" s="63">
        <f>IFERROR(VLOOKUP(I586,Jueces!$A$1:$B$11,2,FALSE),"")</f>
        <v>2</v>
      </c>
      <c r="K586" s="63" t="s">
        <v>812</v>
      </c>
      <c r="L586" s="63" t="s">
        <v>2201</v>
      </c>
    </row>
    <row r="587" spans="1:12" ht="30" customHeight="1">
      <c r="A587" s="172" t="str">
        <f t="shared" si="18"/>
        <v>18/09/20232</v>
      </c>
      <c r="B587" s="166">
        <f t="shared" si="19"/>
        <v>2</v>
      </c>
      <c r="C587" s="63" t="s">
        <v>2576</v>
      </c>
      <c r="D587" s="64" t="s">
        <v>2577</v>
      </c>
      <c r="E587" s="63">
        <v>7</v>
      </c>
      <c r="F587" s="63" t="s">
        <v>29</v>
      </c>
      <c r="G587" s="65">
        <v>45187</v>
      </c>
      <c r="H587" s="65" t="s">
        <v>73</v>
      </c>
      <c r="I587" s="65" t="s">
        <v>33</v>
      </c>
      <c r="J587" s="63">
        <f>IFERROR(VLOOKUP(I587,Jueces!$A$1:$B$11,2,FALSE),"")</f>
        <v>4</v>
      </c>
      <c r="K587" s="63" t="s">
        <v>805</v>
      </c>
      <c r="L587" s="63" t="s">
        <v>723</v>
      </c>
    </row>
    <row r="588" spans="1:12" ht="30" customHeight="1">
      <c r="A588" s="172" t="str">
        <f t="shared" si="18"/>
        <v>18/09/20233</v>
      </c>
      <c r="B588" s="166">
        <f t="shared" si="19"/>
        <v>3</v>
      </c>
      <c r="C588" s="63" t="s">
        <v>2591</v>
      </c>
      <c r="D588" s="64" t="s">
        <v>2613</v>
      </c>
      <c r="E588" s="63">
        <v>7</v>
      </c>
      <c r="F588" s="63" t="s">
        <v>43</v>
      </c>
      <c r="G588" s="65">
        <v>45187</v>
      </c>
      <c r="H588" s="65" t="s">
        <v>73</v>
      </c>
      <c r="I588" s="65" t="s">
        <v>35</v>
      </c>
      <c r="J588" s="63">
        <f>IFERROR(VLOOKUP(I588,Jueces!$A$1:$B$11,2,FALSE),"")</f>
        <v>3</v>
      </c>
      <c r="K588" s="63" t="s">
        <v>809</v>
      </c>
      <c r="L588" s="63" t="s">
        <v>1029</v>
      </c>
    </row>
    <row r="589" spans="1:12" ht="30" customHeight="1">
      <c r="A589" s="172" t="str">
        <f t="shared" si="18"/>
        <v>18/09/20234</v>
      </c>
      <c r="B589" s="166">
        <f t="shared" si="19"/>
        <v>4</v>
      </c>
      <c r="C589" s="63" t="s">
        <v>2625</v>
      </c>
      <c r="D589" s="64" t="s">
        <v>2642</v>
      </c>
      <c r="E589" s="63">
        <v>4</v>
      </c>
      <c r="F589" s="63" t="s">
        <v>1435</v>
      </c>
      <c r="G589" s="65">
        <v>45187</v>
      </c>
      <c r="H589" s="65" t="s">
        <v>73</v>
      </c>
      <c r="I589" s="65" t="s">
        <v>1219</v>
      </c>
      <c r="J589" s="63" t="s">
        <v>1341</v>
      </c>
      <c r="K589" s="63" t="s">
        <v>1825</v>
      </c>
      <c r="L589" s="63" t="s">
        <v>2643</v>
      </c>
    </row>
    <row r="590" spans="1:12" ht="30" customHeight="1">
      <c r="A590" s="172" t="str">
        <f t="shared" si="18"/>
        <v>19/09/20231</v>
      </c>
      <c r="B590" s="166">
        <f t="shared" si="19"/>
        <v>1</v>
      </c>
      <c r="C590" s="63" t="s">
        <v>2506</v>
      </c>
      <c r="D590" s="64" t="s">
        <v>2532</v>
      </c>
      <c r="E590" s="63">
        <v>7</v>
      </c>
      <c r="F590" s="63" t="s">
        <v>568</v>
      </c>
      <c r="G590" s="65">
        <v>45188</v>
      </c>
      <c r="H590" s="65" t="s">
        <v>73</v>
      </c>
      <c r="I590" s="65" t="s">
        <v>1217</v>
      </c>
      <c r="J590" s="63">
        <v>7</v>
      </c>
      <c r="K590" s="63" t="s">
        <v>807</v>
      </c>
      <c r="L590" s="63" t="s">
        <v>723</v>
      </c>
    </row>
    <row r="591" spans="1:12" ht="30" customHeight="1">
      <c r="A591" s="172" t="str">
        <f t="shared" si="18"/>
        <v>19/09/20232</v>
      </c>
      <c r="B591" s="166">
        <f t="shared" si="19"/>
        <v>2</v>
      </c>
      <c r="C591" s="63" t="s">
        <v>2588</v>
      </c>
      <c r="D591" s="64" t="s">
        <v>2611</v>
      </c>
      <c r="E591" s="63">
        <v>8</v>
      </c>
      <c r="F591" s="63" t="s">
        <v>29</v>
      </c>
      <c r="G591" s="65">
        <v>45188</v>
      </c>
      <c r="H591" s="65" t="s">
        <v>73</v>
      </c>
      <c r="I591" s="65" t="s">
        <v>35</v>
      </c>
      <c r="J591" s="63">
        <f>IFERROR(VLOOKUP(I591,Jueces!$A$1:$B$11,2,FALSE),"")</f>
        <v>3</v>
      </c>
      <c r="K591" s="63" t="s">
        <v>569</v>
      </c>
      <c r="L591" s="63" t="s">
        <v>767</v>
      </c>
    </row>
    <row r="592" spans="1:12" ht="30" customHeight="1">
      <c r="A592" s="172" t="str">
        <f t="shared" si="18"/>
        <v>19/09/20233</v>
      </c>
      <c r="B592" s="166">
        <f t="shared" si="19"/>
        <v>3</v>
      </c>
      <c r="C592" s="63" t="s">
        <v>2592</v>
      </c>
      <c r="D592" s="64" t="s">
        <v>2628</v>
      </c>
      <c r="E592" s="63">
        <v>8</v>
      </c>
      <c r="F592" s="63" t="s">
        <v>283</v>
      </c>
      <c r="G592" s="65">
        <v>45188</v>
      </c>
      <c r="H592" s="102" t="s">
        <v>73</v>
      </c>
      <c r="I592" s="65" t="s">
        <v>31</v>
      </c>
      <c r="J592" s="63">
        <f>IFERROR(VLOOKUP(I592,Jueces!$A$1:$B$11,2,FALSE),"")</f>
        <v>2</v>
      </c>
      <c r="K592" s="63" t="s">
        <v>810</v>
      </c>
      <c r="L592" s="63" t="s">
        <v>885</v>
      </c>
    </row>
    <row r="593" spans="1:12" ht="30" customHeight="1">
      <c r="A593" s="172" t="str">
        <f t="shared" si="18"/>
        <v>19/09/20234</v>
      </c>
      <c r="B593" s="166">
        <f t="shared" si="19"/>
        <v>4</v>
      </c>
      <c r="C593" s="63" t="s">
        <v>2557</v>
      </c>
      <c r="D593" s="64" t="s">
        <v>2558</v>
      </c>
      <c r="E593" s="63">
        <v>7</v>
      </c>
      <c r="F593" s="63" t="s">
        <v>1433</v>
      </c>
      <c r="G593" s="65">
        <v>45188</v>
      </c>
      <c r="H593" s="65" t="s">
        <v>1083</v>
      </c>
      <c r="I593" s="65" t="s">
        <v>1221</v>
      </c>
      <c r="J593" s="63">
        <f>IFERROR(VLOOKUP(I593,Jueces!$A$1:$B$11,2,FALSE),"")</f>
        <v>6</v>
      </c>
      <c r="K593" s="63" t="s">
        <v>811</v>
      </c>
      <c r="L593" s="63" t="s">
        <v>767</v>
      </c>
    </row>
    <row r="594" spans="1:12" ht="30" customHeight="1">
      <c r="A594" s="172" t="str">
        <f t="shared" si="18"/>
        <v>19/09/20235</v>
      </c>
      <c r="B594" s="166">
        <f t="shared" si="19"/>
        <v>5</v>
      </c>
      <c r="C594" s="63" t="s">
        <v>2620</v>
      </c>
      <c r="D594" s="64" t="s">
        <v>2621</v>
      </c>
      <c r="E594" s="63">
        <v>7</v>
      </c>
      <c r="F594" s="63" t="s">
        <v>43</v>
      </c>
      <c r="G594" s="65">
        <v>45188</v>
      </c>
      <c r="H594" s="65" t="s">
        <v>1206</v>
      </c>
      <c r="I594" s="65" t="s">
        <v>1220</v>
      </c>
      <c r="J594" s="63" t="s">
        <v>1483</v>
      </c>
      <c r="K594" s="63" t="s">
        <v>809</v>
      </c>
      <c r="L594" s="63" t="s">
        <v>767</v>
      </c>
    </row>
    <row r="595" spans="1:12" ht="30" customHeight="1">
      <c r="A595" s="172" t="str">
        <f t="shared" si="18"/>
        <v>19/09/20236</v>
      </c>
      <c r="B595" s="166">
        <f t="shared" si="19"/>
        <v>6</v>
      </c>
      <c r="C595" s="63" t="s">
        <v>2626</v>
      </c>
      <c r="D595" s="64" t="s">
        <v>2644</v>
      </c>
      <c r="E595" s="63">
        <v>4</v>
      </c>
      <c r="F595" s="63" t="s">
        <v>2753</v>
      </c>
      <c r="G595" s="65">
        <v>45188</v>
      </c>
      <c r="H595" s="65" t="s">
        <v>77</v>
      </c>
      <c r="I595" s="65" t="s">
        <v>1219</v>
      </c>
      <c r="J595" s="63" t="s">
        <v>1512</v>
      </c>
      <c r="K595" s="63" t="s">
        <v>2076</v>
      </c>
      <c r="L595" s="63" t="s">
        <v>2645</v>
      </c>
    </row>
    <row r="596" spans="1:12" ht="30" customHeight="1">
      <c r="A596" s="172" t="str">
        <f t="shared" si="18"/>
        <v>19/09/20237</v>
      </c>
      <c r="B596" s="166">
        <f t="shared" si="19"/>
        <v>7</v>
      </c>
      <c r="C596" s="63" t="s">
        <v>2553</v>
      </c>
      <c r="D596" s="64" t="s">
        <v>2554</v>
      </c>
      <c r="E596" s="63">
        <v>7</v>
      </c>
      <c r="F596" s="63" t="s">
        <v>1435</v>
      </c>
      <c r="G596" s="65">
        <v>45188</v>
      </c>
      <c r="H596" s="65" t="s">
        <v>228</v>
      </c>
      <c r="I596" s="65" t="s">
        <v>1217</v>
      </c>
      <c r="J596" s="63">
        <f>IFERROR(VLOOKUP(I596,Jueces!$A$1:$B$11,2,FALSE),"")</f>
        <v>7</v>
      </c>
      <c r="K596" s="63" t="s">
        <v>810</v>
      </c>
      <c r="L596" s="63" t="s">
        <v>767</v>
      </c>
    </row>
    <row r="597" spans="1:12" ht="30" customHeight="1">
      <c r="A597" s="172" t="str">
        <f t="shared" si="18"/>
        <v>20/09/20231</v>
      </c>
      <c r="B597" s="166">
        <f t="shared" si="19"/>
        <v>1</v>
      </c>
      <c r="C597" s="63" t="s">
        <v>2539</v>
      </c>
      <c r="D597" s="64" t="s">
        <v>2806</v>
      </c>
      <c r="E597" s="63">
        <v>6</v>
      </c>
      <c r="F597" s="63" t="s">
        <v>1435</v>
      </c>
      <c r="G597" s="65">
        <v>45189</v>
      </c>
      <c r="H597" s="65" t="s">
        <v>73</v>
      </c>
      <c r="I597" s="65" t="s">
        <v>33</v>
      </c>
      <c r="J597" s="63" t="s">
        <v>1341</v>
      </c>
      <c r="K597" s="63" t="s">
        <v>795</v>
      </c>
      <c r="L597" s="63" t="s">
        <v>725</v>
      </c>
    </row>
    <row r="598" spans="1:12" ht="30" customHeight="1">
      <c r="A598" s="172" t="str">
        <f t="shared" si="18"/>
        <v>20/09/20232</v>
      </c>
      <c r="B598" s="166">
        <f t="shared" si="19"/>
        <v>2</v>
      </c>
      <c r="C598" s="63" t="s">
        <v>2619</v>
      </c>
      <c r="D598" s="64" t="s">
        <v>2807</v>
      </c>
      <c r="E598" s="63">
        <v>7</v>
      </c>
      <c r="F598" s="63" t="s">
        <v>568</v>
      </c>
      <c r="G598" s="65">
        <v>45189</v>
      </c>
      <c r="H598" s="65" t="s">
        <v>73</v>
      </c>
      <c r="I598" s="65" t="s">
        <v>78</v>
      </c>
      <c r="J598" s="63">
        <f>IFERROR(VLOOKUP(I598,Jueces!$A$1:$B$11,2,FALSE),"")</f>
        <v>8</v>
      </c>
      <c r="K598" s="63" t="s">
        <v>798</v>
      </c>
      <c r="L598" s="63" t="s">
        <v>723</v>
      </c>
    </row>
    <row r="599" spans="1:12" ht="30" customHeight="1">
      <c r="A599" s="172" t="str">
        <f t="shared" si="18"/>
        <v>20/09/20233</v>
      </c>
      <c r="B599" s="166">
        <f t="shared" si="19"/>
        <v>3</v>
      </c>
      <c r="C599" s="63" t="s">
        <v>2629</v>
      </c>
      <c r="D599" s="64" t="s">
        <v>2808</v>
      </c>
      <c r="E599" s="63">
        <v>8</v>
      </c>
      <c r="F599" s="63" t="s">
        <v>2751</v>
      </c>
      <c r="G599" s="65">
        <v>45189</v>
      </c>
      <c r="H599" s="65" t="s">
        <v>73</v>
      </c>
      <c r="I599" s="65" t="s">
        <v>1219</v>
      </c>
      <c r="J599" s="63" t="s">
        <v>1321</v>
      </c>
      <c r="K599" s="63" t="s">
        <v>1406</v>
      </c>
      <c r="L599" s="63" t="s">
        <v>1028</v>
      </c>
    </row>
    <row r="600" spans="1:12" ht="30" customHeight="1">
      <c r="A600" s="172" t="str">
        <f t="shared" si="18"/>
        <v>20/09/20234</v>
      </c>
      <c r="B600" s="166">
        <f t="shared" si="19"/>
        <v>4</v>
      </c>
      <c r="C600" s="63" t="s">
        <v>2675</v>
      </c>
      <c r="D600" s="64" t="s">
        <v>2809</v>
      </c>
      <c r="E600" s="63">
        <v>6</v>
      </c>
      <c r="F600" s="63" t="s">
        <v>1433</v>
      </c>
      <c r="G600" s="65">
        <v>45189</v>
      </c>
      <c r="H600" s="65" t="s">
        <v>73</v>
      </c>
      <c r="I600" s="65" t="s">
        <v>31</v>
      </c>
      <c r="J600" s="63">
        <f>IFERROR(VLOOKUP(I600,Jueces!$A$1:$B$11,2,FALSE),"")</f>
        <v>2</v>
      </c>
      <c r="K600" s="63" t="s">
        <v>1301</v>
      </c>
      <c r="L600" s="63" t="s">
        <v>2679</v>
      </c>
    </row>
    <row r="601" spans="1:12" ht="30" customHeight="1">
      <c r="A601" s="172" t="str">
        <f t="shared" si="18"/>
        <v>20/09/20235</v>
      </c>
      <c r="B601" s="166">
        <f t="shared" si="19"/>
        <v>5</v>
      </c>
      <c r="C601" s="63" t="s">
        <v>2594</v>
      </c>
      <c r="D601" s="64" t="s">
        <v>2810</v>
      </c>
      <c r="E601" s="63">
        <v>7</v>
      </c>
      <c r="F601" s="63" t="s">
        <v>283</v>
      </c>
      <c r="G601" s="65">
        <v>45189</v>
      </c>
      <c r="H601" s="65" t="s">
        <v>749</v>
      </c>
      <c r="I601" s="65" t="s">
        <v>1221</v>
      </c>
      <c r="J601" s="63">
        <f>IFERROR(VLOOKUP(I601,Jueces!$A$1:$B$11,2,FALSE),"")</f>
        <v>6</v>
      </c>
      <c r="K601" s="63" t="s">
        <v>582</v>
      </c>
      <c r="L601" s="63" t="s">
        <v>767</v>
      </c>
    </row>
    <row r="602" spans="1:12" ht="30" customHeight="1">
      <c r="A602" s="172" t="str">
        <f t="shared" si="18"/>
        <v>20/09/20236</v>
      </c>
      <c r="B602" s="166">
        <f t="shared" si="19"/>
        <v>6</v>
      </c>
      <c r="C602" s="63" t="s">
        <v>2616</v>
      </c>
      <c r="D602" s="64" t="s">
        <v>2811</v>
      </c>
      <c r="E602" s="63">
        <v>8</v>
      </c>
      <c r="F602" s="63" t="s">
        <v>1434</v>
      </c>
      <c r="G602" s="65">
        <v>45189</v>
      </c>
      <c r="H602" s="65" t="s">
        <v>1083</v>
      </c>
      <c r="I602" s="65" t="s">
        <v>1219</v>
      </c>
      <c r="J602" s="63" t="s">
        <v>1321</v>
      </c>
      <c r="K602" s="63" t="s">
        <v>807</v>
      </c>
      <c r="L602" s="63" t="s">
        <v>767</v>
      </c>
    </row>
    <row r="603" spans="1:12" ht="30" customHeight="1">
      <c r="A603" s="172" t="str">
        <f t="shared" si="18"/>
        <v>20/09/20237</v>
      </c>
      <c r="B603" s="166">
        <f t="shared" si="19"/>
        <v>7</v>
      </c>
      <c r="C603" s="63" t="s">
        <v>2708</v>
      </c>
      <c r="D603" s="64" t="s">
        <v>2812</v>
      </c>
      <c r="E603" s="63">
        <v>8</v>
      </c>
      <c r="F603" s="63" t="s">
        <v>29</v>
      </c>
      <c r="G603" s="65">
        <v>45189</v>
      </c>
      <c r="H603" s="65" t="s">
        <v>1083</v>
      </c>
      <c r="I603" s="65" t="s">
        <v>1217</v>
      </c>
      <c r="J603" s="63">
        <f>IFERROR(VLOOKUP(I603,Jueces!$A$1:$B$11,2,FALSE),"")</f>
        <v>7</v>
      </c>
      <c r="K603" s="63" t="s">
        <v>791</v>
      </c>
      <c r="L603" s="63" t="s">
        <v>885</v>
      </c>
    </row>
    <row r="604" spans="1:12" ht="30" customHeight="1">
      <c r="A604" s="172" t="str">
        <f t="shared" si="18"/>
        <v>20/09/20238</v>
      </c>
      <c r="B604" s="166">
        <f t="shared" si="19"/>
        <v>8</v>
      </c>
      <c r="C604" s="63" t="s">
        <v>2667</v>
      </c>
      <c r="D604" s="64" t="s">
        <v>2813</v>
      </c>
      <c r="E604" s="63">
        <v>7</v>
      </c>
      <c r="F604" s="63" t="s">
        <v>43</v>
      </c>
      <c r="G604" s="65">
        <v>45189</v>
      </c>
      <c r="H604" s="65" t="s">
        <v>2011</v>
      </c>
      <c r="I604" s="65" t="s">
        <v>33</v>
      </c>
      <c r="J604" s="63" t="s">
        <v>1341</v>
      </c>
      <c r="K604" s="63" t="s">
        <v>811</v>
      </c>
      <c r="L604" s="63" t="s">
        <v>767</v>
      </c>
    </row>
    <row r="605" spans="1:12" ht="30" customHeight="1">
      <c r="A605" s="172" t="str">
        <f t="shared" si="18"/>
        <v>21/09/20231</v>
      </c>
      <c r="B605" s="166">
        <f t="shared" si="19"/>
        <v>1</v>
      </c>
      <c r="C605" s="63" t="s">
        <v>2555</v>
      </c>
      <c r="D605" s="64" t="s">
        <v>2556</v>
      </c>
      <c r="E605" s="63">
        <v>7</v>
      </c>
      <c r="F605" s="63" t="s">
        <v>568</v>
      </c>
      <c r="G605" s="65">
        <v>45190</v>
      </c>
      <c r="H605" s="65" t="s">
        <v>73</v>
      </c>
      <c r="I605" s="65" t="s">
        <v>1219</v>
      </c>
      <c r="J605" s="63" t="s">
        <v>1341</v>
      </c>
      <c r="K605" s="63" t="s">
        <v>801</v>
      </c>
      <c r="L605" s="63" t="s">
        <v>725</v>
      </c>
    </row>
    <row r="606" spans="1:12" ht="30" customHeight="1">
      <c r="A606" s="172" t="str">
        <f t="shared" si="18"/>
        <v>21/09/20232</v>
      </c>
      <c r="B606" s="166">
        <f t="shared" si="19"/>
        <v>2</v>
      </c>
      <c r="C606" s="63" t="s">
        <v>2617</v>
      </c>
      <c r="D606" s="64" t="s">
        <v>2618</v>
      </c>
      <c r="E606" s="63">
        <v>7</v>
      </c>
      <c r="F606" s="63" t="s">
        <v>1433</v>
      </c>
      <c r="G606" s="65">
        <v>45190</v>
      </c>
      <c r="H606" s="65" t="s">
        <v>73</v>
      </c>
      <c r="I606" s="65" t="s">
        <v>35</v>
      </c>
      <c r="J606" s="63">
        <f>IFERROR(VLOOKUP(I606,Jueces!$A$1:$B$11,2,FALSE),"")</f>
        <v>3</v>
      </c>
      <c r="K606" s="63" t="s">
        <v>806</v>
      </c>
      <c r="L606" s="63" t="s">
        <v>723</v>
      </c>
    </row>
    <row r="607" spans="1:12" ht="30" customHeight="1">
      <c r="A607" s="172" t="str">
        <f t="shared" si="18"/>
        <v>21/09/20233</v>
      </c>
      <c r="B607" s="166">
        <f t="shared" si="19"/>
        <v>3</v>
      </c>
      <c r="C607" s="63" t="s">
        <v>2665</v>
      </c>
      <c r="D607" s="64" t="s">
        <v>2778</v>
      </c>
      <c r="E607" s="63">
        <v>8</v>
      </c>
      <c r="F607" s="63" t="s">
        <v>2753</v>
      </c>
      <c r="G607" s="65">
        <v>45190</v>
      </c>
      <c r="H607" s="65" t="s">
        <v>73</v>
      </c>
      <c r="I607" s="65" t="s">
        <v>31</v>
      </c>
      <c r="J607" s="63">
        <f>IFERROR(VLOOKUP(I607,Jueces!$A$1:$B$11,2,FALSE),"")</f>
        <v>2</v>
      </c>
      <c r="K607" s="63" t="s">
        <v>791</v>
      </c>
      <c r="L607" s="63" t="s">
        <v>2672</v>
      </c>
    </row>
    <row r="608" spans="1:12" ht="30" customHeight="1">
      <c r="A608" s="172" t="str">
        <f t="shared" si="18"/>
        <v>21/09/20234</v>
      </c>
      <c r="B608" s="166">
        <f t="shared" si="19"/>
        <v>4</v>
      </c>
      <c r="C608" s="63" t="s">
        <v>2678</v>
      </c>
      <c r="D608" s="64" t="s">
        <v>2819</v>
      </c>
      <c r="E608" s="63">
        <v>6</v>
      </c>
      <c r="F608" s="63" t="s">
        <v>43</v>
      </c>
      <c r="G608" s="65">
        <v>45190</v>
      </c>
      <c r="H608" s="65" t="s">
        <v>73</v>
      </c>
      <c r="I608" s="65" t="s">
        <v>1217</v>
      </c>
      <c r="J608" s="63">
        <f>IFERROR(VLOOKUP(I608,Jueces!$A$1:$B$11,2,FALSE),"")</f>
        <v>7</v>
      </c>
      <c r="K608" s="63" t="s">
        <v>789</v>
      </c>
      <c r="L608" s="63" t="s">
        <v>2680</v>
      </c>
    </row>
    <row r="609" spans="1:12" ht="30" customHeight="1">
      <c r="A609" s="172" t="str">
        <f t="shared" si="18"/>
        <v>21/09/20235</v>
      </c>
      <c r="B609" s="166">
        <f t="shared" si="19"/>
        <v>5</v>
      </c>
      <c r="C609" s="7" t="s">
        <v>2653</v>
      </c>
      <c r="D609" s="40" t="s">
        <v>2845</v>
      </c>
      <c r="E609" s="69">
        <v>8</v>
      </c>
      <c r="F609" s="63" t="s">
        <v>1434</v>
      </c>
      <c r="G609" s="65">
        <v>45190</v>
      </c>
      <c r="H609" s="65" t="s">
        <v>749</v>
      </c>
      <c r="I609" s="65" t="s">
        <v>1221</v>
      </c>
      <c r="J609" s="63">
        <f>IFERROR(VLOOKUP(I609,Jueces!$A$1:$B$11,2,FALSE),"")</f>
        <v>6</v>
      </c>
      <c r="K609" s="63" t="s">
        <v>810</v>
      </c>
      <c r="L609" s="63" t="s">
        <v>885</v>
      </c>
    </row>
    <row r="610" spans="1:12" ht="30" customHeight="1">
      <c r="A610" s="172" t="str">
        <f t="shared" si="18"/>
        <v>21/09/20236</v>
      </c>
      <c r="B610" s="166">
        <f t="shared" si="19"/>
        <v>6</v>
      </c>
      <c r="C610" s="107" t="s">
        <v>2652</v>
      </c>
      <c r="D610" s="108" t="s">
        <v>2706</v>
      </c>
      <c r="E610" s="63">
        <v>7</v>
      </c>
      <c r="F610" s="63" t="s">
        <v>1435</v>
      </c>
      <c r="G610" s="65">
        <v>45190</v>
      </c>
      <c r="H610" s="65" t="s">
        <v>1083</v>
      </c>
      <c r="I610" s="65" t="s">
        <v>33</v>
      </c>
      <c r="J610" s="63">
        <f>IFERROR(VLOOKUP(I610,Jueces!$A$1:$B$11,2,FALSE),"")</f>
        <v>4</v>
      </c>
      <c r="K610" s="63" t="s">
        <v>809</v>
      </c>
      <c r="L610" s="63" t="s">
        <v>725</v>
      </c>
    </row>
    <row r="611" spans="1:12" ht="30" customHeight="1">
      <c r="A611" s="172" t="str">
        <f t="shared" si="18"/>
        <v>21/09/20237</v>
      </c>
      <c r="B611" s="166">
        <f t="shared" si="19"/>
        <v>7</v>
      </c>
      <c r="C611" s="63" t="s">
        <v>2666</v>
      </c>
      <c r="D611" s="64" t="s">
        <v>2846</v>
      </c>
      <c r="E611" s="63">
        <v>7</v>
      </c>
      <c r="F611" s="63" t="s">
        <v>29</v>
      </c>
      <c r="G611" s="65">
        <v>45190</v>
      </c>
      <c r="H611" s="65" t="s">
        <v>1083</v>
      </c>
      <c r="I611" s="65" t="s">
        <v>78</v>
      </c>
      <c r="J611" s="63">
        <f>IFERROR(VLOOKUP(I611,Jueces!$A$1:$B$11,2,FALSE),"")</f>
        <v>8</v>
      </c>
      <c r="K611" s="63" t="s">
        <v>797</v>
      </c>
      <c r="L611" s="63" t="s">
        <v>723</v>
      </c>
    </row>
    <row r="612" spans="1:12" ht="30" customHeight="1">
      <c r="A612" s="172" t="str">
        <f t="shared" si="18"/>
        <v>22/09/20231</v>
      </c>
      <c r="B612" s="166">
        <f t="shared" si="19"/>
        <v>1</v>
      </c>
      <c r="C612" s="63" t="s">
        <v>2654</v>
      </c>
      <c r="D612" s="64" t="s">
        <v>2671</v>
      </c>
      <c r="E612" s="63">
        <v>7</v>
      </c>
      <c r="F612" s="63" t="s">
        <v>2752</v>
      </c>
      <c r="G612" s="65">
        <v>45191</v>
      </c>
      <c r="H612" s="65" t="s">
        <v>73</v>
      </c>
      <c r="I612" s="65" t="s">
        <v>35</v>
      </c>
      <c r="J612" s="63">
        <f>IFERROR(VLOOKUP(I612,Jueces!$A$1:$B$11,2,FALSE),"")</f>
        <v>3</v>
      </c>
      <c r="K612" s="63" t="s">
        <v>792</v>
      </c>
      <c r="L612" s="63" t="s">
        <v>697</v>
      </c>
    </row>
    <row r="613" spans="1:12" ht="30" customHeight="1">
      <c r="A613" s="172" t="str">
        <f t="shared" si="18"/>
        <v>22/09/20232</v>
      </c>
      <c r="B613" s="166">
        <f t="shared" si="19"/>
        <v>2</v>
      </c>
      <c r="C613" s="63" t="s">
        <v>2669</v>
      </c>
      <c r="D613" s="64" t="s">
        <v>2670</v>
      </c>
      <c r="E613" s="63">
        <v>7</v>
      </c>
      <c r="F613" s="63" t="s">
        <v>1435</v>
      </c>
      <c r="G613" s="65">
        <v>45191</v>
      </c>
      <c r="H613" s="65" t="s">
        <v>73</v>
      </c>
      <c r="I613" s="65" t="s">
        <v>1217</v>
      </c>
      <c r="J613" s="63">
        <f>IFERROR(VLOOKUP(I613,Jueces!$A$1:$B$11,2,FALSE),"")</f>
        <v>7</v>
      </c>
      <c r="K613" s="63" t="s">
        <v>805</v>
      </c>
      <c r="L613" s="63" t="s">
        <v>2713</v>
      </c>
    </row>
    <row r="614" spans="1:12" ht="30" customHeight="1">
      <c r="A614" s="172" t="str">
        <f t="shared" si="18"/>
        <v>22/09/20233</v>
      </c>
      <c r="B614" s="166">
        <f t="shared" si="19"/>
        <v>3</v>
      </c>
      <c r="C614" s="7" t="s">
        <v>2676</v>
      </c>
      <c r="D614" s="40" t="s">
        <v>2677</v>
      </c>
      <c r="E614" s="7">
        <v>7</v>
      </c>
      <c r="F614" s="7" t="s">
        <v>2753</v>
      </c>
      <c r="G614" s="19">
        <v>45191</v>
      </c>
      <c r="H614" s="19" t="s">
        <v>73</v>
      </c>
      <c r="I614" s="19" t="s">
        <v>78</v>
      </c>
      <c r="J614" s="7">
        <f>IFERROR(VLOOKUP(I614,Jueces!$A$1:$B$11,2,FALSE),"")</f>
        <v>8</v>
      </c>
      <c r="K614" s="7" t="s">
        <v>807</v>
      </c>
      <c r="L614" s="7" t="s">
        <v>725</v>
      </c>
    </row>
    <row r="615" spans="1:12" ht="30" customHeight="1">
      <c r="A615" s="172" t="str">
        <f t="shared" si="18"/>
        <v>22/09/20234</v>
      </c>
      <c r="B615" s="166">
        <f t="shared" si="19"/>
        <v>4</v>
      </c>
      <c r="C615" s="63" t="s">
        <v>2027</v>
      </c>
      <c r="D615" s="64" t="s">
        <v>2028</v>
      </c>
      <c r="E615" s="63">
        <v>5</v>
      </c>
      <c r="F615" s="63" t="s">
        <v>1434</v>
      </c>
      <c r="G615" s="65">
        <v>45191</v>
      </c>
      <c r="H615" s="65" t="s">
        <v>73</v>
      </c>
      <c r="I615" s="65" t="s">
        <v>31</v>
      </c>
      <c r="J615" s="63">
        <f>IFERROR(VLOOKUP(I615,Jueces!$A$1:$B$11,2,FALSE),"")</f>
        <v>2</v>
      </c>
      <c r="K615" s="63" t="s">
        <v>811</v>
      </c>
      <c r="L615" s="63" t="s">
        <v>1956</v>
      </c>
    </row>
    <row r="616" spans="1:12" ht="30" customHeight="1">
      <c r="A616" s="172" t="str">
        <f t="shared" si="18"/>
        <v>22/09/20235</v>
      </c>
      <c r="B616" s="166">
        <f t="shared" si="19"/>
        <v>5</v>
      </c>
      <c r="C616" s="63" t="s">
        <v>2729</v>
      </c>
      <c r="D616" s="64" t="s">
        <v>2730</v>
      </c>
      <c r="E616" s="63">
        <v>5</v>
      </c>
      <c r="F616" s="63" t="s">
        <v>1433</v>
      </c>
      <c r="G616" s="65">
        <v>45191</v>
      </c>
      <c r="H616" s="65" t="s">
        <v>73</v>
      </c>
      <c r="I616" s="65" t="s">
        <v>33</v>
      </c>
      <c r="J616" s="63">
        <f>IFERROR(VLOOKUP(I616,Jueces!$A$1:$B$11,2,FALSE),"")</f>
        <v>4</v>
      </c>
      <c r="K616" s="63" t="s">
        <v>802</v>
      </c>
      <c r="L616" s="63" t="s">
        <v>700</v>
      </c>
    </row>
    <row r="617" spans="1:12" ht="30" customHeight="1">
      <c r="A617" s="172" t="str">
        <f t="shared" si="18"/>
        <v>22/09/20236</v>
      </c>
      <c r="B617" s="166">
        <f t="shared" si="19"/>
        <v>6</v>
      </c>
      <c r="C617" s="63" t="s">
        <v>2814</v>
      </c>
      <c r="D617" s="64" t="s">
        <v>2593</v>
      </c>
      <c r="E617" s="63">
        <v>4</v>
      </c>
      <c r="F617" s="63" t="s">
        <v>283</v>
      </c>
      <c r="G617" s="65">
        <v>45191</v>
      </c>
      <c r="H617" s="65" t="s">
        <v>1083</v>
      </c>
      <c r="I617" s="65" t="s">
        <v>33</v>
      </c>
      <c r="J617" s="63">
        <f>IFERROR(VLOOKUP(I617,Jueces!$A$1:$B$11,2,FALSE),"")</f>
        <v>4</v>
      </c>
      <c r="K617" s="63" t="s">
        <v>1693</v>
      </c>
      <c r="L617" s="63" t="s">
        <v>2627</v>
      </c>
    </row>
    <row r="618" spans="1:12" ht="30" customHeight="1">
      <c r="A618" s="172" t="str">
        <f t="shared" si="18"/>
        <v>22/09/20237</v>
      </c>
      <c r="B618" s="166">
        <f t="shared" si="19"/>
        <v>7</v>
      </c>
      <c r="C618" s="63" t="s">
        <v>2694</v>
      </c>
      <c r="D618" s="64" t="s">
        <v>2695</v>
      </c>
      <c r="E618" s="63">
        <v>7</v>
      </c>
      <c r="F618" s="63" t="s">
        <v>568</v>
      </c>
      <c r="G618" s="65">
        <v>45191</v>
      </c>
      <c r="H618" s="65" t="s">
        <v>1083</v>
      </c>
      <c r="I618" s="65" t="s">
        <v>31</v>
      </c>
      <c r="J618" s="63" t="s">
        <v>1341</v>
      </c>
      <c r="K618" s="63" t="s">
        <v>688</v>
      </c>
      <c r="L618" s="63" t="s">
        <v>885</v>
      </c>
    </row>
    <row r="619" spans="1:12" ht="30" customHeight="1">
      <c r="A619" s="172" t="str">
        <f t="shared" si="18"/>
        <v>25/09/20231</v>
      </c>
      <c r="B619" s="166">
        <f t="shared" si="19"/>
        <v>1</v>
      </c>
      <c r="C619" s="63" t="s">
        <v>2042</v>
      </c>
      <c r="D619" s="64" t="s">
        <v>2674</v>
      </c>
      <c r="E619" s="63">
        <v>1</v>
      </c>
      <c r="F619" s="63" t="s">
        <v>43</v>
      </c>
      <c r="G619" s="65">
        <v>45194</v>
      </c>
      <c r="H619" s="65" t="s">
        <v>73</v>
      </c>
      <c r="I619" s="65" t="s">
        <v>31</v>
      </c>
      <c r="J619" s="63">
        <f>IFERROR(VLOOKUP(I619,Jueces!$A$1:$B$11,2,FALSE),"")</f>
        <v>2</v>
      </c>
      <c r="K619" s="63" t="s">
        <v>791</v>
      </c>
      <c r="L619" s="63" t="s">
        <v>2681</v>
      </c>
    </row>
    <row r="620" spans="1:12" ht="30" customHeight="1">
      <c r="A620" s="172" t="str">
        <f t="shared" si="18"/>
        <v>25/09/20232</v>
      </c>
      <c r="B620" s="166">
        <f t="shared" si="19"/>
        <v>2</v>
      </c>
      <c r="C620" s="63" t="s">
        <v>2690</v>
      </c>
      <c r="D620" s="64" t="s">
        <v>2691</v>
      </c>
      <c r="E620" s="63">
        <v>7</v>
      </c>
      <c r="F620" s="63" t="s">
        <v>283</v>
      </c>
      <c r="G620" s="65">
        <v>45194</v>
      </c>
      <c r="H620" s="65" t="s">
        <v>73</v>
      </c>
      <c r="I620" s="65" t="s">
        <v>33</v>
      </c>
      <c r="J620" s="63">
        <f>IFERROR(VLOOKUP(I620,Jueces!$A$1:$B$11,2,FALSE),"")</f>
        <v>4</v>
      </c>
      <c r="K620" s="63" t="s">
        <v>807</v>
      </c>
      <c r="L620" s="63" t="s">
        <v>700</v>
      </c>
    </row>
    <row r="621" spans="1:12" ht="30" customHeight="1">
      <c r="A621" s="172" t="str">
        <f t="shared" si="18"/>
        <v>25/09/20233</v>
      </c>
      <c r="B621" s="166">
        <f t="shared" si="19"/>
        <v>3</v>
      </c>
      <c r="C621" s="63" t="s">
        <v>2697</v>
      </c>
      <c r="D621" s="64" t="s">
        <v>2698</v>
      </c>
      <c r="E621" s="63">
        <v>7</v>
      </c>
      <c r="F621" s="63" t="s">
        <v>1433</v>
      </c>
      <c r="G621" s="65">
        <v>45194</v>
      </c>
      <c r="H621" s="65" t="s">
        <v>73</v>
      </c>
      <c r="I621" s="65" t="s">
        <v>35</v>
      </c>
      <c r="J621" s="63">
        <f>IFERROR(VLOOKUP(I621,Jueces!$A$1:$B$11,2,FALSE),"")</f>
        <v>3</v>
      </c>
      <c r="K621" s="63" t="s">
        <v>326</v>
      </c>
      <c r="L621" s="63" t="s">
        <v>723</v>
      </c>
    </row>
    <row r="622" spans="1:12" ht="30" customHeight="1">
      <c r="A622" s="172" t="str">
        <f t="shared" si="18"/>
        <v>25/09/20234</v>
      </c>
      <c r="B622" s="166">
        <f t="shared" si="19"/>
        <v>4</v>
      </c>
      <c r="C622" s="63" t="s">
        <v>2700</v>
      </c>
      <c r="D622" s="64" t="s">
        <v>2701</v>
      </c>
      <c r="E622" s="63">
        <v>5</v>
      </c>
      <c r="F622" s="63" t="s">
        <v>1435</v>
      </c>
      <c r="G622" s="65">
        <v>45194</v>
      </c>
      <c r="H622" s="65" t="s">
        <v>73</v>
      </c>
      <c r="I622" s="65" t="s">
        <v>78</v>
      </c>
      <c r="J622" s="63">
        <f>IFERROR(VLOOKUP(I622,Jueces!$A$1:$B$11,2,FALSE),"")</f>
        <v>8</v>
      </c>
      <c r="K622" s="63" t="s">
        <v>811</v>
      </c>
      <c r="L622" s="63" t="s">
        <v>783</v>
      </c>
    </row>
    <row r="623" spans="1:12" ht="30" customHeight="1">
      <c r="A623" s="172" t="str">
        <f t="shared" si="18"/>
        <v>25/09/20235</v>
      </c>
      <c r="B623" s="166">
        <f t="shared" si="19"/>
        <v>5</v>
      </c>
      <c r="C623" s="63" t="s">
        <v>2709</v>
      </c>
      <c r="D623" s="64" t="s">
        <v>2710</v>
      </c>
      <c r="E623" s="63">
        <v>8</v>
      </c>
      <c r="F623" s="63" t="s">
        <v>2751</v>
      </c>
      <c r="G623" s="65">
        <v>45194</v>
      </c>
      <c r="H623" s="65" t="s">
        <v>73</v>
      </c>
      <c r="I623" s="65" t="s">
        <v>1217</v>
      </c>
      <c r="J623" s="205" t="s">
        <v>1916</v>
      </c>
      <c r="K623" s="63" t="s">
        <v>798</v>
      </c>
      <c r="L623" s="63" t="s">
        <v>885</v>
      </c>
    </row>
    <row r="624" spans="1:12" ht="30" customHeight="1">
      <c r="A624" s="172" t="str">
        <f t="shared" si="18"/>
        <v>25/09/20236</v>
      </c>
      <c r="B624" s="166">
        <f t="shared" si="19"/>
        <v>6</v>
      </c>
      <c r="C624" s="63" t="s">
        <v>2731</v>
      </c>
      <c r="D624" s="64" t="s">
        <v>2732</v>
      </c>
      <c r="E624" s="63">
        <v>8</v>
      </c>
      <c r="F624" s="63" t="s">
        <v>29</v>
      </c>
      <c r="G624" s="65">
        <v>45194</v>
      </c>
      <c r="H624" s="65" t="s">
        <v>1083</v>
      </c>
      <c r="I624" s="65" t="s">
        <v>1217</v>
      </c>
      <c r="J624" s="205" t="s">
        <v>1916</v>
      </c>
      <c r="K624" s="63" t="s">
        <v>810</v>
      </c>
      <c r="L624" s="63" t="s">
        <v>1084</v>
      </c>
    </row>
    <row r="625" spans="1:12" ht="30" customHeight="1">
      <c r="A625" s="172" t="str">
        <f t="shared" si="18"/>
        <v>25/09/20237</v>
      </c>
      <c r="B625" s="166">
        <f t="shared" si="19"/>
        <v>7</v>
      </c>
      <c r="C625" s="63" t="s">
        <v>2747</v>
      </c>
      <c r="D625" s="64" t="s">
        <v>2748</v>
      </c>
      <c r="E625" s="63">
        <v>7</v>
      </c>
      <c r="F625" s="63" t="s">
        <v>2766</v>
      </c>
      <c r="G625" s="65">
        <v>45194</v>
      </c>
      <c r="H625" s="65" t="s">
        <v>1083</v>
      </c>
      <c r="I625" s="65" t="s">
        <v>33</v>
      </c>
      <c r="J625" s="63">
        <f>IFERROR(VLOOKUP(I625,Jueces!$A$1:$B$11,2,FALSE),"")</f>
        <v>4</v>
      </c>
      <c r="K625" s="63" t="s">
        <v>805</v>
      </c>
      <c r="L625" s="63" t="s">
        <v>767</v>
      </c>
    </row>
    <row r="626" spans="1:12" ht="30" customHeight="1">
      <c r="A626" s="172" t="str">
        <f t="shared" si="18"/>
        <v>25/09/20238</v>
      </c>
      <c r="B626" s="166">
        <f t="shared" si="19"/>
        <v>8</v>
      </c>
      <c r="C626" s="63" t="s">
        <v>2350</v>
      </c>
      <c r="D626" s="64" t="s">
        <v>2900</v>
      </c>
      <c r="E626" s="63">
        <v>5</v>
      </c>
      <c r="F626" s="63" t="s">
        <v>2815</v>
      </c>
      <c r="G626" s="65">
        <v>45194</v>
      </c>
      <c r="H626" s="65" t="s">
        <v>1083</v>
      </c>
      <c r="I626" s="65" t="s">
        <v>31</v>
      </c>
      <c r="J626" s="63">
        <f>IFERROR(VLOOKUP(I626,Jueces!$A$1:$B$11,2,FALSE),"")</f>
        <v>2</v>
      </c>
      <c r="K626" s="63" t="s">
        <v>405</v>
      </c>
      <c r="L626" s="63" t="s">
        <v>1956</v>
      </c>
    </row>
    <row r="627" spans="1:12" ht="30" customHeight="1">
      <c r="A627" s="172" t="str">
        <f t="shared" si="18"/>
        <v>26/09/20231</v>
      </c>
      <c r="B627" s="166">
        <f t="shared" si="19"/>
        <v>1</v>
      </c>
      <c r="C627" s="63" t="s">
        <v>2692</v>
      </c>
      <c r="D627" s="64" t="s">
        <v>2693</v>
      </c>
      <c r="E627" s="63">
        <v>7</v>
      </c>
      <c r="F627" s="63" t="s">
        <v>1435</v>
      </c>
      <c r="G627" s="65">
        <v>45195</v>
      </c>
      <c r="H627" s="65" t="s">
        <v>73</v>
      </c>
      <c r="I627" s="65" t="s">
        <v>78</v>
      </c>
      <c r="J627" s="63">
        <f>IFERROR(VLOOKUP(I627,Jueces!$A$1:$B$11,2,FALSE),"")</f>
        <v>8</v>
      </c>
      <c r="K627" s="63" t="s">
        <v>688</v>
      </c>
      <c r="L627" s="63" t="s">
        <v>2755</v>
      </c>
    </row>
    <row r="628" spans="1:12" ht="30" customHeight="1">
      <c r="A628" s="172" t="str">
        <f t="shared" si="18"/>
        <v>26/09/20232</v>
      </c>
      <c r="B628" s="166">
        <f t="shared" si="19"/>
        <v>2</v>
      </c>
      <c r="C628" s="63" t="s">
        <v>2704</v>
      </c>
      <c r="D628" s="64" t="s">
        <v>2891</v>
      </c>
      <c r="E628" s="63">
        <v>7</v>
      </c>
      <c r="F628" s="63" t="s">
        <v>1433</v>
      </c>
      <c r="G628" s="65">
        <v>45195</v>
      </c>
      <c r="H628" s="65" t="s">
        <v>73</v>
      </c>
      <c r="I628" s="65" t="s">
        <v>31</v>
      </c>
      <c r="J628" s="63">
        <f>IFERROR(VLOOKUP(I628,Jueces!$A$1:$B$11,2,FALSE),"")</f>
        <v>2</v>
      </c>
      <c r="K628" s="63" t="s">
        <v>789</v>
      </c>
      <c r="L628" s="63" t="s">
        <v>711</v>
      </c>
    </row>
    <row r="629" spans="1:12" ht="30" customHeight="1">
      <c r="A629" s="172" t="str">
        <f t="shared" si="18"/>
        <v>26/09/20233</v>
      </c>
      <c r="B629" s="166">
        <f t="shared" si="19"/>
        <v>3</v>
      </c>
      <c r="C629" s="63" t="s">
        <v>2717</v>
      </c>
      <c r="D629" s="64" t="s">
        <v>2718</v>
      </c>
      <c r="E629" s="63">
        <v>7</v>
      </c>
      <c r="F629" s="63" t="s">
        <v>29</v>
      </c>
      <c r="G629" s="65">
        <v>45195</v>
      </c>
      <c r="H629" s="65" t="s">
        <v>73</v>
      </c>
      <c r="I629" s="65" t="s">
        <v>33</v>
      </c>
      <c r="J629" s="63">
        <f>IFERROR(VLOOKUP(I629,Jueces!$A$1:$B$11,2,FALSE),"")</f>
        <v>4</v>
      </c>
      <c r="K629" s="63" t="s">
        <v>806</v>
      </c>
      <c r="L629" s="63" t="s">
        <v>767</v>
      </c>
    </row>
    <row r="630" spans="1:12" ht="30" customHeight="1">
      <c r="A630" s="172" t="str">
        <f t="shared" si="18"/>
        <v>26/09/20234</v>
      </c>
      <c r="B630" s="166">
        <f t="shared" si="19"/>
        <v>4</v>
      </c>
      <c r="C630" s="63" t="s">
        <v>2719</v>
      </c>
      <c r="D630" s="64" t="s">
        <v>2720</v>
      </c>
      <c r="E630" s="63">
        <v>5</v>
      </c>
      <c r="F630" s="63" t="s">
        <v>43</v>
      </c>
      <c r="G630" s="65">
        <v>45195</v>
      </c>
      <c r="H630" s="65" t="s">
        <v>73</v>
      </c>
      <c r="I630" s="65" t="s">
        <v>1217</v>
      </c>
      <c r="J630" s="205" t="s">
        <v>1916</v>
      </c>
      <c r="K630" s="63" t="s">
        <v>827</v>
      </c>
      <c r="L630" s="63" t="s">
        <v>2681</v>
      </c>
    </row>
    <row r="631" spans="1:12" ht="30" customHeight="1">
      <c r="A631" s="172" t="str">
        <f t="shared" si="18"/>
        <v>26/09/20235</v>
      </c>
      <c r="B631" s="166">
        <f t="shared" si="19"/>
        <v>5</v>
      </c>
      <c r="C631" s="63" t="s">
        <v>2767</v>
      </c>
      <c r="D631" s="64" t="s">
        <v>2871</v>
      </c>
      <c r="E631" s="63">
        <v>8</v>
      </c>
      <c r="F631" s="63" t="s">
        <v>1434</v>
      </c>
      <c r="G631" s="65">
        <v>45195</v>
      </c>
      <c r="H631" s="65" t="s">
        <v>73</v>
      </c>
      <c r="I631" s="65" t="s">
        <v>35</v>
      </c>
      <c r="J631" s="63">
        <f>IFERROR(VLOOKUP(I631,Jueces!$A$1:$B$11,2,FALSE),"")</f>
        <v>3</v>
      </c>
      <c r="K631" s="63" t="s">
        <v>2075</v>
      </c>
      <c r="L631" s="63" t="s">
        <v>885</v>
      </c>
    </row>
    <row r="632" spans="1:12" ht="30" customHeight="1">
      <c r="A632" s="172" t="str">
        <f t="shared" si="18"/>
        <v>26/09/20236</v>
      </c>
      <c r="B632" s="166">
        <f t="shared" si="19"/>
        <v>6</v>
      </c>
      <c r="C632" s="63" t="s">
        <v>2722</v>
      </c>
      <c r="D632" s="64" t="s">
        <v>2776</v>
      </c>
      <c r="E632" s="63">
        <v>8</v>
      </c>
      <c r="F632" s="63" t="s">
        <v>2753</v>
      </c>
      <c r="G632" s="65">
        <v>45195</v>
      </c>
      <c r="H632" s="65" t="s">
        <v>1083</v>
      </c>
      <c r="I632" s="65" t="s">
        <v>1217</v>
      </c>
      <c r="J632" s="205" t="s">
        <v>1916</v>
      </c>
      <c r="K632" s="63" t="s">
        <v>790</v>
      </c>
      <c r="L632" s="63" t="s">
        <v>1084</v>
      </c>
    </row>
    <row r="633" spans="1:12" ht="30" customHeight="1">
      <c r="A633" s="172" t="str">
        <f t="shared" si="18"/>
        <v>26/09/20237</v>
      </c>
      <c r="B633" s="166">
        <f t="shared" si="19"/>
        <v>7</v>
      </c>
      <c r="C633" s="63" t="s">
        <v>2740</v>
      </c>
      <c r="D633" s="64" t="s">
        <v>2741</v>
      </c>
      <c r="E633" s="63">
        <v>8</v>
      </c>
      <c r="F633" s="63" t="s">
        <v>283</v>
      </c>
      <c r="G633" s="65">
        <v>45195</v>
      </c>
      <c r="H633" s="65" t="s">
        <v>1083</v>
      </c>
      <c r="I633" s="65" t="s">
        <v>33</v>
      </c>
      <c r="J633" s="63">
        <f>IFERROR(VLOOKUP(I633,Jueces!$A$1:$B$11,2,FALSE),"")</f>
        <v>4</v>
      </c>
      <c r="K633" s="63" t="s">
        <v>805</v>
      </c>
      <c r="L633" s="63" t="s">
        <v>885</v>
      </c>
    </row>
    <row r="634" spans="1:12" ht="30" customHeight="1">
      <c r="A634" s="172" t="str">
        <f t="shared" si="18"/>
        <v>26/09/20238</v>
      </c>
      <c r="B634" s="166">
        <f t="shared" si="19"/>
        <v>8</v>
      </c>
      <c r="C634" s="63" t="s">
        <v>2756</v>
      </c>
      <c r="D634" s="64" t="s">
        <v>2757</v>
      </c>
      <c r="E634" s="63">
        <v>7</v>
      </c>
      <c r="F634" s="63" t="s">
        <v>2752</v>
      </c>
      <c r="G634" s="65">
        <v>45195</v>
      </c>
      <c r="H634" s="65" t="s">
        <v>1083</v>
      </c>
      <c r="I634" s="65" t="s">
        <v>31</v>
      </c>
      <c r="J634" s="63">
        <f>IFERROR(VLOOKUP(I634,Jueces!$A$1:$B$11,2,FALSE),"")</f>
        <v>2</v>
      </c>
      <c r="K634" s="63" t="s">
        <v>405</v>
      </c>
      <c r="L634" s="63" t="s">
        <v>725</v>
      </c>
    </row>
    <row r="635" spans="1:12" ht="30" customHeight="1">
      <c r="A635" s="172" t="str">
        <f t="shared" si="18"/>
        <v>27/09/20231</v>
      </c>
      <c r="B635" s="166">
        <f t="shared" si="19"/>
        <v>1</v>
      </c>
      <c r="C635" s="63" t="s">
        <v>2724</v>
      </c>
      <c r="D635" s="64" t="s">
        <v>2737</v>
      </c>
      <c r="E635" s="63">
        <v>7</v>
      </c>
      <c r="F635" s="63" t="s">
        <v>1433</v>
      </c>
      <c r="G635" s="65">
        <v>45196</v>
      </c>
      <c r="H635" s="65" t="s">
        <v>73</v>
      </c>
      <c r="I635" s="65" t="s">
        <v>1217</v>
      </c>
      <c r="J635" s="63" t="s">
        <v>2375</v>
      </c>
      <c r="K635" s="63" t="s">
        <v>688</v>
      </c>
      <c r="L635" s="63" t="s">
        <v>2736</v>
      </c>
    </row>
    <row r="636" spans="1:12" ht="30" customHeight="1">
      <c r="A636" s="172" t="str">
        <f t="shared" si="18"/>
        <v>27/09/20232</v>
      </c>
      <c r="B636" s="166">
        <f t="shared" si="19"/>
        <v>2</v>
      </c>
      <c r="C636" s="63" t="s">
        <v>2759</v>
      </c>
      <c r="D636" s="64" t="s">
        <v>2775</v>
      </c>
      <c r="E636" s="63">
        <v>8</v>
      </c>
      <c r="F636" s="63" t="s">
        <v>2766</v>
      </c>
      <c r="G636" s="65">
        <v>45196</v>
      </c>
      <c r="H636" s="65" t="s">
        <v>73</v>
      </c>
      <c r="I636" s="65" t="s">
        <v>31</v>
      </c>
      <c r="J636" s="63">
        <f>IFERROR(VLOOKUP(I636,Jueces!$A$1:$B$11,2,FALSE),"")</f>
        <v>2</v>
      </c>
      <c r="K636" s="63" t="s">
        <v>2988</v>
      </c>
      <c r="L636" s="63" t="s">
        <v>2987</v>
      </c>
    </row>
    <row r="637" spans="1:12" ht="30" customHeight="1">
      <c r="A637" s="172" t="str">
        <f t="shared" si="18"/>
        <v>27/09/20233</v>
      </c>
      <c r="B637" s="166">
        <f t="shared" si="19"/>
        <v>3</v>
      </c>
      <c r="C637" s="63" t="s">
        <v>2781</v>
      </c>
      <c r="D637" s="64" t="s">
        <v>2782</v>
      </c>
      <c r="E637" s="63">
        <v>7</v>
      </c>
      <c r="F637" s="63" t="s">
        <v>43</v>
      </c>
      <c r="G637" s="65">
        <v>45196</v>
      </c>
      <c r="H637" s="65" t="s">
        <v>73</v>
      </c>
      <c r="I637" s="65" t="s">
        <v>78</v>
      </c>
      <c r="J637" s="63">
        <f>IFERROR(VLOOKUP(I637,Jueces!$A$1:$B$11,2,FALSE),"")</f>
        <v>8</v>
      </c>
      <c r="K637" s="63" t="s">
        <v>806</v>
      </c>
      <c r="L637" s="63" t="s">
        <v>767</v>
      </c>
    </row>
    <row r="638" spans="1:12" ht="30" customHeight="1">
      <c r="A638" s="172" t="str">
        <f t="shared" si="18"/>
        <v>27/09/20234</v>
      </c>
      <c r="B638" s="166">
        <f t="shared" si="19"/>
        <v>4</v>
      </c>
      <c r="C638" s="63" t="s">
        <v>2802</v>
      </c>
      <c r="D638" s="64" t="s">
        <v>2803</v>
      </c>
      <c r="E638" s="63">
        <v>7</v>
      </c>
      <c r="F638" s="63" t="s">
        <v>2753</v>
      </c>
      <c r="G638" s="65">
        <v>45196</v>
      </c>
      <c r="H638" s="65" t="s">
        <v>73</v>
      </c>
      <c r="I638" s="65" t="s">
        <v>2922</v>
      </c>
      <c r="J638" s="63" t="s">
        <v>1916</v>
      </c>
      <c r="K638" s="63" t="s">
        <v>2715</v>
      </c>
      <c r="L638" s="63" t="s">
        <v>1024</v>
      </c>
    </row>
    <row r="639" spans="1:12" ht="30" customHeight="1">
      <c r="A639" s="172" t="str">
        <f t="shared" si="18"/>
        <v>27/09/20235</v>
      </c>
      <c r="B639" s="166">
        <f t="shared" si="19"/>
        <v>5</v>
      </c>
      <c r="C639" s="63" t="s">
        <v>2758</v>
      </c>
      <c r="D639" s="64" t="s">
        <v>2792</v>
      </c>
      <c r="E639" s="63">
        <v>8</v>
      </c>
      <c r="F639" s="63" t="s">
        <v>2751</v>
      </c>
      <c r="G639" s="65">
        <v>45196</v>
      </c>
      <c r="H639" s="65" t="s">
        <v>1083</v>
      </c>
      <c r="I639" s="65" t="s">
        <v>33</v>
      </c>
      <c r="J639" s="63">
        <f>IFERROR(VLOOKUP(I639,Jueces!$A$1:$B$11,2,FALSE),"")</f>
        <v>4</v>
      </c>
      <c r="K639" s="63" t="s">
        <v>807</v>
      </c>
      <c r="L639" s="63" t="s">
        <v>1084</v>
      </c>
    </row>
    <row r="640" spans="1:12" ht="30" customHeight="1">
      <c r="A640" s="172" t="str">
        <f t="shared" si="18"/>
        <v>27/09/20236</v>
      </c>
      <c r="B640" s="166">
        <f t="shared" si="19"/>
        <v>6</v>
      </c>
      <c r="C640" s="63" t="s">
        <v>2762</v>
      </c>
      <c r="D640" s="64" t="s">
        <v>2763</v>
      </c>
      <c r="E640" s="63">
        <v>7</v>
      </c>
      <c r="F640" s="63" t="s">
        <v>568</v>
      </c>
      <c r="G640" s="65">
        <v>45196</v>
      </c>
      <c r="H640" s="65" t="s">
        <v>1083</v>
      </c>
      <c r="I640" s="65" t="s">
        <v>31</v>
      </c>
      <c r="J640" s="63">
        <f>IFERROR(VLOOKUP(I640,Jueces!$A$1:$B$11,2,FALSE),"")</f>
        <v>2</v>
      </c>
      <c r="K640" s="63" t="s">
        <v>805</v>
      </c>
      <c r="L640" s="63" t="s">
        <v>2755</v>
      </c>
    </row>
    <row r="641" spans="1:12" ht="30" customHeight="1">
      <c r="A641" s="172" t="str">
        <f t="shared" si="18"/>
        <v>27/09/20237</v>
      </c>
      <c r="B641" s="166">
        <f t="shared" si="19"/>
        <v>7</v>
      </c>
      <c r="C641" s="63" t="s">
        <v>2800</v>
      </c>
      <c r="D641" s="64" t="s">
        <v>2801</v>
      </c>
      <c r="E641" s="63">
        <v>7</v>
      </c>
      <c r="F641" s="63" t="s">
        <v>2752</v>
      </c>
      <c r="G641" s="65">
        <v>45196</v>
      </c>
      <c r="H641" s="65" t="s">
        <v>1083</v>
      </c>
      <c r="I641" s="65" t="s">
        <v>35</v>
      </c>
      <c r="J641" s="63">
        <f>IFERROR(VLOOKUP(I641,Jueces!$A$1:$B$11,2,FALSE),"")</f>
        <v>3</v>
      </c>
      <c r="K641" s="63" t="s">
        <v>810</v>
      </c>
      <c r="L641" s="63" t="s">
        <v>767</v>
      </c>
    </row>
    <row r="642" spans="1:12" ht="30" customHeight="1">
      <c r="A642" s="172" t="str">
        <f t="shared" si="18"/>
        <v>27/09/20238</v>
      </c>
      <c r="B642" s="166">
        <f t="shared" si="19"/>
        <v>8</v>
      </c>
      <c r="C642" s="63" t="s">
        <v>2744</v>
      </c>
      <c r="D642" s="64" t="s">
        <v>2745</v>
      </c>
      <c r="E642" s="63">
        <v>8</v>
      </c>
      <c r="F642" s="63" t="s">
        <v>29</v>
      </c>
      <c r="G642" s="65">
        <v>45196</v>
      </c>
      <c r="H642" s="65" t="s">
        <v>987</v>
      </c>
      <c r="I642" s="65" t="s">
        <v>1217</v>
      </c>
      <c r="J642" s="63" t="s">
        <v>1916</v>
      </c>
      <c r="K642" s="63" t="s">
        <v>2076</v>
      </c>
      <c r="L642" s="63" t="s">
        <v>1084</v>
      </c>
    </row>
    <row r="643" spans="1:12" ht="30" customHeight="1">
      <c r="A643" s="172" t="str">
        <f t="shared" ref="A643:A706" si="20">CONCATENATE(TEXT($G643,"dd/mm/yyyy"),$B643)</f>
        <v>28/09/20231</v>
      </c>
      <c r="B643" s="166">
        <f t="shared" si="19"/>
        <v>1</v>
      </c>
      <c r="C643" s="63" t="s">
        <v>2761</v>
      </c>
      <c r="D643" s="64" t="s">
        <v>2804</v>
      </c>
      <c r="E643" s="63">
        <v>8</v>
      </c>
      <c r="F643" s="63" t="s">
        <v>2815</v>
      </c>
      <c r="G643" s="65">
        <v>45197</v>
      </c>
      <c r="H643" s="65" t="s">
        <v>73</v>
      </c>
      <c r="I643" s="65" t="s">
        <v>78</v>
      </c>
      <c r="J643" s="63">
        <f>IFERROR(VLOOKUP(I643,Jueces!$A$1:$B$11,2,FALSE),"")</f>
        <v>8</v>
      </c>
      <c r="K643" s="63" t="s">
        <v>810</v>
      </c>
      <c r="L643" s="63" t="s">
        <v>2987</v>
      </c>
    </row>
    <row r="644" spans="1:12" ht="30" customHeight="1">
      <c r="A644" s="172" t="str">
        <f t="shared" si="20"/>
        <v>28/09/20232</v>
      </c>
      <c r="B644" s="166">
        <f t="shared" ref="B644:B707" si="21">IF($G644=$G643,$B643+1,1)</f>
        <v>2</v>
      </c>
      <c r="C644" s="63" t="s">
        <v>2723</v>
      </c>
      <c r="D644" s="64" t="s">
        <v>2768</v>
      </c>
      <c r="E644" s="63">
        <v>8</v>
      </c>
      <c r="F644" s="63" t="s">
        <v>1433</v>
      </c>
      <c r="G644" s="65">
        <v>45197</v>
      </c>
      <c r="H644" s="65" t="s">
        <v>1083</v>
      </c>
      <c r="I644" s="65" t="s">
        <v>1221</v>
      </c>
      <c r="J644" s="63">
        <f>IFERROR(VLOOKUP(I644,Jueces!$A$1:$B$11,2,FALSE),"")</f>
        <v>6</v>
      </c>
      <c r="K644" s="63" t="s">
        <v>811</v>
      </c>
      <c r="L644" s="63" t="s">
        <v>1084</v>
      </c>
    </row>
    <row r="645" spans="1:12" ht="30" customHeight="1">
      <c r="A645" s="172" t="str">
        <f t="shared" si="20"/>
        <v>28/09/20233</v>
      </c>
      <c r="B645" s="166">
        <f t="shared" si="21"/>
        <v>3</v>
      </c>
      <c r="C645" s="63" t="s">
        <v>2888</v>
      </c>
      <c r="D645" s="64" t="s">
        <v>2899</v>
      </c>
      <c r="E645" s="63">
        <v>1</v>
      </c>
      <c r="F645" s="63" t="s">
        <v>43</v>
      </c>
      <c r="G645" s="65">
        <v>45197</v>
      </c>
      <c r="H645" s="65" t="s">
        <v>1083</v>
      </c>
      <c r="I645" s="65" t="s">
        <v>31</v>
      </c>
      <c r="J645" s="63">
        <f>IFERROR(VLOOKUP(I645,Jueces!$A$1:$B$11,2,FALSE),"")</f>
        <v>2</v>
      </c>
      <c r="K645" s="63" t="s">
        <v>2715</v>
      </c>
      <c r="L645" s="63" t="s">
        <v>711</v>
      </c>
    </row>
    <row r="646" spans="1:12" ht="30" customHeight="1">
      <c r="A646" s="172" t="str">
        <f t="shared" si="20"/>
        <v>28/09/20234</v>
      </c>
      <c r="B646" s="166">
        <f t="shared" si="21"/>
        <v>4</v>
      </c>
      <c r="C646" s="63" t="s">
        <v>2784</v>
      </c>
      <c r="D646" s="64" t="s">
        <v>2785</v>
      </c>
      <c r="E646" s="63">
        <v>8</v>
      </c>
      <c r="F646" s="63" t="s">
        <v>283</v>
      </c>
      <c r="G646" s="65">
        <v>45197</v>
      </c>
      <c r="H646" s="65" t="s">
        <v>1206</v>
      </c>
      <c r="I646" s="65" t="s">
        <v>78</v>
      </c>
      <c r="J646" s="63">
        <f>IFERROR(VLOOKUP(I646,Jueces!$A$1:$B$11,2,FALSE),"")</f>
        <v>8</v>
      </c>
      <c r="K646" s="63" t="s">
        <v>811</v>
      </c>
      <c r="L646" s="63" t="s">
        <v>2905</v>
      </c>
    </row>
    <row r="647" spans="1:12" ht="30" customHeight="1">
      <c r="A647" s="172" t="str">
        <f t="shared" si="20"/>
        <v>28/09/20235</v>
      </c>
      <c r="B647" s="166">
        <f t="shared" si="21"/>
        <v>5</v>
      </c>
      <c r="C647" s="63" t="s">
        <v>2779</v>
      </c>
      <c r="D647" s="64" t="s">
        <v>2930</v>
      </c>
      <c r="E647" s="63">
        <v>8</v>
      </c>
      <c r="F647" s="63" t="s">
        <v>1435</v>
      </c>
      <c r="G647" s="65">
        <v>45197</v>
      </c>
      <c r="H647" s="65" t="s">
        <v>987</v>
      </c>
      <c r="I647" s="65" t="s">
        <v>1217</v>
      </c>
      <c r="J647" s="63">
        <f>IFERROR(VLOOKUP(I647,Jueces!$A$1:$B$11,2,FALSE),"")</f>
        <v>7</v>
      </c>
      <c r="K647" s="63" t="s">
        <v>3034</v>
      </c>
      <c r="L647" s="63" t="s">
        <v>1084</v>
      </c>
    </row>
    <row r="648" spans="1:12" ht="30" customHeight="1">
      <c r="A648" s="172" t="str">
        <f t="shared" si="20"/>
        <v>29/09/20231</v>
      </c>
      <c r="B648" s="166">
        <f t="shared" si="21"/>
        <v>1</v>
      </c>
      <c r="C648" s="63" t="s">
        <v>2738</v>
      </c>
      <c r="D648" s="64" t="s">
        <v>2612</v>
      </c>
      <c r="E648" s="63">
        <v>8</v>
      </c>
      <c r="F648" s="63" t="s">
        <v>2751</v>
      </c>
      <c r="G648" s="65">
        <v>45198</v>
      </c>
      <c r="H648" s="65" t="s">
        <v>73</v>
      </c>
      <c r="I648" s="65" t="s">
        <v>33</v>
      </c>
      <c r="J648" s="63">
        <f>IFERROR(VLOOKUP(I648,Jueces!$A$1:$B$11,2,FALSE),"")</f>
        <v>4</v>
      </c>
      <c r="K648" s="63" t="s">
        <v>811</v>
      </c>
      <c r="L648" s="63" t="s">
        <v>1029</v>
      </c>
    </row>
    <row r="649" spans="1:12" ht="30" customHeight="1">
      <c r="A649" s="172" t="str">
        <f t="shared" si="20"/>
        <v>29/09/20232</v>
      </c>
      <c r="B649" s="166">
        <f t="shared" si="21"/>
        <v>2</v>
      </c>
      <c r="C649" s="63" t="s">
        <v>2696</v>
      </c>
      <c r="D649" s="64" t="s">
        <v>2711</v>
      </c>
      <c r="E649" s="63">
        <v>3</v>
      </c>
      <c r="F649" s="63" t="s">
        <v>2766</v>
      </c>
      <c r="G649" s="65">
        <v>45198</v>
      </c>
      <c r="H649" s="65" t="s">
        <v>73</v>
      </c>
      <c r="I649" s="65" t="s">
        <v>35</v>
      </c>
      <c r="J649" s="63">
        <f>IFERROR(VLOOKUP(I649,Jueces!$A$1:$B$11,2,FALSE),"")</f>
        <v>3</v>
      </c>
      <c r="K649" s="63" t="s">
        <v>801</v>
      </c>
      <c r="L649" s="63" t="s">
        <v>2712</v>
      </c>
    </row>
    <row r="650" spans="1:12" ht="30" customHeight="1">
      <c r="A650" s="172" t="str">
        <f t="shared" si="20"/>
        <v>29/09/20233</v>
      </c>
      <c r="B650" s="166">
        <f t="shared" si="21"/>
        <v>3</v>
      </c>
      <c r="C650" s="63" t="s">
        <v>2787</v>
      </c>
      <c r="D650" s="64" t="s">
        <v>2847</v>
      </c>
      <c r="E650" s="63">
        <v>4</v>
      </c>
      <c r="F650" s="63" t="s">
        <v>283</v>
      </c>
      <c r="G650" s="65">
        <v>45198</v>
      </c>
      <c r="H650" s="65" t="s">
        <v>73</v>
      </c>
      <c r="I650" s="65" t="s">
        <v>31</v>
      </c>
      <c r="J650" s="63">
        <f>IFERROR(VLOOKUP(I650,Jueces!$A$1:$B$11,2,FALSE),"")</f>
        <v>2</v>
      </c>
      <c r="K650" s="63" t="s">
        <v>797</v>
      </c>
      <c r="L650" s="63" t="s">
        <v>885</v>
      </c>
    </row>
    <row r="651" spans="1:12" ht="30" customHeight="1">
      <c r="A651" s="172" t="str">
        <f t="shared" si="20"/>
        <v>29/09/20234</v>
      </c>
      <c r="B651" s="166">
        <f t="shared" si="21"/>
        <v>4</v>
      </c>
      <c r="C651" s="63" t="s">
        <v>2823</v>
      </c>
      <c r="D651" s="64" t="s">
        <v>3026</v>
      </c>
      <c r="E651" s="63">
        <v>8</v>
      </c>
      <c r="F651" s="63" t="s">
        <v>29</v>
      </c>
      <c r="G651" s="65">
        <v>45198</v>
      </c>
      <c r="H651" s="65" t="s">
        <v>73</v>
      </c>
      <c r="I651" s="65" t="s">
        <v>78</v>
      </c>
      <c r="J651" s="63">
        <f>IFERROR(VLOOKUP(I651,Jueces!$A$1:$B$11,2,FALSE),"")</f>
        <v>8</v>
      </c>
      <c r="K651" s="63" t="s">
        <v>791</v>
      </c>
      <c r="L651" s="63" t="s">
        <v>1084</v>
      </c>
    </row>
    <row r="652" spans="1:12" ht="30" customHeight="1">
      <c r="A652" s="172" t="str">
        <f t="shared" si="20"/>
        <v>29/09/20235</v>
      </c>
      <c r="B652" s="166">
        <f t="shared" si="21"/>
        <v>5</v>
      </c>
      <c r="C652" s="63" t="s">
        <v>2764</v>
      </c>
      <c r="D652" s="64" t="s">
        <v>2765</v>
      </c>
      <c r="E652" s="63">
        <v>8</v>
      </c>
      <c r="F652" s="63" t="s">
        <v>1435</v>
      </c>
      <c r="G652" s="65">
        <v>45198</v>
      </c>
      <c r="H652" s="65" t="s">
        <v>1083</v>
      </c>
      <c r="I652" s="65" t="s">
        <v>1221</v>
      </c>
      <c r="J652" s="63">
        <f>IFERROR(VLOOKUP(I652,Jueces!$A$1:$B$11,2,FALSE),"")</f>
        <v>6</v>
      </c>
      <c r="K652" s="63" t="s">
        <v>2077</v>
      </c>
      <c r="L652" s="63" t="s">
        <v>2805</v>
      </c>
    </row>
    <row r="653" spans="1:12" ht="30" customHeight="1">
      <c r="A653" s="172" t="str">
        <f t="shared" si="20"/>
        <v>29/09/20236</v>
      </c>
      <c r="B653" s="166">
        <f t="shared" si="21"/>
        <v>6</v>
      </c>
      <c r="C653" s="63" t="s">
        <v>2786</v>
      </c>
      <c r="D653" s="64" t="s">
        <v>2864</v>
      </c>
      <c r="E653" s="63">
        <v>8</v>
      </c>
      <c r="F653" s="63" t="s">
        <v>43</v>
      </c>
      <c r="G653" s="65">
        <v>45198</v>
      </c>
      <c r="H653" s="65" t="s">
        <v>1083</v>
      </c>
      <c r="I653" s="65" t="s">
        <v>2922</v>
      </c>
      <c r="J653" s="63" t="s">
        <v>1512</v>
      </c>
      <c r="K653" s="63" t="s">
        <v>789</v>
      </c>
      <c r="L653" s="63" t="s">
        <v>767</v>
      </c>
    </row>
    <row r="654" spans="1:12" ht="30" customHeight="1">
      <c r="A654" s="172" t="str">
        <f t="shared" si="20"/>
        <v>29/09/20237</v>
      </c>
      <c r="B654" s="166">
        <f t="shared" si="21"/>
        <v>7</v>
      </c>
      <c r="C654" s="63" t="s">
        <v>2827</v>
      </c>
      <c r="D654" s="64" t="s">
        <v>2829</v>
      </c>
      <c r="E654" s="63">
        <v>8</v>
      </c>
      <c r="F654" s="63" t="s">
        <v>2815</v>
      </c>
      <c r="G654" s="65">
        <v>45198</v>
      </c>
      <c r="H654" s="65" t="s">
        <v>1083</v>
      </c>
      <c r="I654" s="65" t="s">
        <v>1723</v>
      </c>
      <c r="J654" s="63" t="s">
        <v>2285</v>
      </c>
      <c r="K654" s="63" t="s">
        <v>2715</v>
      </c>
      <c r="L654" s="63" t="s">
        <v>885</v>
      </c>
    </row>
    <row r="655" spans="1:12" ht="30" customHeight="1">
      <c r="A655" s="172" t="str">
        <f t="shared" si="20"/>
        <v>29/09/20238</v>
      </c>
      <c r="B655" s="166">
        <f t="shared" si="21"/>
        <v>8</v>
      </c>
      <c r="C655" s="63" t="s">
        <v>2794</v>
      </c>
      <c r="D655" s="64" t="s">
        <v>2863</v>
      </c>
      <c r="E655" s="63">
        <v>8</v>
      </c>
      <c r="F655" s="63" t="s">
        <v>1434</v>
      </c>
      <c r="G655" s="65">
        <v>45198</v>
      </c>
      <c r="H655" s="65" t="s">
        <v>987</v>
      </c>
      <c r="I655" s="65" t="s">
        <v>31</v>
      </c>
      <c r="J655" s="63">
        <f>IFERROR(VLOOKUP(I655,Jueces!$A$1:$B$11,2,FALSE),"")</f>
        <v>2</v>
      </c>
      <c r="K655" s="63" t="s">
        <v>806</v>
      </c>
      <c r="L655" s="63" t="s">
        <v>885</v>
      </c>
    </row>
    <row r="656" spans="1:12" ht="30" customHeight="1">
      <c r="A656" s="172" t="str">
        <f t="shared" si="20"/>
        <v>29/09/20239</v>
      </c>
      <c r="B656" s="166">
        <f t="shared" si="21"/>
        <v>9</v>
      </c>
      <c r="C656" s="63" t="s">
        <v>2824</v>
      </c>
      <c r="D656" s="64" t="s">
        <v>2825</v>
      </c>
      <c r="E656" s="63">
        <v>8</v>
      </c>
      <c r="F656" s="63" t="s">
        <v>2753</v>
      </c>
      <c r="G656" s="65">
        <v>45198</v>
      </c>
      <c r="H656" s="65" t="s">
        <v>2011</v>
      </c>
      <c r="I656" s="65" t="s">
        <v>33</v>
      </c>
      <c r="J656" s="63">
        <f>IFERROR(VLOOKUP(I656,Jueces!$A$1:$B$11,2,FALSE),"")</f>
        <v>4</v>
      </c>
      <c r="K656" s="63" t="s">
        <v>799</v>
      </c>
      <c r="L656" s="63" t="s">
        <v>2961</v>
      </c>
    </row>
    <row r="657" spans="1:12" ht="30" customHeight="1">
      <c r="A657" s="172" t="str">
        <f t="shared" si="20"/>
        <v>02/10/20231</v>
      </c>
      <c r="B657" s="166">
        <f t="shared" si="21"/>
        <v>1</v>
      </c>
      <c r="C657" s="63" t="s">
        <v>2702</v>
      </c>
      <c r="D657" s="64" t="s">
        <v>2703</v>
      </c>
      <c r="E657" s="63">
        <v>7</v>
      </c>
      <c r="F657" s="63" t="s">
        <v>2753</v>
      </c>
      <c r="G657" s="65">
        <v>45201</v>
      </c>
      <c r="H657" s="65" t="s">
        <v>73</v>
      </c>
      <c r="I657" s="65" t="s">
        <v>35</v>
      </c>
      <c r="J657" s="63">
        <f>IFERROR(VLOOKUP(I657,Jueces!$A$1:$B$11,2,FALSE),"")</f>
        <v>3</v>
      </c>
      <c r="K657" s="63" t="s">
        <v>808</v>
      </c>
      <c r="L657" s="63" t="s">
        <v>2746</v>
      </c>
    </row>
    <row r="658" spans="1:12" ht="30" customHeight="1">
      <c r="A658" s="172" t="str">
        <f t="shared" si="20"/>
        <v>02/10/20232</v>
      </c>
      <c r="B658" s="166">
        <f t="shared" si="21"/>
        <v>2</v>
      </c>
      <c r="C658" s="63" t="s">
        <v>2822</v>
      </c>
      <c r="D658" s="64" t="s">
        <v>2862</v>
      </c>
      <c r="E658" s="63">
        <v>1</v>
      </c>
      <c r="F658" s="63" t="s">
        <v>2751</v>
      </c>
      <c r="G658" s="65">
        <v>45201</v>
      </c>
      <c r="H658" s="65" t="s">
        <v>73</v>
      </c>
      <c r="I658" s="65" t="s">
        <v>33</v>
      </c>
      <c r="J658" s="63">
        <f>IFERROR(VLOOKUP(I658,Jueces!$A$1:$B$11,2,FALSE),"")</f>
        <v>4</v>
      </c>
      <c r="K658" s="63" t="s">
        <v>807</v>
      </c>
      <c r="L658" s="63" t="s">
        <v>2987</v>
      </c>
    </row>
    <row r="659" spans="1:12" ht="30" customHeight="1">
      <c r="A659" s="172" t="str">
        <f t="shared" si="20"/>
        <v>02/10/20233</v>
      </c>
      <c r="B659" s="166">
        <f t="shared" si="21"/>
        <v>3</v>
      </c>
      <c r="C659" s="63" t="s">
        <v>2902</v>
      </c>
      <c r="D659" s="64" t="s">
        <v>2993</v>
      </c>
      <c r="E659" s="63">
        <v>5</v>
      </c>
      <c r="F659" s="63" t="s">
        <v>1435</v>
      </c>
      <c r="G659" s="65">
        <v>45201</v>
      </c>
      <c r="H659" s="65" t="s">
        <v>73</v>
      </c>
      <c r="I659" s="65" t="s">
        <v>78</v>
      </c>
      <c r="J659" s="63">
        <f>IFERROR(VLOOKUP(I659,Jueces!$A$1:$B$11,2,FALSE),"")</f>
        <v>8</v>
      </c>
      <c r="K659" s="63" t="s">
        <v>1301</v>
      </c>
      <c r="L659" s="63" t="s">
        <v>767</v>
      </c>
    </row>
    <row r="660" spans="1:12" ht="30" customHeight="1">
      <c r="A660" s="172" t="str">
        <f t="shared" si="20"/>
        <v>02/10/20234</v>
      </c>
      <c r="B660" s="166">
        <f t="shared" si="21"/>
        <v>4</v>
      </c>
      <c r="C660" s="63" t="s">
        <v>2942</v>
      </c>
      <c r="D660" s="64" t="s">
        <v>3067</v>
      </c>
      <c r="E660" s="63">
        <v>7</v>
      </c>
      <c r="F660" s="63" t="s">
        <v>43</v>
      </c>
      <c r="G660" s="65">
        <v>45201</v>
      </c>
      <c r="H660" s="65" t="s">
        <v>73</v>
      </c>
      <c r="I660" s="65" t="s">
        <v>1723</v>
      </c>
      <c r="J660" s="63" t="s">
        <v>1341</v>
      </c>
      <c r="K660" s="63" t="s">
        <v>1494</v>
      </c>
      <c r="L660" s="63" t="s">
        <v>2549</v>
      </c>
    </row>
    <row r="661" spans="1:12" ht="30" customHeight="1">
      <c r="A661" s="172" t="str">
        <f t="shared" si="20"/>
        <v>02/10/20235</v>
      </c>
      <c r="B661" s="166">
        <f t="shared" si="21"/>
        <v>5</v>
      </c>
      <c r="C661" s="63" t="s">
        <v>2733</v>
      </c>
      <c r="D661" s="64" t="s">
        <v>2734</v>
      </c>
      <c r="E661" s="63">
        <v>8</v>
      </c>
      <c r="F661" s="63" t="s">
        <v>2766</v>
      </c>
      <c r="G661" s="65">
        <v>45201</v>
      </c>
      <c r="H661" s="65" t="s">
        <v>1083</v>
      </c>
      <c r="I661" s="65" t="s">
        <v>33</v>
      </c>
      <c r="J661" s="63">
        <f>IFERROR(VLOOKUP(I661,Jueces!$A$1:$B$11,2,FALSE),"")</f>
        <v>4</v>
      </c>
      <c r="K661" s="63" t="s">
        <v>799</v>
      </c>
      <c r="L661" s="63" t="s">
        <v>697</v>
      </c>
    </row>
    <row r="662" spans="1:12" ht="30" customHeight="1">
      <c r="A662" s="172" t="str">
        <f t="shared" si="20"/>
        <v>02/10/20236</v>
      </c>
      <c r="B662" s="166">
        <f t="shared" si="21"/>
        <v>6</v>
      </c>
      <c r="C662" s="63" t="s">
        <v>2901</v>
      </c>
      <c r="D662" s="64" t="s">
        <v>2854</v>
      </c>
      <c r="E662" s="63">
        <v>1</v>
      </c>
      <c r="F662" s="63" t="s">
        <v>2815</v>
      </c>
      <c r="G662" s="65">
        <v>45201</v>
      </c>
      <c r="H662" s="65" t="s">
        <v>1083</v>
      </c>
      <c r="I662" s="65" t="s">
        <v>35</v>
      </c>
      <c r="J662" s="63">
        <f>IFERROR(VLOOKUP(I662,Jueces!$A$1:$B$11,2,FALSE),"")</f>
        <v>3</v>
      </c>
      <c r="K662" s="63" t="s">
        <v>3081</v>
      </c>
      <c r="L662" s="63" t="s">
        <v>711</v>
      </c>
    </row>
    <row r="663" spans="1:12" ht="30" customHeight="1">
      <c r="A663" s="172" t="str">
        <f t="shared" si="20"/>
        <v>03/10/20231</v>
      </c>
      <c r="B663" s="166">
        <f t="shared" si="21"/>
        <v>1</v>
      </c>
      <c r="C663" s="63" t="s">
        <v>2727</v>
      </c>
      <c r="D663" s="64" t="s">
        <v>2728</v>
      </c>
      <c r="E663" s="63">
        <v>8</v>
      </c>
      <c r="F663" s="63" t="s">
        <v>2815</v>
      </c>
      <c r="G663" s="65">
        <v>45202</v>
      </c>
      <c r="H663" s="65" t="s">
        <v>73</v>
      </c>
      <c r="I663" s="65" t="s">
        <v>1217</v>
      </c>
      <c r="J663" s="63">
        <f>IFERROR(VLOOKUP(I663,Jueces!$A$1:$B$11,2,FALSE),"")</f>
        <v>7</v>
      </c>
      <c r="K663" s="63" t="s">
        <v>811</v>
      </c>
      <c r="L663" s="63" t="s">
        <v>767</v>
      </c>
    </row>
    <row r="664" spans="1:12" ht="30" customHeight="1">
      <c r="A664" s="172" t="str">
        <f t="shared" si="20"/>
        <v>03/10/20232</v>
      </c>
      <c r="B664" s="166">
        <f t="shared" si="21"/>
        <v>2</v>
      </c>
      <c r="C664" s="63" t="s">
        <v>2749</v>
      </c>
      <c r="D664" s="64" t="s">
        <v>2750</v>
      </c>
      <c r="E664" s="63">
        <v>8</v>
      </c>
      <c r="F664" s="63" t="s">
        <v>29</v>
      </c>
      <c r="G664" s="65">
        <v>45202</v>
      </c>
      <c r="H664" s="65" t="s">
        <v>73</v>
      </c>
      <c r="I664" s="65" t="s">
        <v>78</v>
      </c>
      <c r="J664" s="63">
        <f>IFERROR(VLOOKUP(I664,Jueces!$A$1:$B$11,2,FALSE),"")</f>
        <v>8</v>
      </c>
      <c r="K664" s="63" t="s">
        <v>244</v>
      </c>
      <c r="L664" s="63" t="s">
        <v>885</v>
      </c>
    </row>
    <row r="665" spans="1:12" ht="30" customHeight="1">
      <c r="A665" s="172" t="str">
        <f t="shared" si="20"/>
        <v>03/10/20233</v>
      </c>
      <c r="B665" s="166">
        <f t="shared" si="21"/>
        <v>3</v>
      </c>
      <c r="C665" s="63" t="s">
        <v>2817</v>
      </c>
      <c r="D665" s="64" t="s">
        <v>2977</v>
      </c>
      <c r="E665" s="63">
        <v>1</v>
      </c>
      <c r="F665" s="63" t="s">
        <v>1435</v>
      </c>
      <c r="G665" s="65">
        <v>45202</v>
      </c>
      <c r="H665" s="65" t="s">
        <v>73</v>
      </c>
      <c r="I665" s="65" t="s">
        <v>2922</v>
      </c>
      <c r="J665" s="63" t="s">
        <v>1916</v>
      </c>
      <c r="K665" s="63" t="s">
        <v>806</v>
      </c>
      <c r="L665" s="63" t="s">
        <v>711</v>
      </c>
    </row>
    <row r="666" spans="1:12" ht="30" customHeight="1">
      <c r="A666" s="172" t="str">
        <f t="shared" si="20"/>
        <v>03/10/20234</v>
      </c>
      <c r="B666" s="166">
        <f t="shared" si="21"/>
        <v>4</v>
      </c>
      <c r="C666" s="63" t="s">
        <v>2875</v>
      </c>
      <c r="D666" s="64" t="s">
        <v>2876</v>
      </c>
      <c r="E666" s="63">
        <v>1</v>
      </c>
      <c r="F666" s="63" t="s">
        <v>2752</v>
      </c>
      <c r="G666" s="65">
        <v>45202</v>
      </c>
      <c r="H666" s="65" t="s">
        <v>73</v>
      </c>
      <c r="I666" s="65" t="s">
        <v>33</v>
      </c>
      <c r="J666" s="63">
        <f>IFERROR(VLOOKUP(I666,Jueces!$A$1:$B$11,2,FALSE),"")</f>
        <v>4</v>
      </c>
      <c r="K666" s="63" t="s">
        <v>802</v>
      </c>
      <c r="L666" s="63" t="s">
        <v>1378</v>
      </c>
    </row>
    <row r="667" spans="1:12" ht="30" customHeight="1">
      <c r="A667" s="172" t="str">
        <f t="shared" si="20"/>
        <v>03/10/20235</v>
      </c>
      <c r="B667" s="166">
        <f t="shared" si="21"/>
        <v>5</v>
      </c>
      <c r="C667" s="63" t="s">
        <v>2908</v>
      </c>
      <c r="D667" s="64" t="s">
        <v>2947</v>
      </c>
      <c r="E667" s="63">
        <v>8</v>
      </c>
      <c r="F667" s="63" t="s">
        <v>283</v>
      </c>
      <c r="G667" s="65">
        <v>45202</v>
      </c>
      <c r="H667" s="65" t="s">
        <v>73</v>
      </c>
      <c r="I667" s="65" t="s">
        <v>1216</v>
      </c>
      <c r="J667" s="63">
        <f>IFERROR(VLOOKUP(I667,Jueces!$A$1:$B$11,2,FALSE),"")</f>
        <v>1</v>
      </c>
      <c r="K667" s="63" t="s">
        <v>797</v>
      </c>
      <c r="L667" s="63" t="s">
        <v>1084</v>
      </c>
    </row>
    <row r="668" spans="1:12" ht="30" customHeight="1">
      <c r="A668" s="172" t="str">
        <f t="shared" si="20"/>
        <v>03/10/20236</v>
      </c>
      <c r="B668" s="166">
        <f t="shared" si="21"/>
        <v>6</v>
      </c>
      <c r="C668" s="63" t="s">
        <v>2699</v>
      </c>
      <c r="D668" s="64" t="s">
        <v>2793</v>
      </c>
      <c r="E668" s="63">
        <v>8</v>
      </c>
      <c r="F668" s="63" t="s">
        <v>568</v>
      </c>
      <c r="G668" s="65">
        <v>45202</v>
      </c>
      <c r="H668" s="65" t="s">
        <v>1083</v>
      </c>
      <c r="I668" s="65" t="s">
        <v>78</v>
      </c>
      <c r="J668" s="63">
        <f>IFERROR(VLOOKUP(I668,Jueces!$A$1:$B$11,2,FALSE),"")</f>
        <v>8</v>
      </c>
      <c r="K668" s="63" t="s">
        <v>791</v>
      </c>
      <c r="L668" s="63" t="s">
        <v>885</v>
      </c>
    </row>
    <row r="669" spans="1:12" ht="30" customHeight="1">
      <c r="A669" s="172" t="str">
        <f t="shared" si="20"/>
        <v>03/10/20237</v>
      </c>
      <c r="B669" s="166">
        <f t="shared" si="21"/>
        <v>7</v>
      </c>
      <c r="C669" s="63" t="s">
        <v>2780</v>
      </c>
      <c r="D669" s="64" t="s">
        <v>3091</v>
      </c>
      <c r="E669" s="63">
        <v>8</v>
      </c>
      <c r="F669" s="63" t="s">
        <v>2751</v>
      </c>
      <c r="G669" s="65">
        <v>45202</v>
      </c>
      <c r="H669" s="65" t="s">
        <v>1083</v>
      </c>
      <c r="I669" s="65" t="s">
        <v>33</v>
      </c>
      <c r="J669" s="63">
        <f>IFERROR(VLOOKUP(I669,Jueces!$A$1:$B$11,2,FALSE),"")</f>
        <v>4</v>
      </c>
      <c r="K669" s="63" t="s">
        <v>789</v>
      </c>
      <c r="L669" s="63" t="s">
        <v>1084</v>
      </c>
    </row>
    <row r="670" spans="1:12" ht="30" customHeight="1">
      <c r="A670" s="172" t="str">
        <f t="shared" si="20"/>
        <v>03/10/20238</v>
      </c>
      <c r="B670" s="166">
        <f t="shared" si="21"/>
        <v>8</v>
      </c>
      <c r="C670" s="63" t="s">
        <v>2816</v>
      </c>
      <c r="D670" s="64" t="s">
        <v>2898</v>
      </c>
      <c r="E670" s="63">
        <v>1</v>
      </c>
      <c r="F670" s="63" t="s">
        <v>2766</v>
      </c>
      <c r="G670" s="65">
        <v>45202</v>
      </c>
      <c r="H670" s="65" t="s">
        <v>1083</v>
      </c>
      <c r="I670" s="65" t="s">
        <v>35</v>
      </c>
      <c r="J670" s="63">
        <f>IFERROR(VLOOKUP(I670,Jueces!$A$1:$B$11,2,FALSE),"")</f>
        <v>3</v>
      </c>
      <c r="K670" s="63" t="s">
        <v>811</v>
      </c>
      <c r="L670" s="63" t="s">
        <v>711</v>
      </c>
    </row>
    <row r="671" spans="1:12" ht="30" customHeight="1">
      <c r="A671" s="172" t="str">
        <f t="shared" si="20"/>
        <v>03/10/20239</v>
      </c>
      <c r="B671" s="166">
        <f t="shared" si="21"/>
        <v>9</v>
      </c>
      <c r="C671" s="63" t="s">
        <v>2890</v>
      </c>
      <c r="D671" s="64" t="s">
        <v>2892</v>
      </c>
      <c r="E671" s="63">
        <v>8</v>
      </c>
      <c r="F671" s="63" t="s">
        <v>1433</v>
      </c>
      <c r="G671" s="65">
        <v>45202</v>
      </c>
      <c r="H671" s="65" t="s">
        <v>987</v>
      </c>
      <c r="I671" s="65" t="s">
        <v>1217</v>
      </c>
      <c r="J671" s="63" t="s">
        <v>1916</v>
      </c>
      <c r="K671" s="63" t="s">
        <v>809</v>
      </c>
      <c r="L671" s="63" t="s">
        <v>1084</v>
      </c>
    </row>
    <row r="672" spans="1:12" ht="30" customHeight="1">
      <c r="A672" s="172" t="str">
        <f t="shared" si="20"/>
        <v>04/10/20231</v>
      </c>
      <c r="B672" s="166">
        <f t="shared" si="21"/>
        <v>1</v>
      </c>
      <c r="C672" s="63" t="s">
        <v>2855</v>
      </c>
      <c r="D672" s="64" t="s">
        <v>2897</v>
      </c>
      <c r="E672" s="63">
        <v>1</v>
      </c>
      <c r="F672" s="63" t="s">
        <v>568</v>
      </c>
      <c r="G672" s="65">
        <v>45203</v>
      </c>
      <c r="H672" s="65" t="s">
        <v>73</v>
      </c>
      <c r="I672" s="65" t="s">
        <v>1217</v>
      </c>
      <c r="J672" s="63" t="s">
        <v>1916</v>
      </c>
      <c r="K672" s="63" t="s">
        <v>811</v>
      </c>
      <c r="L672" s="63" t="s">
        <v>711</v>
      </c>
    </row>
    <row r="673" spans="1:12" ht="30" customHeight="1">
      <c r="A673" s="172" t="str">
        <f t="shared" si="20"/>
        <v>04/10/20232</v>
      </c>
      <c r="B673" s="166">
        <f t="shared" si="21"/>
        <v>2</v>
      </c>
      <c r="C673" s="63" t="s">
        <v>2859</v>
      </c>
      <c r="D673" s="64" t="s">
        <v>2975</v>
      </c>
      <c r="E673" s="63">
        <v>8</v>
      </c>
      <c r="F673" s="63" t="s">
        <v>283</v>
      </c>
      <c r="G673" s="65">
        <v>45203</v>
      </c>
      <c r="H673" s="65" t="s">
        <v>73</v>
      </c>
      <c r="I673" s="65" t="s">
        <v>2925</v>
      </c>
      <c r="J673" s="63" t="s">
        <v>2285</v>
      </c>
      <c r="K673" s="63" t="s">
        <v>791</v>
      </c>
      <c r="L673" s="63" t="s">
        <v>2976</v>
      </c>
    </row>
    <row r="674" spans="1:12" ht="30" customHeight="1">
      <c r="A674" s="172" t="str">
        <f t="shared" si="20"/>
        <v>04/10/20233</v>
      </c>
      <c r="B674" s="166">
        <f t="shared" si="21"/>
        <v>3</v>
      </c>
      <c r="C674" s="63" t="s">
        <v>2889</v>
      </c>
      <c r="D674" s="64" t="s">
        <v>3090</v>
      </c>
      <c r="E674" s="63">
        <v>6</v>
      </c>
      <c r="F674" s="63" t="s">
        <v>43</v>
      </c>
      <c r="G674" s="65">
        <v>45203</v>
      </c>
      <c r="H674" s="65" t="s">
        <v>73</v>
      </c>
      <c r="I674" s="65" t="s">
        <v>78</v>
      </c>
      <c r="J674" s="63">
        <f>IFERROR(VLOOKUP(I674,Jueces!$A$1:$B$11,2,FALSE),"")</f>
        <v>8</v>
      </c>
      <c r="K674" s="63" t="s">
        <v>789</v>
      </c>
      <c r="L674" s="63" t="s">
        <v>885</v>
      </c>
    </row>
    <row r="675" spans="1:12" ht="30" customHeight="1">
      <c r="A675" s="172" t="str">
        <f t="shared" si="20"/>
        <v>04/10/20234</v>
      </c>
      <c r="B675" s="166">
        <f t="shared" si="21"/>
        <v>4</v>
      </c>
      <c r="C675" s="63" t="s">
        <v>2945</v>
      </c>
      <c r="D675" s="64" t="s">
        <v>2964</v>
      </c>
      <c r="E675" s="63">
        <v>8</v>
      </c>
      <c r="F675" s="63" t="s">
        <v>2766</v>
      </c>
      <c r="G675" s="65">
        <v>45203</v>
      </c>
      <c r="H675" s="65" t="s">
        <v>73</v>
      </c>
      <c r="I675" s="65" t="s">
        <v>35</v>
      </c>
      <c r="J675" s="63">
        <f>IFERROR(VLOOKUP(I675,Jueces!$A$1:$B$11,2,FALSE),"")</f>
        <v>3</v>
      </c>
      <c r="K675" s="63" t="s">
        <v>795</v>
      </c>
      <c r="L675" s="63" t="s">
        <v>1084</v>
      </c>
    </row>
    <row r="676" spans="1:12" ht="30" customHeight="1">
      <c r="A676" s="172" t="str">
        <f t="shared" si="20"/>
        <v>04/10/20235</v>
      </c>
      <c r="B676" s="166">
        <f t="shared" si="21"/>
        <v>5</v>
      </c>
      <c r="C676" s="63" t="s">
        <v>2783</v>
      </c>
      <c r="D676" s="64" t="s">
        <v>2941</v>
      </c>
      <c r="E676" s="63">
        <v>8</v>
      </c>
      <c r="F676" s="63" t="s">
        <v>1433</v>
      </c>
      <c r="G676" s="65">
        <v>45203</v>
      </c>
      <c r="H676" s="65" t="s">
        <v>1083</v>
      </c>
      <c r="I676" s="65" t="s">
        <v>1216</v>
      </c>
      <c r="J676" s="63">
        <f>IFERROR(VLOOKUP(I676,Jueces!$A$1:$B$11,2,FALSE),"")</f>
        <v>1</v>
      </c>
      <c r="K676" s="63" t="s">
        <v>1067</v>
      </c>
      <c r="L676" s="63" t="s">
        <v>1084</v>
      </c>
    </row>
    <row r="677" spans="1:12" ht="30" customHeight="1">
      <c r="A677" s="172" t="str">
        <f t="shared" si="20"/>
        <v>04/10/20236</v>
      </c>
      <c r="B677" s="166">
        <f t="shared" si="21"/>
        <v>6</v>
      </c>
      <c r="C677" s="63" t="s">
        <v>2851</v>
      </c>
      <c r="D677" s="64" t="s">
        <v>2852</v>
      </c>
      <c r="E677" s="63">
        <v>8</v>
      </c>
      <c r="F677" s="63" t="s">
        <v>2815</v>
      </c>
      <c r="G677" s="65">
        <v>45203</v>
      </c>
      <c r="H677" s="65" t="s">
        <v>1083</v>
      </c>
      <c r="I677" s="65" t="s">
        <v>33</v>
      </c>
      <c r="J677" s="63">
        <f>IFERROR(VLOOKUP(I677,Jueces!$A$1:$B$11,2,FALSE),"")</f>
        <v>4</v>
      </c>
      <c r="K677" s="63" t="s">
        <v>806</v>
      </c>
      <c r="L677" s="63" t="s">
        <v>885</v>
      </c>
    </row>
    <row r="678" spans="1:12" ht="30" customHeight="1">
      <c r="A678" s="172" t="str">
        <f t="shared" si="20"/>
        <v>04/10/20237</v>
      </c>
      <c r="B678" s="166">
        <f t="shared" si="21"/>
        <v>7</v>
      </c>
      <c r="C678" s="63" t="s">
        <v>2909</v>
      </c>
      <c r="D678" s="64" t="s">
        <v>2910</v>
      </c>
      <c r="E678" s="63">
        <v>1</v>
      </c>
      <c r="F678" s="63" t="s">
        <v>29</v>
      </c>
      <c r="G678" s="65">
        <v>45203</v>
      </c>
      <c r="H678" s="65" t="s">
        <v>1083</v>
      </c>
      <c r="I678" s="65" t="s">
        <v>35</v>
      </c>
      <c r="J678" s="63">
        <f>IFERROR(VLOOKUP(I678,Jueces!$A$1:$B$11,2,FALSE),"")</f>
        <v>3</v>
      </c>
      <c r="K678" s="63" t="s">
        <v>811</v>
      </c>
      <c r="L678" s="63" t="s">
        <v>711</v>
      </c>
    </row>
    <row r="679" spans="1:12" ht="30" customHeight="1">
      <c r="A679" s="172" t="str">
        <f t="shared" si="20"/>
        <v>04/10/20238</v>
      </c>
      <c r="B679" s="166">
        <f t="shared" si="21"/>
        <v>8</v>
      </c>
      <c r="C679" s="63" t="s">
        <v>2913</v>
      </c>
      <c r="D679" s="64" t="s">
        <v>2914</v>
      </c>
      <c r="E679" s="63">
        <v>8</v>
      </c>
      <c r="F679" s="63" t="s">
        <v>2753</v>
      </c>
      <c r="G679" s="65">
        <v>45203</v>
      </c>
      <c r="H679" s="65" t="s">
        <v>1083</v>
      </c>
      <c r="I679" s="65" t="s">
        <v>2922</v>
      </c>
      <c r="J679" s="63" t="s">
        <v>1916</v>
      </c>
      <c r="K679" s="63" t="s">
        <v>2076</v>
      </c>
      <c r="L679" s="63" t="s">
        <v>2987</v>
      </c>
    </row>
    <row r="680" spans="1:12" ht="30" customHeight="1">
      <c r="A680" s="172" t="str">
        <f t="shared" si="20"/>
        <v>05/10/20231</v>
      </c>
      <c r="B680" s="166">
        <f t="shared" si="21"/>
        <v>1</v>
      </c>
      <c r="C680" s="63" t="s">
        <v>2539</v>
      </c>
      <c r="D680" s="64" t="s">
        <v>2806</v>
      </c>
      <c r="E680" s="63">
        <v>6</v>
      </c>
      <c r="F680" s="63" t="s">
        <v>1435</v>
      </c>
      <c r="G680" s="65">
        <v>45204</v>
      </c>
      <c r="H680" s="65" t="s">
        <v>73</v>
      </c>
      <c r="I680" s="65" t="s">
        <v>33</v>
      </c>
      <c r="J680" s="63">
        <f>IFERROR(VLOOKUP(I680,Jueces!$A$1:$B$11,2,FALSE),"")</f>
        <v>4</v>
      </c>
      <c r="K680" s="63" t="s">
        <v>795</v>
      </c>
      <c r="L680" s="63" t="s">
        <v>725</v>
      </c>
    </row>
    <row r="681" spans="1:12" ht="30" customHeight="1">
      <c r="A681" s="172" t="str">
        <f t="shared" si="20"/>
        <v>05/10/20232</v>
      </c>
      <c r="B681" s="166">
        <f t="shared" si="21"/>
        <v>2</v>
      </c>
      <c r="C681" s="325" t="s">
        <v>2760</v>
      </c>
      <c r="D681" s="64" t="s">
        <v>2774</v>
      </c>
      <c r="E681" s="63">
        <v>7</v>
      </c>
      <c r="F681" s="63" t="s">
        <v>568</v>
      </c>
      <c r="G681" s="65">
        <v>45204</v>
      </c>
      <c r="H681" s="65" t="s">
        <v>73</v>
      </c>
      <c r="I681" s="65" t="s">
        <v>35</v>
      </c>
      <c r="J681" s="63">
        <f>IFERROR(VLOOKUP(I681,Jueces!$A$1:$B$11,2,FALSE),"")</f>
        <v>3</v>
      </c>
      <c r="K681" s="63" t="s">
        <v>581</v>
      </c>
      <c r="L681" s="63" t="s">
        <v>783</v>
      </c>
    </row>
    <row r="682" spans="1:12" ht="30" customHeight="1">
      <c r="A682" s="172" t="str">
        <f t="shared" si="20"/>
        <v>05/10/20233</v>
      </c>
      <c r="B682" s="166">
        <f t="shared" si="21"/>
        <v>3</v>
      </c>
      <c r="C682" s="63" t="s">
        <v>2849</v>
      </c>
      <c r="D682" s="64" t="s">
        <v>2850</v>
      </c>
      <c r="E682" s="63">
        <v>7</v>
      </c>
      <c r="F682" s="63" t="s">
        <v>283</v>
      </c>
      <c r="G682" s="65">
        <v>45204</v>
      </c>
      <c r="H682" s="65" t="s">
        <v>73</v>
      </c>
      <c r="I682" s="65" t="s">
        <v>78</v>
      </c>
      <c r="J682" s="63">
        <f>IFERROR(VLOOKUP(I682,Jueces!$A$1:$B$11,2,FALSE),"")</f>
        <v>8</v>
      </c>
      <c r="K682" s="63" t="s">
        <v>812</v>
      </c>
      <c r="L682" s="63" t="s">
        <v>701</v>
      </c>
    </row>
    <row r="683" spans="1:12" ht="30" customHeight="1">
      <c r="A683" s="172" t="str">
        <f t="shared" si="20"/>
        <v>05/10/20234</v>
      </c>
      <c r="B683" s="166">
        <f t="shared" si="21"/>
        <v>4</v>
      </c>
      <c r="C683" s="63" t="s">
        <v>2886</v>
      </c>
      <c r="D683" s="64" t="s">
        <v>2887</v>
      </c>
      <c r="E683" s="63">
        <v>8</v>
      </c>
      <c r="F683" s="63" t="s">
        <v>1433</v>
      </c>
      <c r="G683" s="65">
        <v>45204</v>
      </c>
      <c r="H683" s="65" t="s">
        <v>749</v>
      </c>
      <c r="I683" s="65" t="s">
        <v>1221</v>
      </c>
      <c r="J683" s="63">
        <f>IFERROR(VLOOKUP(I683,Jueces!$A$1:$B$11,2,FALSE),"")</f>
        <v>6</v>
      </c>
      <c r="K683" s="63" t="s">
        <v>800</v>
      </c>
      <c r="L683" s="63" t="s">
        <v>885</v>
      </c>
    </row>
    <row r="684" spans="1:12" ht="30" customHeight="1">
      <c r="A684" s="172" t="str">
        <f t="shared" si="20"/>
        <v>05/10/20235</v>
      </c>
      <c r="B684" s="166">
        <f t="shared" si="21"/>
        <v>5</v>
      </c>
      <c r="C684" s="63" t="s">
        <v>2853</v>
      </c>
      <c r="D684" s="64" t="s">
        <v>3160</v>
      </c>
      <c r="E684" s="63">
        <v>8</v>
      </c>
      <c r="F684" s="63" t="s">
        <v>43</v>
      </c>
      <c r="G684" s="65">
        <v>45204</v>
      </c>
      <c r="H684" s="65" t="s">
        <v>1083</v>
      </c>
      <c r="I684" s="65" t="s">
        <v>1216</v>
      </c>
      <c r="J684" s="63">
        <f>IFERROR(VLOOKUP(I684,Jueces!$A$1:$B$11,2,FALSE),"")</f>
        <v>1</v>
      </c>
      <c r="K684" s="63" t="s">
        <v>811</v>
      </c>
      <c r="L684" s="63"/>
    </row>
    <row r="685" spans="1:12" ht="30" customHeight="1">
      <c r="A685" s="172" t="str">
        <f t="shared" si="20"/>
        <v>05/10/20236</v>
      </c>
      <c r="B685" s="166">
        <f t="shared" si="21"/>
        <v>6</v>
      </c>
      <c r="C685" s="63" t="s">
        <v>2858</v>
      </c>
      <c r="D685" s="64" t="s">
        <v>2946</v>
      </c>
      <c r="E685" s="63">
        <v>8</v>
      </c>
      <c r="F685" s="63" t="s">
        <v>2753</v>
      </c>
      <c r="G685" s="65">
        <v>45204</v>
      </c>
      <c r="H685" s="65" t="s">
        <v>1083</v>
      </c>
      <c r="I685" s="65" t="s">
        <v>33</v>
      </c>
      <c r="J685" s="63">
        <f>IFERROR(VLOOKUP(I685,Jueces!$A$1:$B$11,2,FALSE),"")</f>
        <v>4</v>
      </c>
      <c r="K685" s="63" t="s">
        <v>806</v>
      </c>
      <c r="L685" s="63" t="s">
        <v>885</v>
      </c>
    </row>
    <row r="686" spans="1:12" ht="30" customHeight="1">
      <c r="A686" s="172" t="str">
        <f t="shared" si="20"/>
        <v>06/10/20231</v>
      </c>
      <c r="B686" s="166">
        <f t="shared" si="21"/>
        <v>1</v>
      </c>
      <c r="C686" s="63" t="s">
        <v>2968</v>
      </c>
      <c r="D686" s="64" t="s">
        <v>2969</v>
      </c>
      <c r="E686" s="63">
        <v>8</v>
      </c>
      <c r="F686" s="63" t="s">
        <v>2752</v>
      </c>
      <c r="G686" s="65">
        <v>45205</v>
      </c>
      <c r="H686" s="65" t="s">
        <v>360</v>
      </c>
      <c r="I686" s="65" t="s">
        <v>2925</v>
      </c>
      <c r="J686" s="63" t="s">
        <v>1512</v>
      </c>
      <c r="K686" s="63" t="s">
        <v>806</v>
      </c>
      <c r="L686" s="63" t="s">
        <v>3000</v>
      </c>
    </row>
    <row r="687" spans="1:12" ht="30" customHeight="1">
      <c r="A687" s="172" t="str">
        <f t="shared" si="20"/>
        <v>06/10/20232</v>
      </c>
      <c r="B687" s="166">
        <f t="shared" si="21"/>
        <v>2</v>
      </c>
      <c r="C687" s="63" t="s">
        <v>2818</v>
      </c>
      <c r="D687" s="64" t="s">
        <v>3169</v>
      </c>
      <c r="E687" s="63">
        <v>8</v>
      </c>
      <c r="F687" s="63" t="s">
        <v>568</v>
      </c>
      <c r="G687" s="65">
        <v>45205</v>
      </c>
      <c r="H687" s="65" t="s">
        <v>73</v>
      </c>
      <c r="I687" s="65" t="s">
        <v>33</v>
      </c>
      <c r="J687" s="63">
        <f>IFERROR(VLOOKUP(I687,Jueces!$A$1:$B$11,2,FALSE),"")</f>
        <v>4</v>
      </c>
      <c r="K687" s="63" t="s">
        <v>801</v>
      </c>
      <c r="L687" s="63" t="s">
        <v>885</v>
      </c>
    </row>
    <row r="688" spans="1:12" ht="30" customHeight="1">
      <c r="A688" s="172" t="str">
        <f t="shared" si="20"/>
        <v>06/10/20233</v>
      </c>
      <c r="B688" s="166">
        <f t="shared" si="21"/>
        <v>3</v>
      </c>
      <c r="C688" s="63" t="s">
        <v>2911</v>
      </c>
      <c r="D688" s="64" t="s">
        <v>2912</v>
      </c>
      <c r="E688" s="63">
        <v>3</v>
      </c>
      <c r="F688" s="63" t="s">
        <v>1434</v>
      </c>
      <c r="G688" s="65">
        <v>45205</v>
      </c>
      <c r="H688" s="65" t="s">
        <v>73</v>
      </c>
      <c r="I688" s="65" t="s">
        <v>1723</v>
      </c>
      <c r="J688" s="63" t="s">
        <v>1321</v>
      </c>
      <c r="K688" s="63" t="s">
        <v>192</v>
      </c>
      <c r="L688" s="63" t="s">
        <v>2938</v>
      </c>
    </row>
    <row r="689" spans="1:12" ht="30" customHeight="1">
      <c r="A689" s="172" t="str">
        <f t="shared" si="20"/>
        <v>06/10/20234</v>
      </c>
      <c r="B689" s="166">
        <f t="shared" si="21"/>
        <v>4</v>
      </c>
      <c r="C689" s="63" t="s">
        <v>2966</v>
      </c>
      <c r="D689" s="64" t="s">
        <v>2996</v>
      </c>
      <c r="E689" s="63">
        <v>1</v>
      </c>
      <c r="F689" s="63" t="s">
        <v>2815</v>
      </c>
      <c r="G689" s="65">
        <v>45205</v>
      </c>
      <c r="H689" s="65" t="s">
        <v>73</v>
      </c>
      <c r="I689" s="65" t="s">
        <v>2925</v>
      </c>
      <c r="J689" s="63" t="s">
        <v>1916</v>
      </c>
      <c r="K689" s="63" t="s">
        <v>810</v>
      </c>
      <c r="L689" s="63" t="s">
        <v>711</v>
      </c>
    </row>
    <row r="690" spans="1:12" ht="30" customHeight="1">
      <c r="A690" s="172" t="str">
        <f t="shared" si="20"/>
        <v>06/10/20235</v>
      </c>
      <c r="B690" s="166">
        <f t="shared" si="21"/>
        <v>5</v>
      </c>
      <c r="C690" s="63" t="s">
        <v>2971</v>
      </c>
      <c r="D690" s="64" t="s">
        <v>3191</v>
      </c>
      <c r="E690" s="63">
        <v>8</v>
      </c>
      <c r="F690" s="63" t="s">
        <v>283</v>
      </c>
      <c r="G690" s="65">
        <v>45205</v>
      </c>
      <c r="H690" s="65" t="s">
        <v>749</v>
      </c>
      <c r="I690" s="65" t="s">
        <v>1221</v>
      </c>
      <c r="J690" s="63">
        <f>IFERROR(VLOOKUP(I690,Jueces!$A$1:$B$11,2,FALSE),"")</f>
        <v>6</v>
      </c>
      <c r="K690" s="63" t="s">
        <v>790</v>
      </c>
      <c r="L690" s="63" t="s">
        <v>767</v>
      </c>
    </row>
    <row r="691" spans="1:12" ht="30" customHeight="1">
      <c r="A691" s="172" t="str">
        <f t="shared" si="20"/>
        <v>06/10/20236</v>
      </c>
      <c r="B691" s="166">
        <f t="shared" si="21"/>
        <v>6</v>
      </c>
      <c r="C691" s="63" t="s">
        <v>2895</v>
      </c>
      <c r="D691" s="64" t="s">
        <v>2939</v>
      </c>
      <c r="E691" s="63">
        <v>8</v>
      </c>
      <c r="F691" s="63" t="s">
        <v>2766</v>
      </c>
      <c r="G691" s="65">
        <v>45205</v>
      </c>
      <c r="H691" s="65" t="s">
        <v>1083</v>
      </c>
      <c r="I691" s="65" t="s">
        <v>1217</v>
      </c>
      <c r="J691" s="63" t="s">
        <v>1916</v>
      </c>
      <c r="K691" s="63" t="s">
        <v>806</v>
      </c>
      <c r="L691" s="63" t="s">
        <v>885</v>
      </c>
    </row>
    <row r="692" spans="1:12" ht="30" customHeight="1">
      <c r="A692" s="172" t="str">
        <f t="shared" si="20"/>
        <v>06/10/20237</v>
      </c>
      <c r="B692" s="166">
        <f t="shared" si="21"/>
        <v>7</v>
      </c>
      <c r="C692" s="63" t="s">
        <v>2906</v>
      </c>
      <c r="D692" s="64" t="s">
        <v>2907</v>
      </c>
      <c r="E692" s="63">
        <v>1</v>
      </c>
      <c r="F692" s="63" t="s">
        <v>1433</v>
      </c>
      <c r="G692" s="65">
        <v>45205</v>
      </c>
      <c r="H692" s="65" t="s">
        <v>1083</v>
      </c>
      <c r="I692" s="65" t="s">
        <v>33</v>
      </c>
      <c r="J692" s="63">
        <f>IFERROR(VLOOKUP(I692,Jueces!$A$1:$B$11,2,FALSE),"")</f>
        <v>4</v>
      </c>
      <c r="K692" s="63" t="s">
        <v>508</v>
      </c>
      <c r="L692" s="63" t="s">
        <v>711</v>
      </c>
    </row>
    <row r="693" spans="1:12" ht="30" customHeight="1">
      <c r="A693" s="172" t="str">
        <f t="shared" si="20"/>
        <v>06/10/20238</v>
      </c>
      <c r="B693" s="166">
        <f t="shared" si="21"/>
        <v>8</v>
      </c>
      <c r="C693" s="63" t="s">
        <v>3032</v>
      </c>
      <c r="D693" s="64" t="s">
        <v>3033</v>
      </c>
      <c r="E693" s="63">
        <v>8</v>
      </c>
      <c r="F693" s="63" t="s">
        <v>43</v>
      </c>
      <c r="G693" s="65">
        <v>45205</v>
      </c>
      <c r="H693" s="65" t="s">
        <v>1083</v>
      </c>
      <c r="I693" s="65" t="s">
        <v>35</v>
      </c>
      <c r="J693" s="63">
        <f>IFERROR(VLOOKUP(I693,Jueces!$A$1:$B$11,2,FALSE),"")</f>
        <v>3</v>
      </c>
      <c r="K693" s="63" t="s">
        <v>809</v>
      </c>
      <c r="L693" s="63" t="s">
        <v>1084</v>
      </c>
    </row>
    <row r="694" spans="1:12" ht="30" customHeight="1">
      <c r="A694" s="172" t="str">
        <f t="shared" si="20"/>
        <v>06/10/20239</v>
      </c>
      <c r="B694" s="166">
        <f t="shared" si="21"/>
        <v>9</v>
      </c>
      <c r="C694" s="63" t="s">
        <v>2915</v>
      </c>
      <c r="D694" s="64" t="s">
        <v>2970</v>
      </c>
      <c r="E694" s="63">
        <v>8</v>
      </c>
      <c r="F694" s="63" t="s">
        <v>1435</v>
      </c>
      <c r="G694" s="65">
        <v>45205</v>
      </c>
      <c r="H694" s="65" t="s">
        <v>1206</v>
      </c>
      <c r="I694" s="65" t="s">
        <v>1216</v>
      </c>
      <c r="J694" s="63" t="s">
        <v>1916</v>
      </c>
      <c r="K694" s="63" t="s">
        <v>806</v>
      </c>
      <c r="L694" s="63" t="s">
        <v>1084</v>
      </c>
    </row>
    <row r="695" spans="1:12" ht="30" customHeight="1">
      <c r="A695" s="172" t="str">
        <f t="shared" si="20"/>
        <v>06/10/202310</v>
      </c>
      <c r="B695" s="166">
        <f t="shared" si="21"/>
        <v>10</v>
      </c>
      <c r="C695" s="63" t="s">
        <v>2896</v>
      </c>
      <c r="D695" s="64" t="s">
        <v>2974</v>
      </c>
      <c r="E695" s="63">
        <v>8</v>
      </c>
      <c r="F695" s="63" t="s">
        <v>2751</v>
      </c>
      <c r="G695" s="65">
        <v>45205</v>
      </c>
      <c r="H695" s="65" t="s">
        <v>228</v>
      </c>
      <c r="I695" s="65" t="s">
        <v>78</v>
      </c>
      <c r="J695" s="63">
        <f>IFERROR(VLOOKUP(I695,Jueces!$A$1:$B$11,2,FALSE),"")</f>
        <v>8</v>
      </c>
      <c r="K695" s="63" t="s">
        <v>800</v>
      </c>
      <c r="L695" s="63" t="s">
        <v>1281</v>
      </c>
    </row>
    <row r="696" spans="1:12" ht="30" customHeight="1">
      <c r="A696" s="172" t="str">
        <f t="shared" si="20"/>
        <v>09/10/20231</v>
      </c>
      <c r="B696" s="166">
        <f t="shared" si="21"/>
        <v>1</v>
      </c>
      <c r="C696" s="63" t="s">
        <v>2903</v>
      </c>
      <c r="D696" s="64" t="s">
        <v>2940</v>
      </c>
      <c r="E696" s="63">
        <v>8</v>
      </c>
      <c r="F696" s="63" t="s">
        <v>29</v>
      </c>
      <c r="G696" s="65">
        <v>45208</v>
      </c>
      <c r="H696" s="65" t="s">
        <v>73</v>
      </c>
      <c r="I696" s="65" t="s">
        <v>1217</v>
      </c>
      <c r="J696" s="63" t="s">
        <v>1916</v>
      </c>
      <c r="K696" s="63" t="s">
        <v>806</v>
      </c>
      <c r="L696" s="63" t="s">
        <v>885</v>
      </c>
    </row>
    <row r="697" spans="1:12" ht="30" customHeight="1">
      <c r="A697" s="172" t="str">
        <f t="shared" si="20"/>
        <v>09/10/20232</v>
      </c>
      <c r="B697" s="166">
        <f t="shared" si="21"/>
        <v>2</v>
      </c>
      <c r="C697" s="63" t="s">
        <v>2916</v>
      </c>
      <c r="D697" s="64" t="s">
        <v>2917</v>
      </c>
      <c r="E697" s="63">
        <v>1</v>
      </c>
      <c r="F697" s="63" t="s">
        <v>43</v>
      </c>
      <c r="G697" s="65">
        <v>45208</v>
      </c>
      <c r="H697" s="65" t="s">
        <v>73</v>
      </c>
      <c r="I697" s="65" t="s">
        <v>78</v>
      </c>
      <c r="J697" s="63">
        <f>IFERROR(VLOOKUP(I697,Jueces!$A$1:$B$11,2,FALSE),"")</f>
        <v>8</v>
      </c>
      <c r="K697" s="63" t="s">
        <v>569</v>
      </c>
      <c r="L697" s="63" t="s">
        <v>711</v>
      </c>
    </row>
    <row r="698" spans="1:12" ht="30" customHeight="1">
      <c r="A698" s="172" t="str">
        <f t="shared" si="20"/>
        <v>09/10/20233</v>
      </c>
      <c r="B698" s="166">
        <f t="shared" si="21"/>
        <v>3</v>
      </c>
      <c r="C698" s="63" t="s">
        <v>2579</v>
      </c>
      <c r="D698" s="64" t="s">
        <v>3031</v>
      </c>
      <c r="E698" s="63">
        <v>7</v>
      </c>
      <c r="F698" s="63" t="s">
        <v>2753</v>
      </c>
      <c r="G698" s="65">
        <v>45208</v>
      </c>
      <c r="H698" s="65" t="s">
        <v>73</v>
      </c>
      <c r="I698" s="65" t="s">
        <v>35</v>
      </c>
      <c r="J698" s="63">
        <f>IFERROR(VLOOKUP(I698,Jueces!$A$1:$B$11,2,FALSE),"")</f>
        <v>3</v>
      </c>
      <c r="K698" s="63" t="s">
        <v>800</v>
      </c>
      <c r="L698" s="63" t="s">
        <v>725</v>
      </c>
    </row>
    <row r="699" spans="1:12" ht="30" customHeight="1">
      <c r="A699" s="172" t="str">
        <f t="shared" si="20"/>
        <v>09/10/20234</v>
      </c>
      <c r="B699" s="166">
        <f t="shared" si="21"/>
        <v>4</v>
      </c>
      <c r="C699" s="63" t="s">
        <v>3010</v>
      </c>
      <c r="D699" s="64" t="s">
        <v>3030</v>
      </c>
      <c r="E699" s="63">
        <v>1</v>
      </c>
      <c r="F699" s="63" t="s">
        <v>283</v>
      </c>
      <c r="G699" s="65">
        <v>45208</v>
      </c>
      <c r="H699" s="65" t="s">
        <v>73</v>
      </c>
      <c r="I699" s="65" t="s">
        <v>33</v>
      </c>
      <c r="J699" s="63">
        <f>IFERROR(VLOOKUP(I699,Jueces!$A$1:$B$11,2,FALSE),"")</f>
        <v>4</v>
      </c>
      <c r="K699" s="63" t="s">
        <v>807</v>
      </c>
      <c r="L699" s="63" t="s">
        <v>712</v>
      </c>
    </row>
    <row r="700" spans="1:12" ht="30" customHeight="1">
      <c r="A700" s="172" t="str">
        <f t="shared" si="20"/>
        <v>09/10/20235</v>
      </c>
      <c r="B700" s="166">
        <f t="shared" si="21"/>
        <v>5</v>
      </c>
      <c r="C700" s="63" t="s">
        <v>3051</v>
      </c>
      <c r="D700" s="64" t="s">
        <v>3069</v>
      </c>
      <c r="E700" s="63">
        <v>8</v>
      </c>
      <c r="F700" s="63" t="s">
        <v>1435</v>
      </c>
      <c r="G700" s="65">
        <v>45208</v>
      </c>
      <c r="H700" s="65" t="s">
        <v>73</v>
      </c>
      <c r="I700" s="65" t="s">
        <v>1216</v>
      </c>
      <c r="J700" s="63">
        <f>IFERROR(VLOOKUP(I700,Jueces!$A$1:$B$11,2,FALSE),"")</f>
        <v>1</v>
      </c>
      <c r="K700" s="63" t="s">
        <v>827</v>
      </c>
      <c r="L700" s="63" t="s">
        <v>783</v>
      </c>
    </row>
    <row r="701" spans="1:12" ht="30" customHeight="1">
      <c r="A701" s="172" t="str">
        <f t="shared" si="20"/>
        <v>09/10/20236</v>
      </c>
      <c r="B701" s="166">
        <f t="shared" si="21"/>
        <v>6</v>
      </c>
      <c r="C701" s="63" t="s">
        <v>2962</v>
      </c>
      <c r="D701" s="64" t="s">
        <v>2963</v>
      </c>
      <c r="E701" s="63">
        <v>8</v>
      </c>
      <c r="F701" s="63" t="s">
        <v>2751</v>
      </c>
      <c r="G701" s="65">
        <v>45208</v>
      </c>
      <c r="H701" s="65" t="s">
        <v>749</v>
      </c>
      <c r="I701" s="65" t="s">
        <v>1221</v>
      </c>
      <c r="J701" s="63">
        <f>IFERROR(VLOOKUP(I701,Jueces!$A$1:$B$11,2,FALSE),"")</f>
        <v>6</v>
      </c>
      <c r="K701" s="63" t="s">
        <v>2412</v>
      </c>
      <c r="L701" s="63" t="s">
        <v>2987</v>
      </c>
    </row>
    <row r="702" spans="1:12" ht="30" customHeight="1">
      <c r="A702" s="172" t="str">
        <f t="shared" si="20"/>
        <v>09/10/20237</v>
      </c>
      <c r="B702" s="166">
        <f t="shared" si="21"/>
        <v>7</v>
      </c>
      <c r="C702" s="63" t="s">
        <v>2743</v>
      </c>
      <c r="D702" s="64" t="s">
        <v>3002</v>
      </c>
      <c r="E702" s="63">
        <v>4</v>
      </c>
      <c r="F702" s="63" t="s">
        <v>568</v>
      </c>
      <c r="G702" s="65">
        <v>45208</v>
      </c>
      <c r="H702" s="65" t="s">
        <v>1083</v>
      </c>
      <c r="I702" s="65" t="s">
        <v>2922</v>
      </c>
      <c r="J702" s="63" t="s">
        <v>2324</v>
      </c>
      <c r="K702" s="63" t="s">
        <v>799</v>
      </c>
      <c r="L702" s="63" t="s">
        <v>700</v>
      </c>
    </row>
    <row r="703" spans="1:12" ht="30" customHeight="1">
      <c r="A703" s="172" t="str">
        <f t="shared" si="20"/>
        <v>09/10/20238</v>
      </c>
      <c r="B703" s="166">
        <f t="shared" si="21"/>
        <v>8</v>
      </c>
      <c r="C703" s="63" t="s">
        <v>2980</v>
      </c>
      <c r="D703" s="64" t="s">
        <v>2981</v>
      </c>
      <c r="E703" s="63">
        <v>8</v>
      </c>
      <c r="F703" s="63" t="s">
        <v>2815</v>
      </c>
      <c r="G703" s="65">
        <v>45208</v>
      </c>
      <c r="H703" s="65" t="s">
        <v>1083</v>
      </c>
      <c r="I703" s="65" t="s">
        <v>33</v>
      </c>
      <c r="J703" s="63">
        <f>IFERROR(VLOOKUP(I703,Jueces!$A$1:$B$11,2,FALSE),"")</f>
        <v>4</v>
      </c>
      <c r="K703" s="63" t="s">
        <v>1067</v>
      </c>
      <c r="L703" s="63" t="s">
        <v>1084</v>
      </c>
    </row>
    <row r="704" spans="1:12" ht="30" customHeight="1">
      <c r="A704" s="172" t="str">
        <f t="shared" si="20"/>
        <v>09/10/20239</v>
      </c>
      <c r="B704" s="166">
        <f t="shared" si="21"/>
        <v>9</v>
      </c>
      <c r="C704" s="63" t="s">
        <v>3047</v>
      </c>
      <c r="D704" s="64" t="s">
        <v>3048</v>
      </c>
      <c r="E704" s="63">
        <v>1</v>
      </c>
      <c r="F704" s="63" t="s">
        <v>2766</v>
      </c>
      <c r="G704" s="65">
        <v>45208</v>
      </c>
      <c r="H704" s="65" t="s">
        <v>1083</v>
      </c>
      <c r="I704" s="65" t="s">
        <v>1217</v>
      </c>
      <c r="J704" s="63" t="s">
        <v>1916</v>
      </c>
      <c r="K704" s="63" t="s">
        <v>795</v>
      </c>
      <c r="L704" s="63" t="s">
        <v>711</v>
      </c>
    </row>
    <row r="705" spans="1:12" ht="30" customHeight="1">
      <c r="A705" s="172" t="str">
        <f t="shared" si="20"/>
        <v>09/10/202310</v>
      </c>
      <c r="B705" s="166">
        <f t="shared" si="21"/>
        <v>10</v>
      </c>
      <c r="C705" s="63" t="s">
        <v>3134</v>
      </c>
      <c r="D705" s="64" t="s">
        <v>3200</v>
      </c>
      <c r="E705" s="63">
        <v>8</v>
      </c>
      <c r="F705" s="63" t="s">
        <v>2752</v>
      </c>
      <c r="G705" s="65">
        <v>45208</v>
      </c>
      <c r="H705" s="65" t="s">
        <v>1083</v>
      </c>
      <c r="I705" s="65" t="s">
        <v>2925</v>
      </c>
      <c r="J705" s="63" t="s">
        <v>2375</v>
      </c>
      <c r="K705" s="63" t="s">
        <v>797</v>
      </c>
      <c r="L705" s="63" t="s">
        <v>1028</v>
      </c>
    </row>
    <row r="706" spans="1:12" ht="30" customHeight="1">
      <c r="A706" s="172" t="str">
        <f t="shared" si="20"/>
        <v>10/10/20231</v>
      </c>
      <c r="B706" s="166">
        <f t="shared" si="21"/>
        <v>1</v>
      </c>
      <c r="C706" s="63" t="s">
        <v>2820</v>
      </c>
      <c r="D706" s="64" t="s">
        <v>2821</v>
      </c>
      <c r="E706" s="63">
        <v>1</v>
      </c>
      <c r="F706" s="63" t="s">
        <v>2753</v>
      </c>
      <c r="G706" s="65">
        <v>45209</v>
      </c>
      <c r="H706" s="65" t="s">
        <v>73</v>
      </c>
      <c r="I706" s="65" t="s">
        <v>33</v>
      </c>
      <c r="J706" s="63">
        <f>IFERROR(VLOOKUP(I706,Jueces!$A$1:$B$11,2,FALSE),"")</f>
        <v>4</v>
      </c>
      <c r="K706" s="63" t="s">
        <v>809</v>
      </c>
      <c r="L706" s="63" t="s">
        <v>711</v>
      </c>
    </row>
    <row r="707" spans="1:12" ht="30" customHeight="1">
      <c r="A707" s="172" t="str">
        <f t="shared" ref="A707:A770" si="22">CONCATENATE(TEXT($G707,"dd/mm/yyyy"),$B707)</f>
        <v>10/10/20232</v>
      </c>
      <c r="B707" s="166">
        <f t="shared" si="21"/>
        <v>2</v>
      </c>
      <c r="C707" s="63" t="s">
        <v>2893</v>
      </c>
      <c r="D707" s="64" t="s">
        <v>2894</v>
      </c>
      <c r="E707" s="63">
        <v>8</v>
      </c>
      <c r="F707" s="63" t="s">
        <v>29</v>
      </c>
      <c r="G707" s="65">
        <v>45209</v>
      </c>
      <c r="H707" s="65" t="s">
        <v>73</v>
      </c>
      <c r="I707" s="65" t="s">
        <v>1217</v>
      </c>
      <c r="J707" s="63" t="s">
        <v>1916</v>
      </c>
      <c r="K707" s="63" t="s">
        <v>801</v>
      </c>
      <c r="L707" s="63" t="s">
        <v>2991</v>
      </c>
    </row>
    <row r="708" spans="1:12" ht="30" customHeight="1">
      <c r="A708" s="172" t="str">
        <f t="shared" si="22"/>
        <v>10/10/20233</v>
      </c>
      <c r="B708" s="166">
        <f t="shared" ref="B708:B771" si="23">IF($G708=$G707,$B707+1,1)</f>
        <v>3</v>
      </c>
      <c r="C708" s="63" t="s">
        <v>3003</v>
      </c>
      <c r="D708" s="64" t="s">
        <v>3068</v>
      </c>
      <c r="E708" s="63">
        <v>1</v>
      </c>
      <c r="F708" s="63" t="s">
        <v>43</v>
      </c>
      <c r="G708" s="65">
        <v>45209</v>
      </c>
      <c r="H708" s="65" t="s">
        <v>73</v>
      </c>
      <c r="I708" s="65" t="s">
        <v>2925</v>
      </c>
      <c r="J708" s="63" t="s">
        <v>2324</v>
      </c>
      <c r="K708" s="63" t="s">
        <v>2219</v>
      </c>
      <c r="L708" s="63" t="s">
        <v>700</v>
      </c>
    </row>
    <row r="709" spans="1:12" ht="30" customHeight="1">
      <c r="A709" s="172" t="str">
        <f t="shared" si="22"/>
        <v>10/10/20234</v>
      </c>
      <c r="B709" s="166">
        <f t="shared" si="23"/>
        <v>4</v>
      </c>
      <c r="C709" s="63" t="s">
        <v>3040</v>
      </c>
      <c r="D709" s="64" t="s">
        <v>3063</v>
      </c>
      <c r="E709" s="63">
        <v>1</v>
      </c>
      <c r="F709" s="63" t="s">
        <v>2815</v>
      </c>
      <c r="G709" s="65">
        <v>45209</v>
      </c>
      <c r="H709" s="65" t="s">
        <v>73</v>
      </c>
      <c r="I709" s="65" t="s">
        <v>1216</v>
      </c>
      <c r="J709" s="63">
        <f>IFERROR(VLOOKUP(I709,Jueces!$A$1:$B$11,2,FALSE),"")</f>
        <v>1</v>
      </c>
      <c r="K709" s="63" t="s">
        <v>2076</v>
      </c>
      <c r="L709" s="63" t="s">
        <v>712</v>
      </c>
    </row>
    <row r="710" spans="1:12" ht="30" customHeight="1">
      <c r="A710" s="172" t="str">
        <f t="shared" si="22"/>
        <v>10/10/20235</v>
      </c>
      <c r="B710" s="166">
        <f t="shared" si="23"/>
        <v>5</v>
      </c>
      <c r="C710" s="63" t="s">
        <v>3052</v>
      </c>
      <c r="D710" s="64" t="s">
        <v>3053</v>
      </c>
      <c r="E710" s="63">
        <v>8</v>
      </c>
      <c r="F710" s="63" t="s">
        <v>283</v>
      </c>
      <c r="G710" s="65">
        <v>45209</v>
      </c>
      <c r="H710" s="65" t="s">
        <v>749</v>
      </c>
      <c r="I710" s="65" t="s">
        <v>1221</v>
      </c>
      <c r="J710" s="63">
        <f>IFERROR(VLOOKUP(I710,Jueces!$A$1:$B$11,2,FALSE),"")</f>
        <v>6</v>
      </c>
      <c r="K710" s="63" t="s">
        <v>798</v>
      </c>
      <c r="L710" s="63" t="s">
        <v>711</v>
      </c>
    </row>
    <row r="711" spans="1:12" ht="30" customHeight="1">
      <c r="A711" s="172" t="str">
        <f t="shared" si="22"/>
        <v>10/10/20236</v>
      </c>
      <c r="B711" s="166">
        <f t="shared" si="23"/>
        <v>6</v>
      </c>
      <c r="C711" s="63" t="s">
        <v>2979</v>
      </c>
      <c r="D711" s="64" t="s">
        <v>3061</v>
      </c>
      <c r="E711" s="63">
        <v>1</v>
      </c>
      <c r="F711" s="63" t="s">
        <v>2766</v>
      </c>
      <c r="G711" s="65">
        <v>45209</v>
      </c>
      <c r="H711" s="65" t="s">
        <v>1083</v>
      </c>
      <c r="I711" s="65" t="s">
        <v>1217</v>
      </c>
      <c r="J711" s="63" t="s">
        <v>2324</v>
      </c>
      <c r="K711" s="63" t="s">
        <v>810</v>
      </c>
      <c r="L711" s="63" t="s">
        <v>712</v>
      </c>
    </row>
    <row r="712" spans="1:12" ht="30" customHeight="1">
      <c r="A712" s="172" t="str">
        <f t="shared" si="22"/>
        <v>10/10/20237</v>
      </c>
      <c r="B712" s="166">
        <f t="shared" si="23"/>
        <v>7</v>
      </c>
      <c r="C712" s="63" t="s">
        <v>2994</v>
      </c>
      <c r="D712" s="64" t="s">
        <v>3223</v>
      </c>
      <c r="E712" s="63">
        <v>8</v>
      </c>
      <c r="F712" s="63" t="s">
        <v>1435</v>
      </c>
      <c r="G712" s="65">
        <v>45209</v>
      </c>
      <c r="H712" s="65" t="s">
        <v>1083</v>
      </c>
      <c r="I712" s="65" t="s">
        <v>2922</v>
      </c>
      <c r="J712" s="63" t="s">
        <v>1916</v>
      </c>
      <c r="K712" s="63" t="s">
        <v>797</v>
      </c>
      <c r="L712" s="63" t="s">
        <v>1084</v>
      </c>
    </row>
    <row r="713" spans="1:12" ht="30" customHeight="1">
      <c r="A713" s="172" t="str">
        <f t="shared" si="22"/>
        <v>10/10/20238</v>
      </c>
      <c r="B713" s="166">
        <f t="shared" si="23"/>
        <v>8</v>
      </c>
      <c r="C713" s="63" t="s">
        <v>3009</v>
      </c>
      <c r="D713" s="64" t="s">
        <v>3088</v>
      </c>
      <c r="E713" s="63">
        <v>1</v>
      </c>
      <c r="F713" s="63" t="s">
        <v>2751</v>
      </c>
      <c r="G713" s="65">
        <v>45209</v>
      </c>
      <c r="H713" s="65" t="s">
        <v>1083</v>
      </c>
      <c r="I713" s="65" t="s">
        <v>33</v>
      </c>
      <c r="J713" s="63">
        <f>IFERROR(VLOOKUP(I713,Jueces!$A$1:$B$11,2,FALSE),"")</f>
        <v>4</v>
      </c>
      <c r="K713" s="63" t="s">
        <v>791</v>
      </c>
      <c r="L713" s="63" t="s">
        <v>711</v>
      </c>
    </row>
    <row r="714" spans="1:12" ht="30" customHeight="1">
      <c r="A714" s="172" t="str">
        <f t="shared" si="22"/>
        <v>10/10/20239</v>
      </c>
      <c r="B714" s="166">
        <f t="shared" si="23"/>
        <v>9</v>
      </c>
      <c r="C714" s="63" t="s">
        <v>2690</v>
      </c>
      <c r="D714" s="64" t="s">
        <v>2691</v>
      </c>
      <c r="E714" s="63">
        <v>7</v>
      </c>
      <c r="F714" s="63" t="s">
        <v>2753</v>
      </c>
      <c r="G714" s="65">
        <v>45209</v>
      </c>
      <c r="H714" s="65" t="s">
        <v>75</v>
      </c>
      <c r="I714" s="65" t="s">
        <v>33</v>
      </c>
      <c r="J714" s="63" t="s">
        <v>2285</v>
      </c>
      <c r="K714" s="63" t="s">
        <v>807</v>
      </c>
      <c r="L714" s="63" t="s">
        <v>700</v>
      </c>
    </row>
    <row r="715" spans="1:12" ht="30" customHeight="1">
      <c r="A715" s="172" t="str">
        <f t="shared" si="22"/>
        <v>11/10/20231</v>
      </c>
      <c r="B715" s="166">
        <f t="shared" si="23"/>
        <v>1</v>
      </c>
      <c r="C715" s="63" t="s">
        <v>2943</v>
      </c>
      <c r="D715" s="64" t="s">
        <v>2944</v>
      </c>
      <c r="E715" s="63">
        <v>8</v>
      </c>
      <c r="F715" s="63" t="s">
        <v>2752</v>
      </c>
      <c r="G715" s="65">
        <v>45210</v>
      </c>
      <c r="H715" s="65" t="s">
        <v>73</v>
      </c>
      <c r="I715" s="65" t="s">
        <v>1217</v>
      </c>
      <c r="J715" s="63" t="s">
        <v>1916</v>
      </c>
      <c r="K715" s="63" t="s">
        <v>795</v>
      </c>
      <c r="L715" s="63" t="s">
        <v>3064</v>
      </c>
    </row>
    <row r="716" spans="1:12" ht="30" customHeight="1">
      <c r="A716" s="172" t="str">
        <f t="shared" si="22"/>
        <v>11/10/20232</v>
      </c>
      <c r="B716" s="166">
        <f t="shared" si="23"/>
        <v>2</v>
      </c>
      <c r="C716" s="63" t="s">
        <v>2948</v>
      </c>
      <c r="D716" s="64" t="s">
        <v>3118</v>
      </c>
      <c r="E716" s="63">
        <v>1</v>
      </c>
      <c r="F716" s="63" t="s">
        <v>2751</v>
      </c>
      <c r="G716" s="65">
        <v>45210</v>
      </c>
      <c r="H716" s="65" t="s">
        <v>73</v>
      </c>
      <c r="I716" s="65" t="s">
        <v>2925</v>
      </c>
      <c r="J716" s="63" t="s">
        <v>2375</v>
      </c>
      <c r="K716" s="63" t="s">
        <v>791</v>
      </c>
      <c r="L716" s="63" t="s">
        <v>711</v>
      </c>
    </row>
    <row r="717" spans="1:12" ht="30" customHeight="1">
      <c r="A717" s="172" t="str">
        <f t="shared" si="22"/>
        <v>11/10/20233</v>
      </c>
      <c r="B717" s="166">
        <f t="shared" si="23"/>
        <v>3</v>
      </c>
      <c r="C717" s="63" t="s">
        <v>2992</v>
      </c>
      <c r="D717" s="64" t="s">
        <v>3269</v>
      </c>
      <c r="E717" s="63">
        <v>1</v>
      </c>
      <c r="F717" s="63" t="s">
        <v>568</v>
      </c>
      <c r="G717" s="65">
        <v>45210</v>
      </c>
      <c r="H717" s="65" t="s">
        <v>73</v>
      </c>
      <c r="I717" s="65" t="s">
        <v>35</v>
      </c>
      <c r="J717" s="63">
        <f>IFERROR(VLOOKUP(I717,Jueces!$A$1:$B$11,2,FALSE),"")</f>
        <v>3</v>
      </c>
      <c r="K717" s="63" t="s">
        <v>2075</v>
      </c>
      <c r="L717" s="63" t="s">
        <v>712</v>
      </c>
    </row>
    <row r="718" spans="1:12" ht="30" customHeight="1">
      <c r="A718" s="172" t="str">
        <f t="shared" si="22"/>
        <v>11/10/20234</v>
      </c>
      <c r="B718" s="166">
        <f t="shared" si="23"/>
        <v>4</v>
      </c>
      <c r="C718" s="63" t="s">
        <v>3004</v>
      </c>
      <c r="D718" s="64" t="s">
        <v>3065</v>
      </c>
      <c r="E718" s="63">
        <v>8</v>
      </c>
      <c r="F718" s="63" t="s">
        <v>2815</v>
      </c>
      <c r="G718" s="65">
        <v>45210</v>
      </c>
      <c r="H718" s="65" t="s">
        <v>73</v>
      </c>
      <c r="I718" s="65" t="s">
        <v>1723</v>
      </c>
      <c r="J718" s="63" t="s">
        <v>1341</v>
      </c>
      <c r="K718" s="63" t="s">
        <v>807</v>
      </c>
      <c r="L718" s="63"/>
    </row>
    <row r="719" spans="1:12" ht="30" customHeight="1">
      <c r="A719" s="172" t="str">
        <f t="shared" si="22"/>
        <v>11/10/20235</v>
      </c>
      <c r="B719" s="166">
        <f t="shared" si="23"/>
        <v>5</v>
      </c>
      <c r="C719" s="63" t="s">
        <v>2965</v>
      </c>
      <c r="D719" s="64" t="s">
        <v>3062</v>
      </c>
      <c r="E719" s="63">
        <v>1</v>
      </c>
      <c r="F719" s="63" t="s">
        <v>1434</v>
      </c>
      <c r="G719" s="65">
        <v>45210</v>
      </c>
      <c r="H719" s="65" t="s">
        <v>1083</v>
      </c>
      <c r="I719" s="65" t="s">
        <v>2922</v>
      </c>
      <c r="J719" s="63" t="s">
        <v>1916</v>
      </c>
      <c r="K719" s="63" t="s">
        <v>2219</v>
      </c>
      <c r="L719" s="63" t="s">
        <v>712</v>
      </c>
    </row>
    <row r="720" spans="1:12" ht="30" customHeight="1">
      <c r="A720" s="172" t="str">
        <f t="shared" si="22"/>
        <v>11/10/20236</v>
      </c>
      <c r="B720" s="166">
        <f t="shared" si="23"/>
        <v>6</v>
      </c>
      <c r="C720" s="63" t="s">
        <v>3127</v>
      </c>
      <c r="D720" s="64" t="s">
        <v>3166</v>
      </c>
      <c r="E720" s="63">
        <v>2</v>
      </c>
      <c r="F720" s="63" t="s">
        <v>1435</v>
      </c>
      <c r="G720" s="65">
        <v>45210</v>
      </c>
      <c r="H720" s="65" t="s">
        <v>1083</v>
      </c>
      <c r="I720" s="65" t="s">
        <v>1221</v>
      </c>
      <c r="J720" s="63">
        <f>IFERROR(VLOOKUP(I720,Jueces!$A$1:$B$11,2,FALSE),"")</f>
        <v>6</v>
      </c>
      <c r="K720" s="63" t="s">
        <v>791</v>
      </c>
      <c r="L720" s="63" t="s">
        <v>692</v>
      </c>
    </row>
    <row r="721" spans="1:12" ht="30" customHeight="1">
      <c r="A721" s="172" t="str">
        <f t="shared" si="22"/>
        <v>11/10/20237</v>
      </c>
      <c r="B721" s="166">
        <f t="shared" si="23"/>
        <v>7</v>
      </c>
      <c r="C721" s="63" t="s">
        <v>2967</v>
      </c>
      <c r="D721" s="64" t="s">
        <v>3071</v>
      </c>
      <c r="E721" s="63">
        <v>1</v>
      </c>
      <c r="F721" s="63" t="s">
        <v>283</v>
      </c>
      <c r="G721" s="65">
        <v>45210</v>
      </c>
      <c r="H721" s="65" t="s">
        <v>547</v>
      </c>
      <c r="I721" s="65" t="s">
        <v>33</v>
      </c>
      <c r="J721" s="63">
        <f>IFERROR(VLOOKUP(I721,Jueces!$A$1:$B$11,2,FALSE),"")</f>
        <v>4</v>
      </c>
      <c r="K721" s="63" t="s">
        <v>810</v>
      </c>
      <c r="L721" s="63" t="s">
        <v>711</v>
      </c>
    </row>
    <row r="722" spans="1:12" ht="30" customHeight="1">
      <c r="A722" s="172" t="str">
        <f t="shared" si="22"/>
        <v>11/10/20238</v>
      </c>
      <c r="B722" s="166">
        <f t="shared" si="23"/>
        <v>8</v>
      </c>
      <c r="C722" s="63" t="s">
        <v>3049</v>
      </c>
      <c r="D722" s="64" t="s">
        <v>3241</v>
      </c>
      <c r="E722" s="63">
        <v>1</v>
      </c>
      <c r="F722" s="63" t="s">
        <v>29</v>
      </c>
      <c r="G722" s="65">
        <v>45210</v>
      </c>
      <c r="H722" s="65" t="s">
        <v>1554</v>
      </c>
      <c r="I722" s="65" t="s">
        <v>1217</v>
      </c>
      <c r="J722" s="63" t="s">
        <v>1341</v>
      </c>
      <c r="K722" s="63" t="s">
        <v>2715</v>
      </c>
      <c r="L722" s="63" t="s">
        <v>711</v>
      </c>
    </row>
    <row r="723" spans="1:12" ht="30" customHeight="1">
      <c r="A723" s="172" t="str">
        <f t="shared" si="22"/>
        <v>11/10/20239</v>
      </c>
      <c r="B723" s="166">
        <f t="shared" si="23"/>
        <v>9</v>
      </c>
      <c r="C723" s="63" t="s">
        <v>3066</v>
      </c>
      <c r="D723" s="64" t="s">
        <v>3072</v>
      </c>
      <c r="E723" s="63">
        <v>1</v>
      </c>
      <c r="F723" s="63" t="s">
        <v>1433</v>
      </c>
      <c r="G723" s="65">
        <v>45210</v>
      </c>
      <c r="H723" s="65" t="s">
        <v>1554</v>
      </c>
      <c r="I723" s="65" t="s">
        <v>33</v>
      </c>
      <c r="J723" s="63">
        <f>IFERROR(VLOOKUP(I723,Jueces!$A$1:$B$11,2,FALSE),"")</f>
        <v>4</v>
      </c>
      <c r="K723" s="63" t="s">
        <v>798</v>
      </c>
      <c r="L723" s="63" t="s">
        <v>1175</v>
      </c>
    </row>
    <row r="724" spans="1:12" ht="30" customHeight="1">
      <c r="A724" s="172" t="str">
        <f t="shared" si="22"/>
        <v>12/10/20231</v>
      </c>
      <c r="B724" s="166">
        <f t="shared" si="23"/>
        <v>1</v>
      </c>
      <c r="C724" s="63" t="s">
        <v>2826</v>
      </c>
      <c r="D724" s="64" t="s">
        <v>2861</v>
      </c>
      <c r="E724" s="63">
        <v>7</v>
      </c>
      <c r="F724" s="63" t="s">
        <v>283</v>
      </c>
      <c r="G724" s="65">
        <v>45211</v>
      </c>
      <c r="H724" s="65" t="s">
        <v>73</v>
      </c>
      <c r="I724" s="65" t="s">
        <v>35</v>
      </c>
      <c r="J724" s="63">
        <f>IFERROR(VLOOKUP(I724,Jueces!$A$1:$B$11,2,FALSE),"")</f>
        <v>3</v>
      </c>
      <c r="K724" s="63" t="s">
        <v>1067</v>
      </c>
      <c r="L724" s="63" t="s">
        <v>2860</v>
      </c>
    </row>
    <row r="725" spans="1:12" ht="30" customHeight="1">
      <c r="A725" s="172" t="str">
        <f t="shared" si="22"/>
        <v>12/10/20232</v>
      </c>
      <c r="B725" s="166">
        <f t="shared" si="23"/>
        <v>2</v>
      </c>
      <c r="C725" s="63" t="s">
        <v>3054</v>
      </c>
      <c r="D725" s="64" t="s">
        <v>3055</v>
      </c>
      <c r="E725" s="63">
        <v>8</v>
      </c>
      <c r="F725" s="63" t="s">
        <v>43</v>
      </c>
      <c r="G725" s="65">
        <v>45211</v>
      </c>
      <c r="H725" s="65" t="s">
        <v>73</v>
      </c>
      <c r="I725" s="65" t="s">
        <v>1216</v>
      </c>
      <c r="J725" s="63">
        <f>IFERROR(VLOOKUP(I725,Jueces!$A$1:$B$11,2,FALSE),"")</f>
        <v>1</v>
      </c>
      <c r="K725" s="63" t="s">
        <v>809</v>
      </c>
      <c r="L725" s="63" t="s">
        <v>1084</v>
      </c>
    </row>
    <row r="726" spans="1:12" ht="30" customHeight="1">
      <c r="A726" s="172" t="str">
        <f t="shared" si="22"/>
        <v>12/10/20233</v>
      </c>
      <c r="B726" s="166">
        <f t="shared" si="23"/>
        <v>3</v>
      </c>
      <c r="C726" s="63" t="s">
        <v>2668</v>
      </c>
      <c r="D726" s="64" t="s">
        <v>2707</v>
      </c>
      <c r="E726" s="63">
        <v>8</v>
      </c>
      <c r="F726" s="63" t="s">
        <v>2752</v>
      </c>
      <c r="G726" s="65">
        <v>45211</v>
      </c>
      <c r="H726" s="65" t="s">
        <v>73</v>
      </c>
      <c r="I726" s="65" t="s">
        <v>1217</v>
      </c>
      <c r="J726" s="63" t="s">
        <v>2324</v>
      </c>
      <c r="K726" s="63" t="s">
        <v>789</v>
      </c>
      <c r="L726" s="63" t="s">
        <v>885</v>
      </c>
    </row>
    <row r="727" spans="1:12" ht="30" customHeight="1">
      <c r="A727" s="172" t="str">
        <f t="shared" si="22"/>
        <v>12/10/20234</v>
      </c>
      <c r="B727" s="166">
        <f t="shared" si="23"/>
        <v>4</v>
      </c>
      <c r="C727" s="63" t="s">
        <v>3128</v>
      </c>
      <c r="D727" s="64" t="s">
        <v>3129</v>
      </c>
      <c r="E727" s="63">
        <v>1</v>
      </c>
      <c r="F727" s="63" t="s">
        <v>2766</v>
      </c>
      <c r="G727" s="65">
        <v>45211</v>
      </c>
      <c r="H727" s="65" t="s">
        <v>73</v>
      </c>
      <c r="I727" s="65" t="s">
        <v>1723</v>
      </c>
      <c r="J727" s="63" t="s">
        <v>1916</v>
      </c>
      <c r="K727" s="63" t="s">
        <v>800</v>
      </c>
      <c r="L727" s="63" t="s">
        <v>711</v>
      </c>
    </row>
    <row r="728" spans="1:12" ht="30" customHeight="1">
      <c r="A728" s="172" t="str">
        <f t="shared" si="22"/>
        <v>12/10/20235</v>
      </c>
      <c r="B728" s="166">
        <f t="shared" si="23"/>
        <v>5</v>
      </c>
      <c r="C728" s="63" t="s">
        <v>2795</v>
      </c>
      <c r="D728" s="64" t="s">
        <v>2796</v>
      </c>
      <c r="E728" s="63">
        <v>8</v>
      </c>
      <c r="F728" s="63" t="s">
        <v>1433</v>
      </c>
      <c r="G728" s="65">
        <v>45211</v>
      </c>
      <c r="H728" s="65" t="s">
        <v>1083</v>
      </c>
      <c r="I728" s="65" t="s">
        <v>2922</v>
      </c>
      <c r="J728" s="63" t="s">
        <v>1916</v>
      </c>
      <c r="K728" s="63" t="s">
        <v>811</v>
      </c>
      <c r="L728" s="63" t="s">
        <v>1084</v>
      </c>
    </row>
    <row r="729" spans="1:12" ht="30" customHeight="1">
      <c r="A729" s="172" t="str">
        <f t="shared" si="22"/>
        <v>12/10/20236</v>
      </c>
      <c r="B729" s="166">
        <f t="shared" si="23"/>
        <v>6</v>
      </c>
      <c r="C729" s="63" t="s">
        <v>2856</v>
      </c>
      <c r="D729" s="64" t="s">
        <v>2857</v>
      </c>
      <c r="E729" s="63">
        <v>8</v>
      </c>
      <c r="F729" s="63" t="s">
        <v>1434</v>
      </c>
      <c r="G729" s="65">
        <v>45211</v>
      </c>
      <c r="H729" s="65" t="s">
        <v>1083</v>
      </c>
      <c r="I729" s="65" t="s">
        <v>1217</v>
      </c>
      <c r="J729" s="63" t="s">
        <v>2324</v>
      </c>
      <c r="K729" s="63" t="s">
        <v>806</v>
      </c>
      <c r="L729" s="63" t="s">
        <v>885</v>
      </c>
    </row>
    <row r="730" spans="1:12" ht="30" customHeight="1">
      <c r="A730" s="172" t="str">
        <f t="shared" si="22"/>
        <v>12/10/20237</v>
      </c>
      <c r="B730" s="166">
        <f t="shared" si="23"/>
        <v>7</v>
      </c>
      <c r="C730" s="63" t="s">
        <v>3008</v>
      </c>
      <c r="D730" s="64" t="s">
        <v>3070</v>
      </c>
      <c r="E730" s="63">
        <v>1</v>
      </c>
      <c r="F730" s="63" t="s">
        <v>2753</v>
      </c>
      <c r="G730" s="65">
        <v>45211</v>
      </c>
      <c r="H730" s="65" t="s">
        <v>2011</v>
      </c>
      <c r="I730" s="65" t="s">
        <v>33</v>
      </c>
      <c r="J730" s="63" t="s">
        <v>1916</v>
      </c>
      <c r="K730" s="63" t="s">
        <v>805</v>
      </c>
      <c r="L730" s="63" t="s">
        <v>711</v>
      </c>
    </row>
    <row r="731" spans="1:12" ht="30" customHeight="1">
      <c r="A731" s="172" t="str">
        <f t="shared" si="22"/>
        <v>17/10/20231</v>
      </c>
      <c r="B731" s="166">
        <f t="shared" si="23"/>
        <v>1</v>
      </c>
      <c r="C731" s="63" t="s">
        <v>3050</v>
      </c>
      <c r="D731" s="64" t="s">
        <v>3079</v>
      </c>
      <c r="E731" s="63">
        <v>1</v>
      </c>
      <c r="F731" s="63" t="s">
        <v>2751</v>
      </c>
      <c r="G731" s="65">
        <v>45216</v>
      </c>
      <c r="H731" s="65" t="s">
        <v>73</v>
      </c>
      <c r="I731" s="65" t="s">
        <v>1217</v>
      </c>
      <c r="J731" s="63" t="s">
        <v>2324</v>
      </c>
      <c r="K731" s="63" t="s">
        <v>805</v>
      </c>
      <c r="L731" s="63" t="s">
        <v>711</v>
      </c>
    </row>
    <row r="732" spans="1:12" ht="30" customHeight="1">
      <c r="A732" s="172" t="str">
        <f t="shared" si="22"/>
        <v>17/10/20232</v>
      </c>
      <c r="B732" s="166">
        <f t="shared" si="23"/>
        <v>2</v>
      </c>
      <c r="C732" s="63" t="s">
        <v>3113</v>
      </c>
      <c r="D732" s="64" t="s">
        <v>3168</v>
      </c>
      <c r="E732" s="63">
        <v>1</v>
      </c>
      <c r="F732" s="63" t="s">
        <v>1435</v>
      </c>
      <c r="G732" s="65">
        <v>45216</v>
      </c>
      <c r="H732" s="65" t="s">
        <v>73</v>
      </c>
      <c r="I732" s="65" t="s">
        <v>2925</v>
      </c>
      <c r="J732" s="63" t="s">
        <v>1341</v>
      </c>
      <c r="K732" s="63" t="s">
        <v>792</v>
      </c>
      <c r="L732" s="63" t="s">
        <v>1084</v>
      </c>
    </row>
    <row r="733" spans="1:12" ht="30" customHeight="1">
      <c r="A733" s="172" t="str">
        <f t="shared" si="22"/>
        <v>17/10/20233</v>
      </c>
      <c r="B733" s="166">
        <f t="shared" si="23"/>
        <v>3</v>
      </c>
      <c r="C733" s="63" t="s">
        <v>3126</v>
      </c>
      <c r="D733" s="64" t="s">
        <v>3165</v>
      </c>
      <c r="E733" s="63">
        <v>2</v>
      </c>
      <c r="F733" s="63" t="s">
        <v>2752</v>
      </c>
      <c r="G733" s="65">
        <v>45216</v>
      </c>
      <c r="H733" s="65" t="s">
        <v>73</v>
      </c>
      <c r="I733" s="65" t="s">
        <v>2922</v>
      </c>
      <c r="J733" s="63" t="s">
        <v>1916</v>
      </c>
      <c r="K733" s="63" t="s">
        <v>807</v>
      </c>
      <c r="L733" s="63" t="s">
        <v>692</v>
      </c>
    </row>
    <row r="734" spans="1:12" ht="30" customHeight="1">
      <c r="A734" s="172" t="str">
        <f t="shared" si="22"/>
        <v>17/10/20234</v>
      </c>
      <c r="B734" s="166">
        <f t="shared" si="23"/>
        <v>4</v>
      </c>
      <c r="C734" s="63" t="s">
        <v>3106</v>
      </c>
      <c r="D734" s="64" t="s">
        <v>3107</v>
      </c>
      <c r="E734" s="63">
        <v>1</v>
      </c>
      <c r="F734" s="63" t="s">
        <v>1433</v>
      </c>
      <c r="G734" s="65">
        <v>45216</v>
      </c>
      <c r="H734" s="65" t="s">
        <v>749</v>
      </c>
      <c r="I734" s="65" t="s">
        <v>1221</v>
      </c>
      <c r="J734" s="63" t="s">
        <v>2375</v>
      </c>
      <c r="K734" s="63" t="s">
        <v>810</v>
      </c>
      <c r="L734" s="63" t="s">
        <v>712</v>
      </c>
    </row>
    <row r="735" spans="1:12" ht="30" customHeight="1">
      <c r="A735" s="172" t="str">
        <f t="shared" si="22"/>
        <v>17/10/20235</v>
      </c>
      <c r="B735" s="166">
        <f t="shared" si="23"/>
        <v>5</v>
      </c>
      <c r="C735" s="63" t="s">
        <v>3039</v>
      </c>
      <c r="D735" s="64" t="s">
        <v>3388</v>
      </c>
      <c r="E735" s="63">
        <v>1</v>
      </c>
      <c r="F735" s="63" t="s">
        <v>2815</v>
      </c>
      <c r="G735" s="65">
        <v>45216</v>
      </c>
      <c r="H735" s="65" t="s">
        <v>1083</v>
      </c>
      <c r="I735" s="65" t="s">
        <v>1217</v>
      </c>
      <c r="J735" s="63" t="s">
        <v>2324</v>
      </c>
      <c r="K735" s="63" t="s">
        <v>811</v>
      </c>
      <c r="L735" s="63" t="s">
        <v>711</v>
      </c>
    </row>
    <row r="736" spans="1:12" ht="30" customHeight="1">
      <c r="A736" s="172" t="str">
        <f t="shared" si="22"/>
        <v>17/10/20236</v>
      </c>
      <c r="B736" s="166">
        <f t="shared" si="23"/>
        <v>6</v>
      </c>
      <c r="C736" s="63" t="s">
        <v>3104</v>
      </c>
      <c r="D736" s="64" t="s">
        <v>3105</v>
      </c>
      <c r="E736" s="63">
        <v>1</v>
      </c>
      <c r="F736" s="63" t="s">
        <v>29</v>
      </c>
      <c r="G736" s="65">
        <v>45216</v>
      </c>
      <c r="H736" s="65" t="s">
        <v>1083</v>
      </c>
      <c r="I736" s="65" t="s">
        <v>1216</v>
      </c>
      <c r="J736" s="63" t="s">
        <v>1916</v>
      </c>
      <c r="K736" s="63" t="s">
        <v>792</v>
      </c>
      <c r="L736" s="63" t="s">
        <v>712</v>
      </c>
    </row>
    <row r="737" spans="1:12" ht="30" customHeight="1">
      <c r="A737" s="172" t="str">
        <f t="shared" si="22"/>
        <v>17/10/20237</v>
      </c>
      <c r="B737" s="166">
        <f t="shared" si="23"/>
        <v>7</v>
      </c>
      <c r="C737" s="63" t="s">
        <v>3192</v>
      </c>
      <c r="D737" s="64" t="s">
        <v>3208</v>
      </c>
      <c r="E737" s="63">
        <v>2</v>
      </c>
      <c r="F737" s="63" t="s">
        <v>1434</v>
      </c>
      <c r="G737" s="65">
        <v>45216</v>
      </c>
      <c r="H737" s="65" t="s">
        <v>1083</v>
      </c>
      <c r="I737" s="65" t="s">
        <v>31</v>
      </c>
      <c r="J737" s="63">
        <f>IFERROR(VLOOKUP(I737,Jueces!$A$1:$B$11,2,FALSE),"")</f>
        <v>2</v>
      </c>
      <c r="K737" s="63" t="s">
        <v>810</v>
      </c>
      <c r="L737" s="63" t="s">
        <v>692</v>
      </c>
    </row>
    <row r="738" spans="1:12" ht="30" customHeight="1">
      <c r="A738" s="172" t="str">
        <f t="shared" si="22"/>
        <v>17/10/20238</v>
      </c>
      <c r="B738" s="166">
        <f t="shared" si="23"/>
        <v>8</v>
      </c>
      <c r="C738" s="63" t="s">
        <v>3225</v>
      </c>
      <c r="D738" s="64" t="s">
        <v>3288</v>
      </c>
      <c r="E738" s="63">
        <v>8</v>
      </c>
      <c r="F738" s="63" t="s">
        <v>1435</v>
      </c>
      <c r="G738" s="65">
        <v>45216</v>
      </c>
      <c r="H738" s="65" t="s">
        <v>77</v>
      </c>
      <c r="I738" s="65" t="s">
        <v>1217</v>
      </c>
      <c r="J738" s="63" t="s">
        <v>1512</v>
      </c>
      <c r="K738" s="63" t="s">
        <v>790</v>
      </c>
      <c r="L738" s="63" t="s">
        <v>1408</v>
      </c>
    </row>
    <row r="739" spans="1:12" ht="30" customHeight="1">
      <c r="A739" s="172" t="str">
        <f t="shared" si="22"/>
        <v>18/10/20231</v>
      </c>
      <c r="B739" s="166">
        <f t="shared" si="23"/>
        <v>1</v>
      </c>
      <c r="C739" s="63" t="s">
        <v>3078</v>
      </c>
      <c r="D739" s="64" t="s">
        <v>3164</v>
      </c>
      <c r="E739" s="63">
        <v>1</v>
      </c>
      <c r="F739" s="63" t="s">
        <v>1433</v>
      </c>
      <c r="G739" s="65">
        <v>45217</v>
      </c>
      <c r="H739" s="65" t="s">
        <v>73</v>
      </c>
      <c r="I739" s="65" t="s">
        <v>2925</v>
      </c>
      <c r="J739" s="63" t="s">
        <v>1512</v>
      </c>
      <c r="K739" s="63" t="s">
        <v>807</v>
      </c>
      <c r="L739" s="63" t="s">
        <v>1175</v>
      </c>
    </row>
    <row r="740" spans="1:12" ht="30" customHeight="1">
      <c r="A740" s="172" t="str">
        <f t="shared" si="22"/>
        <v>18/10/20232</v>
      </c>
      <c r="B740" s="166">
        <f t="shared" si="23"/>
        <v>2</v>
      </c>
      <c r="C740" s="63" t="s">
        <v>2458</v>
      </c>
      <c r="D740" s="64" t="s">
        <v>3377</v>
      </c>
      <c r="E740" s="63">
        <v>7</v>
      </c>
      <c r="F740" s="63" t="s">
        <v>283</v>
      </c>
      <c r="G740" s="65">
        <v>45217</v>
      </c>
      <c r="H740" s="65" t="s">
        <v>73</v>
      </c>
      <c r="I740" s="65" t="s">
        <v>1217</v>
      </c>
      <c r="J740" s="63" t="s">
        <v>2324</v>
      </c>
      <c r="K740" s="63" t="s">
        <v>799</v>
      </c>
      <c r="L740" s="63" t="s">
        <v>725</v>
      </c>
    </row>
    <row r="741" spans="1:12" ht="30" customHeight="1">
      <c r="A741" s="172" t="str">
        <f t="shared" si="22"/>
        <v>18/10/20233</v>
      </c>
      <c r="B741" s="166">
        <f t="shared" si="23"/>
        <v>3</v>
      </c>
      <c r="C741" s="63" t="s">
        <v>3150</v>
      </c>
      <c r="D741" s="64" t="s">
        <v>3151</v>
      </c>
      <c r="E741" s="63">
        <v>8</v>
      </c>
      <c r="F741" s="63" t="s">
        <v>1435</v>
      </c>
      <c r="G741" s="65">
        <v>45217</v>
      </c>
      <c r="H741" s="65" t="s">
        <v>73</v>
      </c>
      <c r="I741" s="65" t="s">
        <v>2922</v>
      </c>
      <c r="J741" s="63" t="s">
        <v>1916</v>
      </c>
      <c r="K741" s="63" t="s">
        <v>2076</v>
      </c>
      <c r="L741" s="63" t="s">
        <v>1084</v>
      </c>
    </row>
    <row r="742" spans="1:12" ht="30" customHeight="1">
      <c r="A742" s="172" t="str">
        <f t="shared" si="22"/>
        <v>18/10/20234</v>
      </c>
      <c r="B742" s="166">
        <f t="shared" si="23"/>
        <v>4</v>
      </c>
      <c r="C742" s="63" t="s">
        <v>2093</v>
      </c>
      <c r="D742" s="64" t="s">
        <v>3075</v>
      </c>
      <c r="E742" s="63">
        <v>1</v>
      </c>
      <c r="F742" s="63" t="s">
        <v>568</v>
      </c>
      <c r="G742" s="65">
        <v>45217</v>
      </c>
      <c r="H742" s="65" t="s">
        <v>1083</v>
      </c>
      <c r="I742" s="65" t="s">
        <v>1216</v>
      </c>
      <c r="J742" s="63">
        <f>IFERROR(VLOOKUP(I742,Jueces!$A$1:$B$11,2,FALSE),"")</f>
        <v>1</v>
      </c>
      <c r="K742" s="63" t="s">
        <v>192</v>
      </c>
      <c r="L742" s="63" t="s">
        <v>712</v>
      </c>
    </row>
    <row r="743" spans="1:12" ht="30" customHeight="1">
      <c r="A743" s="172" t="str">
        <f t="shared" si="22"/>
        <v>18/10/20235</v>
      </c>
      <c r="B743" s="166">
        <f t="shared" si="23"/>
        <v>5</v>
      </c>
      <c r="C743" s="63" t="s">
        <v>3189</v>
      </c>
      <c r="D743" s="64" t="s">
        <v>3190</v>
      </c>
      <c r="E743" s="63">
        <v>2</v>
      </c>
      <c r="F743" s="63" t="s">
        <v>2752</v>
      </c>
      <c r="G743" s="65">
        <v>45217</v>
      </c>
      <c r="H743" s="65" t="s">
        <v>1083</v>
      </c>
      <c r="I743" s="65" t="s">
        <v>1221</v>
      </c>
      <c r="J743" s="63">
        <f>IFERROR(VLOOKUP(I743,Jueces!$A$1:$B$11,2,FALSE),"")</f>
        <v>6</v>
      </c>
      <c r="K743" s="63" t="s">
        <v>807</v>
      </c>
      <c r="L743" s="63" t="s">
        <v>692</v>
      </c>
    </row>
    <row r="744" spans="1:12" ht="30" customHeight="1">
      <c r="A744" s="172" t="str">
        <f t="shared" si="22"/>
        <v>18/10/20236</v>
      </c>
      <c r="B744" s="166">
        <f t="shared" si="23"/>
        <v>6</v>
      </c>
      <c r="C744" s="63" t="s">
        <v>3135</v>
      </c>
      <c r="D744" s="64" t="s">
        <v>3167</v>
      </c>
      <c r="E744" s="63">
        <v>1</v>
      </c>
      <c r="F744" s="63" t="s">
        <v>2751</v>
      </c>
      <c r="G744" s="65">
        <v>45217</v>
      </c>
      <c r="H744" s="65" t="s">
        <v>3171</v>
      </c>
      <c r="I744" s="65" t="s">
        <v>31</v>
      </c>
      <c r="J744" s="63">
        <f>IFERROR(VLOOKUP(I744,Jueces!$A$1:$B$11,2,FALSE),"")</f>
        <v>2</v>
      </c>
      <c r="K744" s="63" t="s">
        <v>805</v>
      </c>
      <c r="L744" s="63" t="s">
        <v>712</v>
      </c>
    </row>
    <row r="745" spans="1:12" ht="30" customHeight="1">
      <c r="A745" s="172" t="str">
        <f t="shared" si="22"/>
        <v>18/10/20237</v>
      </c>
      <c r="B745" s="166">
        <f t="shared" si="23"/>
        <v>7</v>
      </c>
      <c r="C745" s="63" t="s">
        <v>3038</v>
      </c>
      <c r="D745" s="64" t="s">
        <v>3028</v>
      </c>
      <c r="E745" s="63">
        <v>4</v>
      </c>
      <c r="F745" s="63" t="s">
        <v>2753</v>
      </c>
      <c r="G745" s="65">
        <v>45217</v>
      </c>
      <c r="H745" s="65" t="s">
        <v>987</v>
      </c>
      <c r="I745" s="65" t="s">
        <v>33</v>
      </c>
      <c r="J745" s="63">
        <f>IFERROR(VLOOKUP(I745,Jueces!$A$1:$B$11,2,FALSE),"")</f>
        <v>4</v>
      </c>
      <c r="K745" s="63" t="s">
        <v>1067</v>
      </c>
      <c r="L745" s="63" t="s">
        <v>3029</v>
      </c>
    </row>
    <row r="746" spans="1:12" ht="30" customHeight="1">
      <c r="A746" s="172" t="str">
        <f t="shared" si="22"/>
        <v>19/10/20231</v>
      </c>
      <c r="B746" s="166">
        <f t="shared" si="23"/>
        <v>1</v>
      </c>
      <c r="C746" s="63" t="s">
        <v>3077</v>
      </c>
      <c r="D746" s="64" t="s">
        <v>3173</v>
      </c>
      <c r="E746" s="63">
        <v>1</v>
      </c>
      <c r="F746" s="63" t="s">
        <v>2753</v>
      </c>
      <c r="G746" s="65">
        <v>45218</v>
      </c>
      <c r="H746" s="65" t="s">
        <v>73</v>
      </c>
      <c r="I746" s="65" t="s">
        <v>33</v>
      </c>
      <c r="J746" s="63">
        <f>IFERROR(VLOOKUP(I746,Jueces!$A$1:$B$11,2,FALSE),"")</f>
        <v>4</v>
      </c>
      <c r="K746" s="63" t="s">
        <v>807</v>
      </c>
      <c r="L746" s="63" t="s">
        <v>711</v>
      </c>
    </row>
    <row r="747" spans="1:12" ht="30" customHeight="1">
      <c r="A747" s="172" t="str">
        <f t="shared" si="22"/>
        <v>19/10/20232</v>
      </c>
      <c r="B747" s="166">
        <f t="shared" si="23"/>
        <v>2</v>
      </c>
      <c r="C747" s="63" t="s">
        <v>3112</v>
      </c>
      <c r="D747" s="64" t="s">
        <v>3175</v>
      </c>
      <c r="E747" s="63">
        <v>1</v>
      </c>
      <c r="F747" s="63" t="s">
        <v>1433</v>
      </c>
      <c r="G747" s="65">
        <v>45218</v>
      </c>
      <c r="H747" s="65" t="s">
        <v>73</v>
      </c>
      <c r="I747" s="65" t="s">
        <v>1723</v>
      </c>
      <c r="J747" s="63" t="s">
        <v>1916</v>
      </c>
      <c r="K747" s="63" t="s">
        <v>789</v>
      </c>
      <c r="L747" s="63" t="s">
        <v>1175</v>
      </c>
    </row>
    <row r="748" spans="1:12" ht="30" customHeight="1">
      <c r="A748" s="172" t="str">
        <f t="shared" si="22"/>
        <v>19/10/20233</v>
      </c>
      <c r="B748" s="166">
        <f t="shared" si="23"/>
        <v>3</v>
      </c>
      <c r="C748" s="63" t="s">
        <v>3240</v>
      </c>
      <c r="D748" s="64" t="s">
        <v>3408</v>
      </c>
      <c r="E748" s="63">
        <v>8</v>
      </c>
      <c r="F748" s="63" t="s">
        <v>29</v>
      </c>
      <c r="G748" s="65">
        <v>45218</v>
      </c>
      <c r="H748" s="65" t="s">
        <v>73</v>
      </c>
      <c r="I748" s="65" t="s">
        <v>2922</v>
      </c>
      <c r="J748" s="63" t="s">
        <v>2324</v>
      </c>
      <c r="K748" s="63" t="s">
        <v>789</v>
      </c>
      <c r="L748" s="63" t="s">
        <v>2103</v>
      </c>
    </row>
    <row r="749" spans="1:12" ht="30" customHeight="1">
      <c r="A749" s="172" t="str">
        <f t="shared" si="22"/>
        <v>19/10/20234</v>
      </c>
      <c r="B749" s="166">
        <f t="shared" si="23"/>
        <v>4</v>
      </c>
      <c r="C749" s="63" t="s">
        <v>3109</v>
      </c>
      <c r="D749" s="64" t="s">
        <v>3110</v>
      </c>
      <c r="E749" s="63">
        <v>1</v>
      </c>
      <c r="F749" s="63" t="s">
        <v>3323</v>
      </c>
      <c r="G749" s="65">
        <v>45218</v>
      </c>
      <c r="H749" s="65" t="s">
        <v>1083</v>
      </c>
      <c r="I749" s="65" t="s">
        <v>1221</v>
      </c>
      <c r="J749" s="63">
        <f>IFERROR(VLOOKUP(I749,Jueces!$A$1:$B$11,2,FALSE),"")</f>
        <v>6</v>
      </c>
      <c r="K749" s="63" t="s">
        <v>2075</v>
      </c>
      <c r="L749" s="63" t="s">
        <v>712</v>
      </c>
    </row>
    <row r="750" spans="1:12" ht="30" customHeight="1">
      <c r="A750" s="172" t="str">
        <f t="shared" si="22"/>
        <v>19/10/20235</v>
      </c>
      <c r="B750" s="166">
        <f t="shared" si="23"/>
        <v>5</v>
      </c>
      <c r="C750" s="63" t="s">
        <v>3162</v>
      </c>
      <c r="D750" s="64" t="s">
        <v>3210</v>
      </c>
      <c r="E750" s="63">
        <v>2</v>
      </c>
      <c r="F750" s="63" t="s">
        <v>43</v>
      </c>
      <c r="G750" s="65">
        <v>45218</v>
      </c>
      <c r="H750" s="65" t="s">
        <v>1083</v>
      </c>
      <c r="I750" s="65" t="s">
        <v>1217</v>
      </c>
      <c r="J750" s="63" t="s">
        <v>1321</v>
      </c>
      <c r="K750" s="63" t="s">
        <v>807</v>
      </c>
      <c r="L750" s="63" t="s">
        <v>692</v>
      </c>
    </row>
    <row r="751" spans="1:12" ht="30" customHeight="1">
      <c r="A751" s="172" t="str">
        <f t="shared" si="22"/>
        <v>19/10/20236</v>
      </c>
      <c r="B751" s="166">
        <f t="shared" si="23"/>
        <v>6</v>
      </c>
      <c r="C751" s="63" t="s">
        <v>3163</v>
      </c>
      <c r="D751" s="64" t="s">
        <v>3406</v>
      </c>
      <c r="E751" s="63">
        <v>8</v>
      </c>
      <c r="F751" s="63" t="s">
        <v>568</v>
      </c>
      <c r="G751" s="65">
        <v>45218</v>
      </c>
      <c r="H751" s="65" t="s">
        <v>1083</v>
      </c>
      <c r="I751" s="65" t="s">
        <v>1216</v>
      </c>
      <c r="J751" s="63" t="s">
        <v>2324</v>
      </c>
      <c r="K751" s="63" t="s">
        <v>791</v>
      </c>
      <c r="L751" s="63" t="s">
        <v>1028</v>
      </c>
    </row>
    <row r="752" spans="1:12" ht="30" customHeight="1">
      <c r="A752" s="172" t="str">
        <f t="shared" si="22"/>
        <v>19/10/20237</v>
      </c>
      <c r="B752" s="166">
        <f t="shared" si="23"/>
        <v>7</v>
      </c>
      <c r="C752" s="63" t="s">
        <v>3137</v>
      </c>
      <c r="D752" s="64" t="s">
        <v>3429</v>
      </c>
      <c r="E752" s="63">
        <v>2</v>
      </c>
      <c r="F752" s="63" t="s">
        <v>283</v>
      </c>
      <c r="G752" s="65">
        <v>45218</v>
      </c>
      <c r="H752" s="65" t="s">
        <v>1206</v>
      </c>
      <c r="I752" s="65" t="s">
        <v>31</v>
      </c>
      <c r="J752" s="63">
        <f>IFERROR(VLOOKUP(I752,Jueces!$A$1:$B$11,2,FALSE),"")</f>
        <v>2</v>
      </c>
      <c r="K752" s="63" t="s">
        <v>789</v>
      </c>
      <c r="L752" s="63" t="s">
        <v>692</v>
      </c>
    </row>
    <row r="753" spans="1:12" ht="30" customHeight="1">
      <c r="A753" s="172" t="str">
        <f t="shared" si="22"/>
        <v>19/10/20238</v>
      </c>
      <c r="B753" s="166">
        <f t="shared" si="23"/>
        <v>8</v>
      </c>
      <c r="C753" s="63" t="s">
        <v>3056</v>
      </c>
      <c r="D753" s="64" t="s">
        <v>3057</v>
      </c>
      <c r="E753" s="63">
        <v>8</v>
      </c>
      <c r="F753" s="63" t="s">
        <v>1433</v>
      </c>
      <c r="G753" s="65">
        <v>45218</v>
      </c>
      <c r="H753" s="65" t="s">
        <v>3171</v>
      </c>
      <c r="I753" s="65" t="s">
        <v>31</v>
      </c>
      <c r="J753" s="63">
        <f>IFERROR(VLOOKUP(I753,Jueces!$A$1:$B$11,2,FALSE),"")</f>
        <v>2</v>
      </c>
      <c r="K753" s="63" t="s">
        <v>807</v>
      </c>
      <c r="L753" s="63" t="s">
        <v>1408</v>
      </c>
    </row>
    <row r="754" spans="1:12" ht="30" customHeight="1">
      <c r="A754" s="172" t="str">
        <f t="shared" si="22"/>
        <v>20/10/20231</v>
      </c>
      <c r="B754" s="166">
        <f t="shared" si="23"/>
        <v>1</v>
      </c>
      <c r="C754" s="63" t="s">
        <v>3074</v>
      </c>
      <c r="D754" s="64" t="s">
        <v>3174</v>
      </c>
      <c r="E754" s="63">
        <v>1</v>
      </c>
      <c r="F754" s="63" t="s">
        <v>1434</v>
      </c>
      <c r="G754" s="65">
        <v>45219</v>
      </c>
      <c r="H754" s="65" t="s">
        <v>73</v>
      </c>
      <c r="I754" s="65" t="s">
        <v>2922</v>
      </c>
      <c r="J754" s="63" t="s">
        <v>1916</v>
      </c>
      <c r="K754" s="63" t="s">
        <v>805</v>
      </c>
      <c r="L754" s="63" t="s">
        <v>711</v>
      </c>
    </row>
    <row r="755" spans="1:12" ht="30" customHeight="1">
      <c r="A755" s="172" t="str">
        <f t="shared" si="22"/>
        <v>20/10/20232</v>
      </c>
      <c r="B755" s="166">
        <f t="shared" si="23"/>
        <v>2</v>
      </c>
      <c r="C755" s="63" t="s">
        <v>3133</v>
      </c>
      <c r="D755" s="64" t="s">
        <v>3172</v>
      </c>
      <c r="E755" s="63">
        <v>8</v>
      </c>
      <c r="F755" s="63" t="s">
        <v>3323</v>
      </c>
      <c r="G755" s="65">
        <v>45219</v>
      </c>
      <c r="H755" s="65" t="s">
        <v>73</v>
      </c>
      <c r="I755" s="65" t="s">
        <v>2925</v>
      </c>
      <c r="J755" s="63" t="s">
        <v>2324</v>
      </c>
      <c r="K755" s="63" t="s">
        <v>789</v>
      </c>
      <c r="L755" s="63" t="s">
        <v>1084</v>
      </c>
    </row>
    <row r="756" spans="1:12" ht="30" customHeight="1">
      <c r="A756" s="172" t="str">
        <f t="shared" si="22"/>
        <v>20/10/20233</v>
      </c>
      <c r="B756" s="166">
        <f t="shared" si="23"/>
        <v>3</v>
      </c>
      <c r="C756" s="63" t="s">
        <v>3181</v>
      </c>
      <c r="D756" s="64" t="s">
        <v>3450</v>
      </c>
      <c r="E756" s="63">
        <v>1</v>
      </c>
      <c r="F756" s="63" t="s">
        <v>283</v>
      </c>
      <c r="G756" s="65">
        <v>45219</v>
      </c>
      <c r="H756" s="65" t="s">
        <v>73</v>
      </c>
      <c r="I756" s="65" t="s">
        <v>31</v>
      </c>
      <c r="J756" s="63">
        <f>IFERROR(VLOOKUP(I756,Jueces!$A$1:$B$11,2,FALSE),"")</f>
        <v>2</v>
      </c>
      <c r="K756" s="63" t="s">
        <v>799</v>
      </c>
      <c r="L756" s="63" t="s">
        <v>712</v>
      </c>
    </row>
    <row r="757" spans="1:12" ht="30" customHeight="1">
      <c r="A757" s="172" t="str">
        <f t="shared" si="22"/>
        <v>20/10/20234</v>
      </c>
      <c r="B757" s="166">
        <f t="shared" si="23"/>
        <v>4</v>
      </c>
      <c r="C757" s="63" t="s">
        <v>3076</v>
      </c>
      <c r="D757" s="64" t="s">
        <v>3176</v>
      </c>
      <c r="E757" s="63">
        <v>1</v>
      </c>
      <c r="F757" s="63" t="s">
        <v>2766</v>
      </c>
      <c r="G757" s="65">
        <v>45219</v>
      </c>
      <c r="H757" s="65" t="s">
        <v>1083</v>
      </c>
      <c r="I757" s="65" t="s">
        <v>1723</v>
      </c>
      <c r="J757" s="63" t="s">
        <v>1916</v>
      </c>
      <c r="K757" s="63" t="s">
        <v>789</v>
      </c>
      <c r="L757" s="63" t="s">
        <v>3177</v>
      </c>
    </row>
    <row r="758" spans="1:12" ht="30" customHeight="1">
      <c r="A758" s="172" t="str">
        <f t="shared" si="22"/>
        <v>20/10/20235</v>
      </c>
      <c r="B758" s="166">
        <f t="shared" si="23"/>
        <v>5</v>
      </c>
      <c r="C758" s="63" t="s">
        <v>3124</v>
      </c>
      <c r="D758" s="64" t="s">
        <v>3125</v>
      </c>
      <c r="E758" s="63">
        <v>8</v>
      </c>
      <c r="F758" s="63" t="s">
        <v>1433</v>
      </c>
      <c r="G758" s="65">
        <v>45219</v>
      </c>
      <c r="H758" s="65" t="s">
        <v>1083</v>
      </c>
      <c r="I758" s="65" t="s">
        <v>1221</v>
      </c>
      <c r="J758" s="63">
        <f>IFERROR(VLOOKUP(I758,Jueces!$A$1:$B$11,2,FALSE),"")</f>
        <v>6</v>
      </c>
      <c r="K758" s="63" t="s">
        <v>2076</v>
      </c>
      <c r="L758" s="63" t="s">
        <v>711</v>
      </c>
    </row>
    <row r="759" spans="1:12" ht="30" customHeight="1">
      <c r="A759" s="172" t="str">
        <f t="shared" si="22"/>
        <v>20/10/20236</v>
      </c>
      <c r="B759" s="166">
        <f t="shared" si="23"/>
        <v>6</v>
      </c>
      <c r="C759" s="63" t="s">
        <v>3195</v>
      </c>
      <c r="D759" s="64" t="s">
        <v>3211</v>
      </c>
      <c r="E759" s="63">
        <v>1</v>
      </c>
      <c r="F759" s="63" t="s">
        <v>2752</v>
      </c>
      <c r="G759" s="65">
        <v>45219</v>
      </c>
      <c r="H759" s="65" t="s">
        <v>1083</v>
      </c>
      <c r="I759" s="65" t="s">
        <v>1216</v>
      </c>
      <c r="J759" s="63">
        <f>IFERROR(VLOOKUP(I759,Jueces!$A$1:$B$11,2,FALSE),"")</f>
        <v>1</v>
      </c>
      <c r="K759" s="63" t="s">
        <v>807</v>
      </c>
      <c r="L759" s="63" t="s">
        <v>697</v>
      </c>
    </row>
    <row r="760" spans="1:12" ht="30" customHeight="1">
      <c r="A760" s="172" t="str">
        <f t="shared" si="22"/>
        <v>20/10/20237</v>
      </c>
      <c r="B760" s="166">
        <f t="shared" si="23"/>
        <v>7</v>
      </c>
      <c r="C760" s="325" t="s">
        <v>3179</v>
      </c>
      <c r="D760" s="64" t="s">
        <v>3180</v>
      </c>
      <c r="E760" s="63">
        <v>1</v>
      </c>
      <c r="F760" s="63" t="s">
        <v>2815</v>
      </c>
      <c r="G760" s="65">
        <v>45219</v>
      </c>
      <c r="H760" s="65" t="s">
        <v>1206</v>
      </c>
      <c r="I760" s="65" t="s">
        <v>33</v>
      </c>
      <c r="J760" s="63" t="s">
        <v>3264</v>
      </c>
      <c r="K760" s="63" t="s">
        <v>806</v>
      </c>
      <c r="L760" s="63" t="s">
        <v>712</v>
      </c>
    </row>
    <row r="761" spans="1:12" ht="30" customHeight="1">
      <c r="A761" s="172" t="str">
        <f t="shared" si="22"/>
        <v>20/10/20238</v>
      </c>
      <c r="B761" s="166">
        <f t="shared" si="23"/>
        <v>8</v>
      </c>
      <c r="C761" s="63" t="s">
        <v>3455</v>
      </c>
      <c r="D761" s="64" t="s">
        <v>3456</v>
      </c>
      <c r="E761" s="63">
        <v>2</v>
      </c>
      <c r="F761" s="63" t="s">
        <v>29</v>
      </c>
      <c r="G761" s="65">
        <v>45219</v>
      </c>
      <c r="H761" s="65" t="s">
        <v>228</v>
      </c>
      <c r="I761" s="65" t="s">
        <v>31</v>
      </c>
      <c r="J761" s="63">
        <v>2</v>
      </c>
      <c r="K761" s="63" t="s">
        <v>1301</v>
      </c>
      <c r="L761" s="63" t="s">
        <v>3457</v>
      </c>
    </row>
    <row r="762" spans="1:12" ht="30" customHeight="1">
      <c r="A762" s="172" t="str">
        <f t="shared" si="22"/>
        <v>23/10/20231</v>
      </c>
      <c r="B762" s="166">
        <f t="shared" si="23"/>
        <v>1</v>
      </c>
      <c r="C762" s="63" t="s">
        <v>3131</v>
      </c>
      <c r="D762" s="64" t="s">
        <v>3132</v>
      </c>
      <c r="E762" s="63">
        <v>1</v>
      </c>
      <c r="F762" s="63" t="s">
        <v>1434</v>
      </c>
      <c r="G762" s="65">
        <v>45222</v>
      </c>
      <c r="H762" s="65" t="s">
        <v>73</v>
      </c>
      <c r="I762" s="65" t="s">
        <v>2922</v>
      </c>
      <c r="J762" s="63" t="s">
        <v>1916</v>
      </c>
      <c r="K762" s="63" t="s">
        <v>812</v>
      </c>
      <c r="L762" s="63" t="s">
        <v>711</v>
      </c>
    </row>
    <row r="763" spans="1:12" ht="30" customHeight="1">
      <c r="A763" s="172" t="str">
        <f t="shared" si="22"/>
        <v>23/10/20232</v>
      </c>
      <c r="B763" s="166">
        <f t="shared" si="23"/>
        <v>2</v>
      </c>
      <c r="C763" s="325" t="s">
        <v>3256</v>
      </c>
      <c r="D763" s="64" t="s">
        <v>3299</v>
      </c>
      <c r="E763" s="63">
        <v>1</v>
      </c>
      <c r="F763" s="63" t="s">
        <v>2815</v>
      </c>
      <c r="G763" s="65">
        <v>45222</v>
      </c>
      <c r="H763" s="65" t="s">
        <v>73</v>
      </c>
      <c r="I763" s="65" t="s">
        <v>2925</v>
      </c>
      <c r="J763" s="63" t="s">
        <v>1341</v>
      </c>
      <c r="K763" s="63" t="s">
        <v>569</v>
      </c>
      <c r="L763" s="63" t="s">
        <v>3300</v>
      </c>
    </row>
    <row r="764" spans="1:12" ht="30" customHeight="1">
      <c r="A764" s="172" t="str">
        <f t="shared" si="22"/>
        <v>23/10/20233</v>
      </c>
      <c r="B764" s="166">
        <f t="shared" si="23"/>
        <v>3</v>
      </c>
      <c r="C764" s="63" t="s">
        <v>3262</v>
      </c>
      <c r="D764" s="64" t="s">
        <v>3263</v>
      </c>
      <c r="E764" s="63">
        <v>1</v>
      </c>
      <c r="F764" s="63" t="s">
        <v>1435</v>
      </c>
      <c r="G764" s="65">
        <v>45222</v>
      </c>
      <c r="H764" s="65" t="s">
        <v>73</v>
      </c>
      <c r="I764" s="65" t="s">
        <v>1723</v>
      </c>
      <c r="J764" s="63" t="s">
        <v>2324</v>
      </c>
      <c r="K764" s="63" t="s">
        <v>810</v>
      </c>
      <c r="L764" s="330" t="s">
        <v>2220</v>
      </c>
    </row>
    <row r="765" spans="1:12" ht="30" customHeight="1">
      <c r="A765" s="172" t="str">
        <f t="shared" si="22"/>
        <v>23/10/20234</v>
      </c>
      <c r="B765" s="166">
        <f t="shared" si="23"/>
        <v>4</v>
      </c>
      <c r="C765" s="63" t="s">
        <v>3227</v>
      </c>
      <c r="D765" s="64" t="s">
        <v>3295</v>
      </c>
      <c r="E765" s="63">
        <v>2</v>
      </c>
      <c r="F765" s="63" t="s">
        <v>3324</v>
      </c>
      <c r="G765" s="65">
        <v>45222</v>
      </c>
      <c r="H765" s="65" t="s">
        <v>1206</v>
      </c>
      <c r="I765" s="65" t="s">
        <v>78</v>
      </c>
      <c r="J765" s="63">
        <f>IFERROR(VLOOKUP(I765,Jueces!$A$1:$B$11,2,FALSE),"")</f>
        <v>8</v>
      </c>
      <c r="K765" s="63" t="s">
        <v>805</v>
      </c>
      <c r="L765" s="7" t="s">
        <v>692</v>
      </c>
    </row>
    <row r="766" spans="1:12" ht="30" customHeight="1">
      <c r="A766" s="172" t="str">
        <f t="shared" si="22"/>
        <v>23/10/20235</v>
      </c>
      <c r="B766" s="166">
        <f t="shared" si="23"/>
        <v>5</v>
      </c>
      <c r="C766" s="63" t="s">
        <v>3230</v>
      </c>
      <c r="D766" s="64" t="s">
        <v>3231</v>
      </c>
      <c r="E766" s="63">
        <v>1</v>
      </c>
      <c r="F766" s="63" t="s">
        <v>3323</v>
      </c>
      <c r="G766" s="65">
        <v>45222</v>
      </c>
      <c r="H766" s="65" t="s">
        <v>3171</v>
      </c>
      <c r="I766" s="65" t="s">
        <v>33</v>
      </c>
      <c r="J766" s="63" t="s">
        <v>2324</v>
      </c>
      <c r="K766" s="63" t="s">
        <v>805</v>
      </c>
      <c r="L766" s="63" t="s">
        <v>1175</v>
      </c>
    </row>
    <row r="767" spans="1:12" ht="30" customHeight="1">
      <c r="A767" s="172" t="str">
        <f t="shared" si="22"/>
        <v>23/10/20236</v>
      </c>
      <c r="B767" s="166">
        <f t="shared" si="23"/>
        <v>6</v>
      </c>
      <c r="C767" s="63" t="s">
        <v>3130</v>
      </c>
      <c r="D767" s="64" t="s">
        <v>3287</v>
      </c>
      <c r="E767" s="63">
        <v>1</v>
      </c>
      <c r="F767" s="63" t="s">
        <v>568</v>
      </c>
      <c r="G767" s="65">
        <v>45222</v>
      </c>
      <c r="H767" s="65" t="s">
        <v>987</v>
      </c>
      <c r="I767" s="65" t="s">
        <v>1217</v>
      </c>
      <c r="J767" s="63" t="s">
        <v>1916</v>
      </c>
      <c r="K767" s="63" t="s">
        <v>810</v>
      </c>
      <c r="L767" s="63" t="s">
        <v>712</v>
      </c>
    </row>
    <row r="768" spans="1:12" ht="30" customHeight="1">
      <c r="A768" s="172" t="str">
        <f t="shared" si="22"/>
        <v>24/10/20231</v>
      </c>
      <c r="B768" s="166">
        <f t="shared" si="23"/>
        <v>1</v>
      </c>
      <c r="C768" s="63" t="s">
        <v>3041</v>
      </c>
      <c r="D768" s="64" t="s">
        <v>3042</v>
      </c>
      <c r="E768" s="63">
        <v>1</v>
      </c>
      <c r="F768" s="63" t="s">
        <v>3323</v>
      </c>
      <c r="G768" s="65">
        <v>45223</v>
      </c>
      <c r="H768" s="65" t="s">
        <v>73</v>
      </c>
      <c r="I768" s="65" t="s">
        <v>31</v>
      </c>
      <c r="J768" s="63">
        <f>IFERROR(VLOOKUP(I768,Jueces!$A$1:$B$11,2,FALSE),"")</f>
        <v>2</v>
      </c>
      <c r="K768" s="63" t="s">
        <v>2077</v>
      </c>
      <c r="L768" s="63" t="s">
        <v>3209</v>
      </c>
    </row>
    <row r="769" spans="1:12" ht="30" customHeight="1">
      <c r="A769" s="172" t="str">
        <f t="shared" si="22"/>
        <v>24/10/20232</v>
      </c>
      <c r="B769" s="166">
        <f t="shared" si="23"/>
        <v>2</v>
      </c>
      <c r="C769" s="63" t="s">
        <v>3122</v>
      </c>
      <c r="D769" s="64" t="s">
        <v>3123</v>
      </c>
      <c r="E769" s="63">
        <v>8</v>
      </c>
      <c r="F769" s="63" t="s">
        <v>3324</v>
      </c>
      <c r="G769" s="65">
        <v>45223</v>
      </c>
      <c r="H769" s="65" t="s">
        <v>73</v>
      </c>
      <c r="I769" s="65" t="s">
        <v>2922</v>
      </c>
      <c r="J769" s="63" t="s">
        <v>1341</v>
      </c>
      <c r="K769" s="63" t="s">
        <v>791</v>
      </c>
      <c r="L769" s="63" t="s">
        <v>885</v>
      </c>
    </row>
    <row r="770" spans="1:12" ht="30" customHeight="1">
      <c r="A770" s="172" t="str">
        <f t="shared" si="22"/>
        <v>24/10/20233</v>
      </c>
      <c r="B770" s="166">
        <f t="shared" si="23"/>
        <v>3</v>
      </c>
      <c r="C770" s="63" t="s">
        <v>3257</v>
      </c>
      <c r="D770" s="64" t="s">
        <v>3297</v>
      </c>
      <c r="E770" s="63">
        <v>2</v>
      </c>
      <c r="F770" s="63" t="s">
        <v>1433</v>
      </c>
      <c r="G770" s="65">
        <v>45223</v>
      </c>
      <c r="H770" s="65" t="s">
        <v>73</v>
      </c>
      <c r="I770" s="65" t="s">
        <v>33</v>
      </c>
      <c r="J770" s="63">
        <f>IFERROR(VLOOKUP(I770,Jueces!$A$1:$B$11,2,FALSE),"")</f>
        <v>4</v>
      </c>
      <c r="K770" s="63" t="s">
        <v>811</v>
      </c>
      <c r="L770" s="63" t="s">
        <v>692</v>
      </c>
    </row>
    <row r="771" spans="1:12" ht="30" customHeight="1">
      <c r="A771" s="172" t="str">
        <f t="shared" ref="A771:A834" si="24">CONCATENATE(TEXT($G771,"dd/mm/yyyy"),$B771)</f>
        <v>24/10/20234</v>
      </c>
      <c r="B771" s="166">
        <f t="shared" si="23"/>
        <v>4</v>
      </c>
      <c r="C771" s="63" t="s">
        <v>3280</v>
      </c>
      <c r="D771" s="64" t="s">
        <v>3281</v>
      </c>
      <c r="E771" s="63">
        <v>1</v>
      </c>
      <c r="F771" s="63" t="s">
        <v>1434</v>
      </c>
      <c r="G771" s="65">
        <v>45223</v>
      </c>
      <c r="H771" s="65" t="s">
        <v>73</v>
      </c>
      <c r="I771" s="65" t="s">
        <v>78</v>
      </c>
      <c r="J771" s="63">
        <f>IFERROR(VLOOKUP(I771,Jueces!$A$1:$B$11,2,FALSE),"")</f>
        <v>8</v>
      </c>
      <c r="K771" s="63" t="s">
        <v>809</v>
      </c>
      <c r="L771" s="63" t="s">
        <v>712</v>
      </c>
    </row>
    <row r="772" spans="1:12" ht="30" customHeight="1">
      <c r="A772" s="172" t="str">
        <f t="shared" si="24"/>
        <v>24/10/20235</v>
      </c>
      <c r="B772" s="166">
        <f t="shared" ref="B772:B835" si="25">IF($G772=$G771,$B771+1,1)</f>
        <v>5</v>
      </c>
      <c r="C772" s="63" t="s">
        <v>3245</v>
      </c>
      <c r="D772" s="64" t="s">
        <v>3286</v>
      </c>
      <c r="E772" s="63">
        <v>1</v>
      </c>
      <c r="F772" s="63" t="s">
        <v>2815</v>
      </c>
      <c r="G772" s="65">
        <v>45223</v>
      </c>
      <c r="H772" s="65" t="s">
        <v>1083</v>
      </c>
      <c r="I772" s="65" t="s">
        <v>1216</v>
      </c>
      <c r="J772" s="63">
        <f>IFERROR(VLOOKUP(I772,Jueces!$A$1:$B$11,2,FALSE),"")</f>
        <v>1</v>
      </c>
      <c r="K772" s="63" t="s">
        <v>805</v>
      </c>
      <c r="L772" s="63" t="s">
        <v>1175</v>
      </c>
    </row>
    <row r="773" spans="1:12" ht="30" customHeight="1">
      <c r="A773" s="172" t="str">
        <f t="shared" si="24"/>
        <v>24/10/20236</v>
      </c>
      <c r="B773" s="166">
        <f t="shared" si="25"/>
        <v>6</v>
      </c>
      <c r="C773" s="63" t="s">
        <v>3294</v>
      </c>
      <c r="D773" s="64" t="s">
        <v>3293</v>
      </c>
      <c r="E773" s="63">
        <v>2</v>
      </c>
      <c r="F773" s="63" t="s">
        <v>568</v>
      </c>
      <c r="G773" s="65">
        <v>45223</v>
      </c>
      <c r="H773" s="65" t="s">
        <v>1083</v>
      </c>
      <c r="I773" s="65" t="s">
        <v>1217</v>
      </c>
      <c r="J773" s="63" t="s">
        <v>1916</v>
      </c>
      <c r="K773" s="63" t="s">
        <v>811</v>
      </c>
      <c r="L773" s="63" t="s">
        <v>693</v>
      </c>
    </row>
    <row r="774" spans="1:12" ht="30" customHeight="1">
      <c r="A774" s="172" t="str">
        <f t="shared" si="24"/>
        <v>24/10/20237</v>
      </c>
      <c r="B774" s="166">
        <f t="shared" si="25"/>
        <v>7</v>
      </c>
      <c r="C774" s="63" t="s">
        <v>3339</v>
      </c>
      <c r="D774" s="64" t="s">
        <v>3340</v>
      </c>
      <c r="E774" s="63">
        <v>2</v>
      </c>
      <c r="F774" s="63" t="s">
        <v>2752</v>
      </c>
      <c r="G774" s="65">
        <v>45223</v>
      </c>
      <c r="H774" s="65" t="s">
        <v>1083</v>
      </c>
      <c r="I774" s="65" t="s">
        <v>1221</v>
      </c>
      <c r="J774" s="63">
        <f>IFERROR(VLOOKUP(I774,Jueces!$A$1:$B$11,2,FALSE),"")</f>
        <v>6</v>
      </c>
      <c r="K774" s="63" t="s">
        <v>810</v>
      </c>
      <c r="L774" s="63" t="s">
        <v>692</v>
      </c>
    </row>
    <row r="775" spans="1:12" ht="30" customHeight="1">
      <c r="A775" s="172" t="str">
        <f t="shared" si="24"/>
        <v>24/10/20238</v>
      </c>
      <c r="B775" s="166">
        <f t="shared" si="25"/>
        <v>8</v>
      </c>
      <c r="C775" s="63" t="s">
        <v>3272</v>
      </c>
      <c r="D775" s="64" t="s">
        <v>3301</v>
      </c>
      <c r="E775" s="63">
        <v>2</v>
      </c>
      <c r="F775" s="63" t="s">
        <v>283</v>
      </c>
      <c r="G775" s="65">
        <v>45223</v>
      </c>
      <c r="H775" s="65" t="s">
        <v>1442</v>
      </c>
      <c r="I775" s="65" t="s">
        <v>31</v>
      </c>
      <c r="J775" s="63" t="s">
        <v>2285</v>
      </c>
      <c r="K775" s="63" t="s">
        <v>805</v>
      </c>
      <c r="L775" s="63" t="s">
        <v>692</v>
      </c>
    </row>
    <row r="776" spans="1:12" ht="30" customHeight="1">
      <c r="A776" s="172" t="str">
        <f t="shared" si="24"/>
        <v>25/10/20231</v>
      </c>
      <c r="B776" s="166">
        <f t="shared" si="25"/>
        <v>1</v>
      </c>
      <c r="C776" s="63" t="s">
        <v>3271</v>
      </c>
      <c r="D776" s="64" t="s">
        <v>3304</v>
      </c>
      <c r="E776" s="63">
        <v>2</v>
      </c>
      <c r="F776" s="63" t="s">
        <v>1433</v>
      </c>
      <c r="G776" s="65">
        <v>45224</v>
      </c>
      <c r="H776" s="65" t="s">
        <v>73</v>
      </c>
      <c r="I776" s="65" t="s">
        <v>33</v>
      </c>
      <c r="J776" s="63">
        <f>IFERROR(VLOOKUP(I776,Jueces!$A$1:$B$11,2,FALSE),"")</f>
        <v>4</v>
      </c>
      <c r="K776" s="63" t="s">
        <v>805</v>
      </c>
      <c r="L776" s="63" t="s">
        <v>692</v>
      </c>
    </row>
    <row r="777" spans="1:12" ht="30" customHeight="1">
      <c r="A777" s="172" t="str">
        <f t="shared" si="24"/>
        <v>25/10/20232</v>
      </c>
      <c r="B777" s="166">
        <f t="shared" si="25"/>
        <v>2</v>
      </c>
      <c r="C777" s="63" t="s">
        <v>3325</v>
      </c>
      <c r="D777" s="64" t="s">
        <v>3326</v>
      </c>
      <c r="E777" s="63">
        <v>5</v>
      </c>
      <c r="F777" s="63" t="s">
        <v>2752</v>
      </c>
      <c r="G777" s="65">
        <v>45224</v>
      </c>
      <c r="H777" s="65" t="s">
        <v>73</v>
      </c>
      <c r="I777" s="65" t="s">
        <v>31</v>
      </c>
      <c r="J777" s="63">
        <f>IFERROR(VLOOKUP(I777,Jueces!$A$1:$B$11,2,FALSE),"")</f>
        <v>2</v>
      </c>
      <c r="K777" s="63" t="s">
        <v>795</v>
      </c>
      <c r="L777" s="63" t="s">
        <v>3327</v>
      </c>
    </row>
    <row r="778" spans="1:12" ht="30" customHeight="1">
      <c r="A778" s="172" t="str">
        <f t="shared" si="24"/>
        <v>25/10/20233</v>
      </c>
      <c r="B778" s="166">
        <f t="shared" si="25"/>
        <v>3</v>
      </c>
      <c r="C778" s="63" t="s">
        <v>3343</v>
      </c>
      <c r="D778" s="64" t="s">
        <v>3344</v>
      </c>
      <c r="E778" s="63">
        <v>1</v>
      </c>
      <c r="F778" s="63" t="s">
        <v>3323</v>
      </c>
      <c r="G778" s="65">
        <v>45224</v>
      </c>
      <c r="H778" s="65" t="s">
        <v>73</v>
      </c>
      <c r="I778" s="65" t="s">
        <v>78</v>
      </c>
      <c r="J778" s="63">
        <f>IFERROR(VLOOKUP(I778,Jueces!$A$1:$B$11,2,FALSE),"")</f>
        <v>8</v>
      </c>
      <c r="K778" s="63" t="s">
        <v>827</v>
      </c>
      <c r="L778" s="63" t="s">
        <v>1175</v>
      </c>
    </row>
    <row r="779" spans="1:12" ht="30" customHeight="1">
      <c r="A779" s="172" t="str">
        <f t="shared" si="24"/>
        <v>25/10/20234</v>
      </c>
      <c r="B779" s="166">
        <f t="shared" si="25"/>
        <v>4</v>
      </c>
      <c r="C779" s="63" t="s">
        <v>3375</v>
      </c>
      <c r="D779" s="64" t="s">
        <v>3376</v>
      </c>
      <c r="E779" s="63">
        <v>1</v>
      </c>
      <c r="F779" s="63" t="s">
        <v>283</v>
      </c>
      <c r="G779" s="65">
        <v>45224</v>
      </c>
      <c r="H779" s="65" t="s">
        <v>1083</v>
      </c>
      <c r="I779" s="65" t="s">
        <v>1216</v>
      </c>
      <c r="J779" s="63">
        <f>IFERROR(VLOOKUP(I779,Jueces!$A$1:$B$11,2,FALSE),"")</f>
        <v>1</v>
      </c>
      <c r="K779" s="63" t="s">
        <v>809</v>
      </c>
      <c r="L779" s="63" t="s">
        <v>712</v>
      </c>
    </row>
    <row r="780" spans="1:12" ht="30" customHeight="1">
      <c r="A780" s="172" t="str">
        <f t="shared" si="24"/>
        <v>25/10/20235</v>
      </c>
      <c r="B780" s="166">
        <f t="shared" si="25"/>
        <v>5</v>
      </c>
      <c r="C780" s="63" t="s">
        <v>3229</v>
      </c>
      <c r="D780" s="64" t="s">
        <v>3296</v>
      </c>
      <c r="E780" s="63">
        <v>2</v>
      </c>
      <c r="F780" s="63" t="s">
        <v>2815</v>
      </c>
      <c r="G780" s="65">
        <v>45224</v>
      </c>
      <c r="H780" s="65" t="s">
        <v>547</v>
      </c>
      <c r="I780" s="65" t="s">
        <v>33</v>
      </c>
      <c r="J780" s="63" t="s">
        <v>3448</v>
      </c>
      <c r="K780" s="63" t="s">
        <v>192</v>
      </c>
      <c r="L780" s="63" t="s">
        <v>3394</v>
      </c>
    </row>
    <row r="781" spans="1:12" ht="30" customHeight="1">
      <c r="A781" s="172" t="str">
        <f t="shared" si="24"/>
        <v>26/10/20231</v>
      </c>
      <c r="B781" s="166">
        <f t="shared" si="25"/>
        <v>1</v>
      </c>
      <c r="C781" s="63" t="s">
        <v>3268</v>
      </c>
      <c r="D781" s="64" t="s">
        <v>3353</v>
      </c>
      <c r="E781" s="63">
        <v>1</v>
      </c>
      <c r="F781" s="63" t="s">
        <v>283</v>
      </c>
      <c r="G781" s="65">
        <v>45225</v>
      </c>
      <c r="H781" s="65" t="s">
        <v>73</v>
      </c>
      <c r="I781" s="65" t="s">
        <v>2925</v>
      </c>
      <c r="J781" s="63" t="s">
        <v>1916</v>
      </c>
      <c r="K781" s="63" t="s">
        <v>809</v>
      </c>
      <c r="L781" s="63" t="s">
        <v>712</v>
      </c>
    </row>
    <row r="782" spans="1:12" ht="30" customHeight="1">
      <c r="A782" s="172" t="str">
        <f t="shared" si="24"/>
        <v>26/10/20232</v>
      </c>
      <c r="B782" s="166">
        <f t="shared" si="25"/>
        <v>2</v>
      </c>
      <c r="C782" s="63" t="s">
        <v>3282</v>
      </c>
      <c r="D782" s="64" t="s">
        <v>3283</v>
      </c>
      <c r="E782" s="63">
        <v>1</v>
      </c>
      <c r="F782" s="63" t="s">
        <v>1435</v>
      </c>
      <c r="G782" s="65">
        <v>45225</v>
      </c>
      <c r="H782" s="65" t="s">
        <v>73</v>
      </c>
      <c r="I782" s="65" t="s">
        <v>78</v>
      </c>
      <c r="J782" s="63">
        <f>IFERROR(VLOOKUP(I782,Jueces!$A$1:$B$11,2,FALSE),"")</f>
        <v>8</v>
      </c>
      <c r="K782" s="63" t="s">
        <v>800</v>
      </c>
      <c r="L782" s="63" t="s">
        <v>692</v>
      </c>
    </row>
    <row r="783" spans="1:12" ht="30" customHeight="1">
      <c r="A783" s="172" t="str">
        <f t="shared" si="24"/>
        <v>26/10/20233</v>
      </c>
      <c r="B783" s="166">
        <f t="shared" si="25"/>
        <v>3</v>
      </c>
      <c r="C783" s="325" t="s">
        <v>2901</v>
      </c>
      <c r="D783" s="64" t="s">
        <v>2854</v>
      </c>
      <c r="E783" s="63">
        <v>1</v>
      </c>
      <c r="F783" s="63" t="s">
        <v>1433</v>
      </c>
      <c r="G783" s="65">
        <v>45225</v>
      </c>
      <c r="H783" s="65" t="s">
        <v>749</v>
      </c>
      <c r="I783" s="65" t="s">
        <v>1221</v>
      </c>
      <c r="J783" s="63">
        <f>IFERROR(VLOOKUP(I783,Jueces!$A$1:$B$11,2,FALSE),"")</f>
        <v>6</v>
      </c>
      <c r="K783" s="63" t="s">
        <v>569</v>
      </c>
      <c r="L783" s="63" t="s">
        <v>1084</v>
      </c>
    </row>
    <row r="784" spans="1:12" ht="30" customHeight="1">
      <c r="A784" s="172" t="str">
        <f t="shared" si="24"/>
        <v>26/10/20234</v>
      </c>
      <c r="B784" s="166">
        <f t="shared" si="25"/>
        <v>4</v>
      </c>
      <c r="C784" s="63" t="s">
        <v>3276</v>
      </c>
      <c r="D784" s="64" t="s">
        <v>3302</v>
      </c>
      <c r="E784" s="63">
        <v>2</v>
      </c>
      <c r="F784" s="63" t="s">
        <v>3323</v>
      </c>
      <c r="G784" s="65">
        <v>45225</v>
      </c>
      <c r="H784" s="65" t="s">
        <v>1083</v>
      </c>
      <c r="I784" s="65" t="s">
        <v>33</v>
      </c>
      <c r="J784" s="63">
        <f>IFERROR(VLOOKUP(I784,Jueces!$A$1:$B$11,2,FALSE),"")</f>
        <v>4</v>
      </c>
      <c r="K784" s="63" t="s">
        <v>809</v>
      </c>
      <c r="L784" s="63" t="s">
        <v>692</v>
      </c>
    </row>
    <row r="785" spans="1:12" ht="30" customHeight="1">
      <c r="A785" s="172" t="str">
        <f t="shared" si="24"/>
        <v>26/10/20235</v>
      </c>
      <c r="B785" s="166">
        <f t="shared" si="25"/>
        <v>5</v>
      </c>
      <c r="C785" s="325" t="s">
        <v>3382</v>
      </c>
      <c r="D785" s="64" t="s">
        <v>3383</v>
      </c>
      <c r="E785" s="63">
        <v>5</v>
      </c>
      <c r="F785" s="63" t="s">
        <v>2752</v>
      </c>
      <c r="G785" s="65">
        <v>45225</v>
      </c>
      <c r="H785" s="65" t="s">
        <v>1083</v>
      </c>
      <c r="I785" s="65" t="s">
        <v>78</v>
      </c>
      <c r="J785" s="63">
        <f>IFERROR(VLOOKUP(I785,Jueces!$A$1:$B$11,2,FALSE),"")</f>
        <v>8</v>
      </c>
      <c r="K785" s="63" t="s">
        <v>582</v>
      </c>
      <c r="L785" s="63" t="s">
        <v>3384</v>
      </c>
    </row>
    <row r="786" spans="1:12" ht="30" customHeight="1">
      <c r="A786" s="172" t="str">
        <f t="shared" si="24"/>
        <v>26/10/20236</v>
      </c>
      <c r="B786" s="166">
        <f t="shared" si="25"/>
        <v>6</v>
      </c>
      <c r="C786" s="325" t="s">
        <v>3331</v>
      </c>
      <c r="D786" s="64" t="s">
        <v>3338</v>
      </c>
      <c r="E786" s="63">
        <v>1</v>
      </c>
      <c r="F786" s="63" t="s">
        <v>1434</v>
      </c>
      <c r="G786" s="65">
        <v>45225</v>
      </c>
      <c r="H786" s="65" t="s">
        <v>228</v>
      </c>
      <c r="I786" s="65" t="s">
        <v>31</v>
      </c>
      <c r="J786" s="63">
        <f>IFERROR(VLOOKUP(I786,Jueces!$A$1:$B$11,2,FALSE),"")</f>
        <v>2</v>
      </c>
      <c r="K786" s="63" t="s">
        <v>582</v>
      </c>
      <c r="L786" s="63" t="s">
        <v>783</v>
      </c>
    </row>
    <row r="787" spans="1:12" ht="30" customHeight="1">
      <c r="A787" s="172" t="str">
        <f t="shared" si="24"/>
        <v>27/10/20231</v>
      </c>
      <c r="B787" s="166">
        <f t="shared" si="25"/>
        <v>1</v>
      </c>
      <c r="C787" s="63" t="s">
        <v>3336</v>
      </c>
      <c r="D787" s="64" t="s">
        <v>3337</v>
      </c>
      <c r="E787" s="63">
        <v>1</v>
      </c>
      <c r="F787" s="63" t="s">
        <v>1435</v>
      </c>
      <c r="G787" s="65">
        <v>45226</v>
      </c>
      <c r="H787" s="65" t="s">
        <v>73</v>
      </c>
      <c r="I787" s="65" t="s">
        <v>2922</v>
      </c>
      <c r="J787" s="63" t="s">
        <v>1916</v>
      </c>
      <c r="K787" s="63" t="s">
        <v>792</v>
      </c>
      <c r="L787" s="63" t="s">
        <v>692</v>
      </c>
    </row>
    <row r="788" spans="1:12" ht="30" customHeight="1">
      <c r="A788" s="172" t="str">
        <f t="shared" si="24"/>
        <v>27/10/20232</v>
      </c>
      <c r="B788" s="166">
        <f t="shared" si="25"/>
        <v>2</v>
      </c>
      <c r="C788" s="63" t="s">
        <v>3330</v>
      </c>
      <c r="D788" s="64" t="s">
        <v>3332</v>
      </c>
      <c r="E788" s="63">
        <v>1</v>
      </c>
      <c r="F788" s="63" t="s">
        <v>1433</v>
      </c>
      <c r="G788" s="65">
        <v>45226</v>
      </c>
      <c r="H788" s="65" t="s">
        <v>749</v>
      </c>
      <c r="I788" s="65" t="s">
        <v>2925</v>
      </c>
      <c r="J788" s="63" t="s">
        <v>2375</v>
      </c>
      <c r="K788" s="63" t="s">
        <v>582</v>
      </c>
      <c r="L788" s="63" t="s">
        <v>783</v>
      </c>
    </row>
    <row r="789" spans="1:12" ht="30" customHeight="1">
      <c r="A789" s="172" t="str">
        <f t="shared" si="24"/>
        <v>27/10/20233</v>
      </c>
      <c r="B789" s="166">
        <f t="shared" si="25"/>
        <v>3</v>
      </c>
      <c r="C789" s="63" t="s">
        <v>3279</v>
      </c>
      <c r="D789" s="64" t="s">
        <v>1192</v>
      </c>
      <c r="E789" s="63">
        <v>2</v>
      </c>
      <c r="F789" s="63" t="s">
        <v>3323</v>
      </c>
      <c r="G789" s="65">
        <v>45226</v>
      </c>
      <c r="H789" s="65" t="s">
        <v>1083</v>
      </c>
      <c r="I789" s="65" t="s">
        <v>78</v>
      </c>
      <c r="J789" s="63">
        <v>8</v>
      </c>
      <c r="K789" s="63" t="s">
        <v>800</v>
      </c>
      <c r="L789" s="63" t="s">
        <v>692</v>
      </c>
    </row>
    <row r="790" spans="1:12" ht="30" customHeight="1">
      <c r="A790" s="172" t="str">
        <f t="shared" si="24"/>
        <v>27/10/20234</v>
      </c>
      <c r="B790" s="166">
        <f t="shared" si="25"/>
        <v>4</v>
      </c>
      <c r="C790" s="63" t="s">
        <v>3290</v>
      </c>
      <c r="D790" s="64" t="s">
        <v>3291</v>
      </c>
      <c r="E790" s="63">
        <v>1</v>
      </c>
      <c r="F790" s="63" t="s">
        <v>283</v>
      </c>
      <c r="G790" s="65">
        <v>45226</v>
      </c>
      <c r="H790" s="65" t="s">
        <v>1083</v>
      </c>
      <c r="I790" s="65" t="s">
        <v>1217</v>
      </c>
      <c r="J790" s="63" t="s">
        <v>1916</v>
      </c>
      <c r="K790" s="63" t="s">
        <v>508</v>
      </c>
      <c r="L790" s="63" t="s">
        <v>711</v>
      </c>
    </row>
    <row r="791" spans="1:12" ht="30" customHeight="1">
      <c r="A791" s="172" t="str">
        <f t="shared" si="24"/>
        <v>27/10/20235</v>
      </c>
      <c r="B791" s="166">
        <f t="shared" si="25"/>
        <v>5</v>
      </c>
      <c r="C791" s="63" t="s">
        <v>3341</v>
      </c>
      <c r="D791" s="64" t="s">
        <v>3342</v>
      </c>
      <c r="E791" s="63">
        <v>1</v>
      </c>
      <c r="F791" s="63" t="s">
        <v>568</v>
      </c>
      <c r="G791" s="65">
        <v>45226</v>
      </c>
      <c r="H791" s="65" t="s">
        <v>1083</v>
      </c>
      <c r="I791" s="65" t="s">
        <v>31</v>
      </c>
      <c r="J791" s="63">
        <f>IFERROR(VLOOKUP(I791,Jueces!$A$1:$B$11,2,FALSE),"")</f>
        <v>2</v>
      </c>
      <c r="K791" s="63" t="s">
        <v>582</v>
      </c>
      <c r="L791" s="63" t="s">
        <v>712</v>
      </c>
    </row>
    <row r="792" spans="1:12" ht="30" customHeight="1">
      <c r="A792" s="172" t="str">
        <f t="shared" si="24"/>
        <v>27/10/20236</v>
      </c>
      <c r="B792" s="166">
        <f t="shared" si="25"/>
        <v>6</v>
      </c>
      <c r="C792" s="63" t="s">
        <v>3352</v>
      </c>
      <c r="D792" s="64" t="s">
        <v>3354</v>
      </c>
      <c r="E792" s="63">
        <v>1</v>
      </c>
      <c r="F792" s="63" t="s">
        <v>1434</v>
      </c>
      <c r="G792" s="65">
        <v>45226</v>
      </c>
      <c r="H792" s="65" t="s">
        <v>1206</v>
      </c>
      <c r="I792" s="65" t="s">
        <v>33</v>
      </c>
      <c r="J792" s="63">
        <f>IFERROR(VLOOKUP(I792,Jueces!$A$1:$B$11,2,FALSE),"")</f>
        <v>4</v>
      </c>
      <c r="K792" s="63" t="s">
        <v>810</v>
      </c>
      <c r="L792" s="63" t="s">
        <v>1175</v>
      </c>
    </row>
    <row r="793" spans="1:12" ht="30" customHeight="1">
      <c r="A793" s="172" t="str">
        <f t="shared" si="24"/>
        <v>27/10/20237</v>
      </c>
      <c r="B793" s="166">
        <f t="shared" si="25"/>
        <v>7</v>
      </c>
      <c r="C793" s="63" t="s">
        <v>3530</v>
      </c>
      <c r="D793" s="64" t="s">
        <v>3532</v>
      </c>
      <c r="E793" s="63">
        <v>2</v>
      </c>
      <c r="F793" s="63" t="s">
        <v>2752</v>
      </c>
      <c r="G793" s="65">
        <v>45226</v>
      </c>
      <c r="H793" s="65" t="s">
        <v>75</v>
      </c>
      <c r="I793" s="65" t="s">
        <v>31</v>
      </c>
      <c r="J793" s="63">
        <f>IFERROR(VLOOKUP(I793,Jueces!$A$1:$B$11,2,FALSE),"")</f>
        <v>2</v>
      </c>
      <c r="K793" s="63" t="s">
        <v>811</v>
      </c>
      <c r="L793" s="63" t="s">
        <v>692</v>
      </c>
    </row>
    <row r="794" spans="1:12" ht="30" customHeight="1">
      <c r="A794" s="172" t="str">
        <f t="shared" si="24"/>
        <v>27/10/20238</v>
      </c>
      <c r="B794" s="166">
        <f t="shared" si="25"/>
        <v>8</v>
      </c>
      <c r="C794" s="63" t="s">
        <v>3373</v>
      </c>
      <c r="D794" s="64" t="s">
        <v>3374</v>
      </c>
      <c r="E794" s="63">
        <v>1</v>
      </c>
      <c r="F794" s="63" t="s">
        <v>3324</v>
      </c>
      <c r="G794" s="65">
        <v>45226</v>
      </c>
      <c r="H794" s="65" t="s">
        <v>547</v>
      </c>
      <c r="I794" s="65" t="s">
        <v>1216</v>
      </c>
      <c r="J794" s="63" t="s">
        <v>1916</v>
      </c>
      <c r="K794" s="63" t="s">
        <v>810</v>
      </c>
      <c r="L794" s="63" t="s">
        <v>712</v>
      </c>
    </row>
    <row r="795" spans="1:12" ht="30" customHeight="1">
      <c r="A795" s="172" t="str">
        <f t="shared" si="24"/>
        <v>30/10/20231</v>
      </c>
      <c r="B795" s="166">
        <f t="shared" si="25"/>
        <v>1</v>
      </c>
      <c r="C795" s="63" t="s">
        <v>3303</v>
      </c>
      <c r="D795" s="64" t="s">
        <v>3278</v>
      </c>
      <c r="E795" s="63">
        <v>2</v>
      </c>
      <c r="F795" s="63" t="s">
        <v>3323</v>
      </c>
      <c r="G795" s="65">
        <v>45229</v>
      </c>
      <c r="H795" s="65" t="s">
        <v>73</v>
      </c>
      <c r="I795" s="65" t="s">
        <v>78</v>
      </c>
      <c r="J795" s="63">
        <f>IFERROR(VLOOKUP(I795,Jueces!$A$1:$B$11,2,FALSE),"")</f>
        <v>8</v>
      </c>
      <c r="K795" s="63" t="s">
        <v>808</v>
      </c>
      <c r="L795" s="398" t="s">
        <v>1408</v>
      </c>
    </row>
    <row r="796" spans="1:12" ht="30" customHeight="1">
      <c r="A796" s="172" t="str">
        <f t="shared" si="24"/>
        <v>30/10/20232</v>
      </c>
      <c r="B796" s="166">
        <f t="shared" si="25"/>
        <v>2</v>
      </c>
      <c r="C796" s="325" t="s">
        <v>3333</v>
      </c>
      <c r="D796" s="64" t="s">
        <v>3334</v>
      </c>
      <c r="E796" s="63">
        <v>4</v>
      </c>
      <c r="F796" s="63" t="s">
        <v>283</v>
      </c>
      <c r="G796" s="65">
        <v>45229</v>
      </c>
      <c r="H796" s="65" t="s">
        <v>73</v>
      </c>
      <c r="I796" s="65" t="s">
        <v>2925</v>
      </c>
      <c r="J796" s="63" t="s">
        <v>1916</v>
      </c>
      <c r="K796" s="63" t="s">
        <v>810</v>
      </c>
      <c r="L796" s="63" t="s">
        <v>1956</v>
      </c>
    </row>
    <row r="797" spans="1:12" ht="30" customHeight="1">
      <c r="A797" s="172" t="str">
        <f t="shared" si="24"/>
        <v>30/10/20233</v>
      </c>
      <c r="B797" s="166">
        <f t="shared" si="25"/>
        <v>3</v>
      </c>
      <c r="C797" s="63" t="s">
        <v>3345</v>
      </c>
      <c r="D797" s="64" t="s">
        <v>3346</v>
      </c>
      <c r="E797" s="63">
        <v>1</v>
      </c>
      <c r="F797" s="63" t="s">
        <v>1435</v>
      </c>
      <c r="G797" s="65">
        <v>45229</v>
      </c>
      <c r="H797" s="65" t="s">
        <v>73</v>
      </c>
      <c r="I797" s="65" t="s">
        <v>2922</v>
      </c>
      <c r="J797" s="63" t="s">
        <v>1341</v>
      </c>
      <c r="K797" s="63" t="s">
        <v>811</v>
      </c>
      <c r="L797" s="63" t="s">
        <v>711</v>
      </c>
    </row>
    <row r="798" spans="1:12" ht="30" customHeight="1">
      <c r="A798" s="172" t="str">
        <f t="shared" si="24"/>
        <v>30/10/20234</v>
      </c>
      <c r="B798" s="166">
        <f t="shared" si="25"/>
        <v>4</v>
      </c>
      <c r="C798" s="63" t="s">
        <v>3475</v>
      </c>
      <c r="D798" s="64" t="s">
        <v>3477</v>
      </c>
      <c r="E798" s="63">
        <v>2</v>
      </c>
      <c r="F798" s="63" t="s">
        <v>1434</v>
      </c>
      <c r="G798" s="65">
        <v>45229</v>
      </c>
      <c r="H798" s="65" t="s">
        <v>73</v>
      </c>
      <c r="I798" s="65" t="s">
        <v>31</v>
      </c>
      <c r="J798" s="63">
        <f>IFERROR(VLOOKUP(I798,Jueces!$A$1:$B$11,2,FALSE),"")</f>
        <v>2</v>
      </c>
      <c r="K798" s="63" t="s">
        <v>3638</v>
      </c>
      <c r="L798" s="63" t="s">
        <v>692</v>
      </c>
    </row>
    <row r="799" spans="1:12" ht="30" customHeight="1">
      <c r="A799" s="172" t="str">
        <f t="shared" si="24"/>
        <v>30/10/20235</v>
      </c>
      <c r="B799" s="166">
        <f t="shared" si="25"/>
        <v>5</v>
      </c>
      <c r="C799" s="63" t="s">
        <v>3284</v>
      </c>
      <c r="D799" s="64" t="s">
        <v>3285</v>
      </c>
      <c r="E799" s="63">
        <v>7</v>
      </c>
      <c r="F799" s="63" t="s">
        <v>1433</v>
      </c>
      <c r="G799" s="65">
        <v>45229</v>
      </c>
      <c r="H799" s="65" t="s">
        <v>749</v>
      </c>
      <c r="I799" s="65" t="s">
        <v>1221</v>
      </c>
      <c r="J799" s="63">
        <f>IFERROR(VLOOKUP(I799,Jueces!$A$1:$B$11,2,FALSE),"")</f>
        <v>6</v>
      </c>
      <c r="K799" s="63" t="s">
        <v>2715</v>
      </c>
      <c r="L799" s="63" t="s">
        <v>1175</v>
      </c>
    </row>
    <row r="800" spans="1:12" ht="30" customHeight="1">
      <c r="A800" s="172" t="str">
        <f t="shared" si="24"/>
        <v>30/10/20236</v>
      </c>
      <c r="B800" s="166">
        <f t="shared" si="25"/>
        <v>6</v>
      </c>
      <c r="C800" s="63" t="s">
        <v>3238</v>
      </c>
      <c r="D800" s="64" t="s">
        <v>3289</v>
      </c>
      <c r="E800" s="63">
        <v>6</v>
      </c>
      <c r="F800" s="63" t="s">
        <v>2766</v>
      </c>
      <c r="G800" s="65">
        <v>45229</v>
      </c>
      <c r="H800" s="65" t="s">
        <v>1083</v>
      </c>
      <c r="I800" s="65" t="s">
        <v>31</v>
      </c>
      <c r="J800" s="63">
        <f>IFERROR(VLOOKUP(I800,Jueces!$A$1:$B$11,2,FALSE),"")</f>
        <v>2</v>
      </c>
      <c r="K800" s="63" t="s">
        <v>799</v>
      </c>
      <c r="L800" s="63" t="s">
        <v>712</v>
      </c>
    </row>
    <row r="801" spans="1:12" ht="30" customHeight="1">
      <c r="A801" s="172" t="str">
        <f t="shared" si="24"/>
        <v>30/10/20237</v>
      </c>
      <c r="B801" s="166">
        <f t="shared" si="25"/>
        <v>7</v>
      </c>
      <c r="C801" s="325" t="s">
        <v>3266</v>
      </c>
      <c r="D801" s="64" t="s">
        <v>3298</v>
      </c>
      <c r="E801" s="63">
        <v>2</v>
      </c>
      <c r="F801" s="63" t="s">
        <v>568</v>
      </c>
      <c r="G801" s="65">
        <v>45229</v>
      </c>
      <c r="H801" s="65" t="s">
        <v>1083</v>
      </c>
      <c r="I801" s="65" t="s">
        <v>1723</v>
      </c>
      <c r="J801" s="63" t="s">
        <v>1916</v>
      </c>
      <c r="K801" s="63" t="s">
        <v>806</v>
      </c>
      <c r="L801" s="63" t="s">
        <v>692</v>
      </c>
    </row>
    <row r="802" spans="1:12" ht="30" customHeight="1">
      <c r="A802" s="172" t="str">
        <f t="shared" si="24"/>
        <v>30/10/20238</v>
      </c>
      <c r="B802" s="166">
        <f t="shared" si="25"/>
        <v>8</v>
      </c>
      <c r="C802" s="63" t="s">
        <v>3411</v>
      </c>
      <c r="D802" s="64" t="s">
        <v>3412</v>
      </c>
      <c r="E802" s="63">
        <v>2</v>
      </c>
      <c r="F802" s="63" t="s">
        <v>2752</v>
      </c>
      <c r="G802" s="65">
        <v>45229</v>
      </c>
      <c r="H802" s="65" t="s">
        <v>1083</v>
      </c>
      <c r="I802" s="65" t="s">
        <v>33</v>
      </c>
      <c r="J802" s="63">
        <f>IFERROR(VLOOKUP(I802,Jueces!$A$1:$B$11,2,FALSE),"")</f>
        <v>4</v>
      </c>
      <c r="K802" s="63" t="s">
        <v>791</v>
      </c>
      <c r="L802" s="63" t="s">
        <v>1285</v>
      </c>
    </row>
    <row r="803" spans="1:12" ht="30" customHeight="1">
      <c r="A803" s="172" t="str">
        <f t="shared" si="24"/>
        <v>30/10/20239</v>
      </c>
      <c r="B803" s="166">
        <f t="shared" si="25"/>
        <v>9</v>
      </c>
      <c r="C803" s="63" t="s">
        <v>3193</v>
      </c>
      <c r="D803" s="64" t="s">
        <v>3194</v>
      </c>
      <c r="E803" s="63">
        <v>1</v>
      </c>
      <c r="F803" s="63" t="s">
        <v>2766</v>
      </c>
      <c r="G803" s="65">
        <v>45229</v>
      </c>
      <c r="H803" s="65" t="s">
        <v>76</v>
      </c>
      <c r="I803" s="65" t="s">
        <v>1217</v>
      </c>
      <c r="J803" s="63" t="s">
        <v>2324</v>
      </c>
      <c r="K803" s="63" t="s">
        <v>810</v>
      </c>
      <c r="L803" s="63" t="s">
        <v>1175</v>
      </c>
    </row>
    <row r="804" spans="1:12" ht="30" customHeight="1">
      <c r="A804" s="172" t="str">
        <f t="shared" si="24"/>
        <v>30/10/202310</v>
      </c>
      <c r="B804" s="166">
        <f t="shared" si="25"/>
        <v>10</v>
      </c>
      <c r="C804" s="63" t="s">
        <v>2995</v>
      </c>
      <c r="D804" s="64" t="s">
        <v>3089</v>
      </c>
      <c r="E804" s="63">
        <v>1</v>
      </c>
      <c r="F804" s="63" t="s">
        <v>2815</v>
      </c>
      <c r="G804" s="65">
        <v>45229</v>
      </c>
      <c r="H804" s="65" t="s">
        <v>77</v>
      </c>
      <c r="I804" s="65" t="s">
        <v>33</v>
      </c>
      <c r="J804" s="63">
        <f>IFERROR(VLOOKUP(I804,Jueces!$A$1:$B$11,2,FALSE),"")</f>
        <v>4</v>
      </c>
      <c r="K804" s="63" t="s">
        <v>809</v>
      </c>
      <c r="L804" s="63" t="s">
        <v>1175</v>
      </c>
    </row>
    <row r="805" spans="1:12" ht="30" customHeight="1">
      <c r="A805" s="172" t="str">
        <f t="shared" si="24"/>
        <v>31/10/20231</v>
      </c>
      <c r="B805" s="166">
        <f t="shared" si="25"/>
        <v>1</v>
      </c>
      <c r="C805" s="325" t="s">
        <v>2875</v>
      </c>
      <c r="D805" s="64" t="s">
        <v>2876</v>
      </c>
      <c r="E805" s="63">
        <v>1</v>
      </c>
      <c r="F805" s="63" t="s">
        <v>2752</v>
      </c>
      <c r="G805" s="65">
        <v>45230</v>
      </c>
      <c r="H805" s="65" t="s">
        <v>73</v>
      </c>
      <c r="I805" s="65" t="s">
        <v>33</v>
      </c>
      <c r="J805" s="63">
        <f>IFERROR(VLOOKUP(I805,Jueces!$A$1:$B$11,2,FALSE),"")</f>
        <v>4</v>
      </c>
      <c r="K805" s="63" t="s">
        <v>802</v>
      </c>
      <c r="L805" s="63" t="s">
        <v>1378</v>
      </c>
    </row>
    <row r="806" spans="1:12" ht="30" customHeight="1">
      <c r="A806" s="172" t="str">
        <f t="shared" si="24"/>
        <v>31/10/20232</v>
      </c>
      <c r="B806" s="166">
        <f t="shared" si="25"/>
        <v>2</v>
      </c>
      <c r="C806" s="63" t="s">
        <v>3347</v>
      </c>
      <c r="D806" s="64" t="s">
        <v>3348</v>
      </c>
      <c r="E806" s="63">
        <v>1</v>
      </c>
      <c r="F806" s="63" t="s">
        <v>3324</v>
      </c>
      <c r="G806" s="65">
        <v>45230</v>
      </c>
      <c r="H806" s="65" t="s">
        <v>73</v>
      </c>
      <c r="I806" s="65" t="s">
        <v>2922</v>
      </c>
      <c r="J806" s="63" t="s">
        <v>1916</v>
      </c>
      <c r="K806" s="63" t="s">
        <v>2412</v>
      </c>
      <c r="L806" s="63" t="s">
        <v>3349</v>
      </c>
    </row>
    <row r="807" spans="1:12" ht="30" customHeight="1">
      <c r="A807" s="172" t="str">
        <f t="shared" si="24"/>
        <v>31/10/20233</v>
      </c>
      <c r="B807" s="166">
        <f t="shared" si="25"/>
        <v>3</v>
      </c>
      <c r="C807" s="325" t="s">
        <v>3370</v>
      </c>
      <c r="D807" s="64" t="s">
        <v>3655</v>
      </c>
      <c r="E807" s="63">
        <v>2</v>
      </c>
      <c r="F807" s="63" t="s">
        <v>2815</v>
      </c>
      <c r="G807" s="65">
        <v>45230</v>
      </c>
      <c r="H807" s="65" t="s">
        <v>73</v>
      </c>
      <c r="I807" s="65" t="s">
        <v>31</v>
      </c>
      <c r="J807" s="63">
        <v>2</v>
      </c>
      <c r="K807" s="63" t="s">
        <v>797</v>
      </c>
      <c r="L807" s="63" t="s">
        <v>711</v>
      </c>
    </row>
    <row r="808" spans="1:12" ht="30" customHeight="1">
      <c r="A808" s="172" t="str">
        <f t="shared" si="24"/>
        <v>31/10/20234</v>
      </c>
      <c r="B808" s="166">
        <f t="shared" si="25"/>
        <v>4</v>
      </c>
      <c r="C808" s="63" t="s">
        <v>3395</v>
      </c>
      <c r="D808" s="64" t="s">
        <v>3396</v>
      </c>
      <c r="E808" s="63">
        <v>2</v>
      </c>
      <c r="F808" s="63" t="s">
        <v>2766</v>
      </c>
      <c r="G808" s="65">
        <v>45230</v>
      </c>
      <c r="H808" s="65" t="s">
        <v>73</v>
      </c>
      <c r="I808" s="65" t="s">
        <v>78</v>
      </c>
      <c r="J808" s="63">
        <f>IFERROR(VLOOKUP(I808,Jueces!$A$1:$B$11,2,FALSE),"")</f>
        <v>8</v>
      </c>
      <c r="K808" s="63" t="s">
        <v>791</v>
      </c>
      <c r="L808" s="63" t="s">
        <v>692</v>
      </c>
    </row>
    <row r="809" spans="1:12" ht="30" customHeight="1">
      <c r="A809" s="172" t="str">
        <f t="shared" si="24"/>
        <v>31/10/20235</v>
      </c>
      <c r="B809" s="166">
        <f t="shared" si="25"/>
        <v>5</v>
      </c>
      <c r="C809" s="63" t="s">
        <v>3267</v>
      </c>
      <c r="D809" s="64" t="s">
        <v>3405</v>
      </c>
      <c r="E809" s="63">
        <v>1</v>
      </c>
      <c r="F809" s="63" t="s">
        <v>1434</v>
      </c>
      <c r="G809" s="65">
        <v>45230</v>
      </c>
      <c r="H809" s="65" t="s">
        <v>1083</v>
      </c>
      <c r="I809" s="65" t="s">
        <v>78</v>
      </c>
      <c r="J809" s="63">
        <f>IFERROR(VLOOKUP(I809,Jueces!$A$1:$B$11,2,FALSE),"")</f>
        <v>8</v>
      </c>
      <c r="K809" s="63" t="s">
        <v>809</v>
      </c>
      <c r="L809" s="63" t="s">
        <v>1175</v>
      </c>
    </row>
    <row r="810" spans="1:12" ht="30" customHeight="1">
      <c r="A810" s="172" t="str">
        <f t="shared" si="24"/>
        <v>31/10/20236</v>
      </c>
      <c r="B810" s="166">
        <f t="shared" si="25"/>
        <v>6</v>
      </c>
      <c r="C810" s="63" t="s">
        <v>3413</v>
      </c>
      <c r="D810" s="64" t="s">
        <v>3654</v>
      </c>
      <c r="E810" s="63">
        <v>2</v>
      </c>
      <c r="F810" s="63" t="s">
        <v>3323</v>
      </c>
      <c r="G810" s="65">
        <v>45230</v>
      </c>
      <c r="H810" s="65" t="s">
        <v>1083</v>
      </c>
      <c r="I810" s="65" t="s">
        <v>1216</v>
      </c>
      <c r="J810" s="63">
        <f>IFERROR(VLOOKUP(I810,Jueces!$A$1:$B$11,2,FALSE),"")</f>
        <v>1</v>
      </c>
      <c r="K810" s="63" t="s">
        <v>797</v>
      </c>
      <c r="L810" s="63" t="s">
        <v>692</v>
      </c>
    </row>
    <row r="811" spans="1:12" ht="30" customHeight="1">
      <c r="A811" s="172" t="str">
        <f t="shared" si="24"/>
        <v>31/10/20237</v>
      </c>
      <c r="B811" s="166">
        <f t="shared" si="25"/>
        <v>7</v>
      </c>
      <c r="C811" s="63" t="s">
        <v>3124</v>
      </c>
      <c r="D811" s="64" t="s">
        <v>3125</v>
      </c>
      <c r="E811" s="63">
        <v>8</v>
      </c>
      <c r="F811" s="63" t="s">
        <v>1433</v>
      </c>
      <c r="G811" s="65">
        <v>45230</v>
      </c>
      <c r="H811" s="65" t="s">
        <v>1083</v>
      </c>
      <c r="I811" s="65" t="s">
        <v>31</v>
      </c>
      <c r="J811" s="63">
        <v>2</v>
      </c>
      <c r="K811" s="63" t="s">
        <v>2988</v>
      </c>
      <c r="L811" s="63" t="s">
        <v>711</v>
      </c>
    </row>
    <row r="812" spans="1:12" ht="30" customHeight="1">
      <c r="A812" s="172" t="str">
        <f t="shared" si="24"/>
        <v>31/10/20238</v>
      </c>
      <c r="B812" s="166">
        <f t="shared" si="25"/>
        <v>8</v>
      </c>
      <c r="C812" s="63" t="s">
        <v>3422</v>
      </c>
      <c r="D812" s="64" t="s">
        <v>3423</v>
      </c>
      <c r="E812" s="63">
        <v>1</v>
      </c>
      <c r="F812" s="63" t="s">
        <v>2815</v>
      </c>
      <c r="G812" s="65">
        <v>45230</v>
      </c>
      <c r="H812" s="65" t="s">
        <v>1206</v>
      </c>
      <c r="I812" s="65" t="s">
        <v>31</v>
      </c>
      <c r="J812" s="63" t="s">
        <v>1512</v>
      </c>
      <c r="K812" s="63" t="s">
        <v>807</v>
      </c>
      <c r="L812" s="63" t="s">
        <v>712</v>
      </c>
    </row>
    <row r="813" spans="1:12" ht="30" customHeight="1">
      <c r="A813" s="172" t="str">
        <f t="shared" si="24"/>
        <v>31/10/20239</v>
      </c>
      <c r="B813" s="166">
        <f t="shared" si="25"/>
        <v>9</v>
      </c>
      <c r="C813" s="63" t="s">
        <v>3451</v>
      </c>
      <c r="D813" s="64" t="s">
        <v>3452</v>
      </c>
      <c r="E813" s="63">
        <v>3</v>
      </c>
      <c r="F813" s="63" t="s">
        <v>568</v>
      </c>
      <c r="G813" s="65">
        <v>45230</v>
      </c>
      <c r="H813" s="65" t="s">
        <v>1206</v>
      </c>
      <c r="I813" s="65" t="s">
        <v>1216</v>
      </c>
      <c r="J813" s="63">
        <f>IFERROR(VLOOKUP(I813,Jueces!$A$1:$B$11,2,FALSE),"")</f>
        <v>1</v>
      </c>
      <c r="K813" s="63" t="s">
        <v>810</v>
      </c>
      <c r="L813" s="63" t="s">
        <v>694</v>
      </c>
    </row>
    <row r="814" spans="1:12" ht="30" customHeight="1">
      <c r="A814" s="172" t="str">
        <f t="shared" si="24"/>
        <v>01/11/20231</v>
      </c>
      <c r="B814" s="166">
        <f t="shared" si="25"/>
        <v>1</v>
      </c>
      <c r="C814" s="63" t="s">
        <v>2942</v>
      </c>
      <c r="D814" s="64" t="s">
        <v>3136</v>
      </c>
      <c r="E814" s="63">
        <v>6</v>
      </c>
      <c r="F814" s="63" t="s">
        <v>2753</v>
      </c>
      <c r="G814" s="65">
        <v>45231</v>
      </c>
      <c r="H814" s="65" t="s">
        <v>73</v>
      </c>
      <c r="I814" s="65" t="s">
        <v>1723</v>
      </c>
      <c r="J814" s="63" t="s">
        <v>1916</v>
      </c>
      <c r="K814" s="63" t="s">
        <v>791</v>
      </c>
      <c r="L814" s="63" t="s">
        <v>694</v>
      </c>
    </row>
    <row r="815" spans="1:12" ht="30" customHeight="1">
      <c r="A815" s="172" t="str">
        <f t="shared" si="24"/>
        <v>01/11/20232</v>
      </c>
      <c r="B815" s="166">
        <f t="shared" si="25"/>
        <v>2</v>
      </c>
      <c r="C815" s="63" t="s">
        <v>3397</v>
      </c>
      <c r="D815" s="64" t="s">
        <v>3398</v>
      </c>
      <c r="E815" s="63">
        <v>2</v>
      </c>
      <c r="F815" s="63" t="s">
        <v>1434</v>
      </c>
      <c r="G815" s="65">
        <v>45231</v>
      </c>
      <c r="H815" s="65" t="s">
        <v>73</v>
      </c>
      <c r="I815" s="65" t="s">
        <v>78</v>
      </c>
      <c r="J815" s="63">
        <f>IFERROR(VLOOKUP(I815,Jueces!$A$1:$B$11,2,FALSE),"")</f>
        <v>8</v>
      </c>
      <c r="K815" s="63" t="s">
        <v>805</v>
      </c>
      <c r="L815" s="63" t="s">
        <v>1285</v>
      </c>
    </row>
    <row r="816" spans="1:12" ht="30" customHeight="1">
      <c r="A816" s="172" t="str">
        <f t="shared" si="24"/>
        <v>01/11/20233</v>
      </c>
      <c r="B816" s="166">
        <f t="shared" si="25"/>
        <v>3</v>
      </c>
      <c r="C816" s="63" t="s">
        <v>3403</v>
      </c>
      <c r="D816" s="64" t="s">
        <v>3404</v>
      </c>
      <c r="E816" s="63">
        <v>1</v>
      </c>
      <c r="F816" s="63" t="s">
        <v>568</v>
      </c>
      <c r="G816" s="65">
        <v>45231</v>
      </c>
      <c r="H816" s="65" t="s">
        <v>73</v>
      </c>
      <c r="I816" s="65" t="s">
        <v>31</v>
      </c>
      <c r="J816" s="63" t="s">
        <v>1512</v>
      </c>
      <c r="K816" s="63" t="s">
        <v>2092</v>
      </c>
      <c r="L816" s="63" t="s">
        <v>711</v>
      </c>
    </row>
    <row r="817" spans="1:12" ht="30" customHeight="1">
      <c r="A817" s="172" t="str">
        <f t="shared" si="24"/>
        <v>01/11/20234</v>
      </c>
      <c r="B817" s="166">
        <f t="shared" si="25"/>
        <v>4</v>
      </c>
      <c r="C817" s="63" t="s">
        <v>3503</v>
      </c>
      <c r="D817" s="64" t="s">
        <v>3504</v>
      </c>
      <c r="E817" s="63">
        <v>2</v>
      </c>
      <c r="F817" s="63" t="s">
        <v>2766</v>
      </c>
      <c r="G817" s="65">
        <v>45231</v>
      </c>
      <c r="H817" s="65" t="s">
        <v>73</v>
      </c>
      <c r="I817" s="65" t="s">
        <v>35</v>
      </c>
      <c r="J817" s="63">
        <f>IFERROR(VLOOKUP(I817,Jueces!$A$1:$B$11,2,FALSE),"")</f>
        <v>3</v>
      </c>
      <c r="K817" s="63" t="s">
        <v>807</v>
      </c>
      <c r="L817" s="63" t="s">
        <v>693</v>
      </c>
    </row>
    <row r="818" spans="1:12" ht="30" customHeight="1">
      <c r="A818" s="172" t="str">
        <f t="shared" si="24"/>
        <v>01/11/20235</v>
      </c>
      <c r="B818" s="166">
        <f t="shared" si="25"/>
        <v>5</v>
      </c>
      <c r="C818" s="63" t="s">
        <v>3328</v>
      </c>
      <c r="D818" s="64" t="s">
        <v>3329</v>
      </c>
      <c r="E818" s="63">
        <v>1</v>
      </c>
      <c r="F818" s="63" t="s">
        <v>3323</v>
      </c>
      <c r="G818" s="65">
        <v>45231</v>
      </c>
      <c r="H818" s="65" t="s">
        <v>749</v>
      </c>
      <c r="I818" s="65" t="s">
        <v>1221</v>
      </c>
      <c r="J818" s="63">
        <f>IFERROR(VLOOKUP(I818,Jueces!$A$1:$B$11,2,FALSE),"")</f>
        <v>6</v>
      </c>
      <c r="K818" s="63" t="s">
        <v>827</v>
      </c>
      <c r="L818" s="63" t="s">
        <v>3704</v>
      </c>
    </row>
    <row r="819" spans="1:12" ht="30" customHeight="1">
      <c r="A819" s="172" t="str">
        <f t="shared" si="24"/>
        <v>01/11/20236</v>
      </c>
      <c r="B819" s="166">
        <f t="shared" si="25"/>
        <v>6</v>
      </c>
      <c r="C819" s="63" t="s">
        <v>3506</v>
      </c>
      <c r="D819" s="64" t="s">
        <v>3507</v>
      </c>
      <c r="E819" s="63">
        <v>2</v>
      </c>
      <c r="F819" s="63" t="s">
        <v>1435</v>
      </c>
      <c r="G819" s="65">
        <v>45231</v>
      </c>
      <c r="H819" s="65" t="s">
        <v>1083</v>
      </c>
      <c r="I819" s="65" t="s">
        <v>78</v>
      </c>
      <c r="J819" s="63">
        <f>IFERROR(VLOOKUP(I819,Jueces!$A$1:$B$11,2,FALSE),"")</f>
        <v>8</v>
      </c>
      <c r="K819" s="63" t="s">
        <v>798</v>
      </c>
      <c r="L819" s="63" t="s">
        <v>693</v>
      </c>
    </row>
    <row r="820" spans="1:12" ht="30" customHeight="1">
      <c r="A820" s="172" t="str">
        <f t="shared" si="24"/>
        <v>01/11/20237</v>
      </c>
      <c r="B820" s="166">
        <f t="shared" si="25"/>
        <v>7</v>
      </c>
      <c r="C820" s="63" t="s">
        <v>3469</v>
      </c>
      <c r="D820" s="64" t="s">
        <v>3442</v>
      </c>
      <c r="E820" s="63">
        <v>2</v>
      </c>
      <c r="F820" s="63" t="s">
        <v>283</v>
      </c>
      <c r="G820" s="65">
        <v>45231</v>
      </c>
      <c r="H820" s="65" t="s">
        <v>1206</v>
      </c>
      <c r="I820" s="65" t="s">
        <v>1217</v>
      </c>
      <c r="J820" s="63" t="s">
        <v>2285</v>
      </c>
      <c r="K820" s="63" t="s">
        <v>809</v>
      </c>
      <c r="L820" s="63" t="s">
        <v>693</v>
      </c>
    </row>
    <row r="821" spans="1:12" ht="30" customHeight="1">
      <c r="A821" s="172" t="str">
        <f t="shared" si="24"/>
        <v>01/11/20238</v>
      </c>
      <c r="B821" s="166">
        <f t="shared" si="25"/>
        <v>8</v>
      </c>
      <c r="C821" s="63" t="s">
        <v>3421</v>
      </c>
      <c r="D821" s="64" t="s">
        <v>3677</v>
      </c>
      <c r="E821" s="63">
        <v>8</v>
      </c>
      <c r="F821" s="63" t="s">
        <v>2752</v>
      </c>
      <c r="G821" s="65">
        <v>45231</v>
      </c>
      <c r="H821" s="65" t="s">
        <v>3171</v>
      </c>
      <c r="I821" s="65" t="s">
        <v>1216</v>
      </c>
      <c r="J821" s="63" t="s">
        <v>1916</v>
      </c>
      <c r="K821" s="63" t="s">
        <v>3638</v>
      </c>
      <c r="L821" s="63" t="s">
        <v>3443</v>
      </c>
    </row>
    <row r="822" spans="1:12" ht="30" customHeight="1">
      <c r="A822" s="172" t="str">
        <f t="shared" si="24"/>
        <v>01/11/20239</v>
      </c>
      <c r="B822" s="166">
        <f t="shared" si="25"/>
        <v>9</v>
      </c>
      <c r="C822" s="63" t="s">
        <v>3419</v>
      </c>
      <c r="D822" s="64" t="s">
        <v>3420</v>
      </c>
      <c r="E822" s="63">
        <v>1</v>
      </c>
      <c r="F822" s="63" t="s">
        <v>3324</v>
      </c>
      <c r="G822" s="65">
        <v>45231</v>
      </c>
      <c r="H822" s="65" t="s">
        <v>77</v>
      </c>
      <c r="I822" s="65" t="s">
        <v>1217</v>
      </c>
      <c r="J822" s="63" t="s">
        <v>2285</v>
      </c>
      <c r="K822" s="63" t="s">
        <v>810</v>
      </c>
      <c r="L822" s="335" t="s">
        <v>783</v>
      </c>
    </row>
    <row r="823" spans="1:12" ht="30" customHeight="1">
      <c r="A823" s="172" t="str">
        <f t="shared" si="24"/>
        <v>01/11/202310</v>
      </c>
      <c r="B823" s="166">
        <f t="shared" si="25"/>
        <v>10</v>
      </c>
      <c r="C823" s="325" t="s">
        <v>1441</v>
      </c>
      <c r="D823" s="64" t="s">
        <v>1444</v>
      </c>
      <c r="E823" s="63">
        <v>2</v>
      </c>
      <c r="F823" s="63" t="s">
        <v>43</v>
      </c>
      <c r="G823" s="65">
        <v>45231</v>
      </c>
      <c r="H823" s="65" t="s">
        <v>77</v>
      </c>
      <c r="I823" s="65" t="s">
        <v>1216</v>
      </c>
      <c r="J823" s="63">
        <f>IFERROR(VLOOKUP(I823,Jueces!$A$1:$B$11,2,FALSE),"")</f>
        <v>1</v>
      </c>
      <c r="K823" s="63" t="s">
        <v>800</v>
      </c>
      <c r="L823" s="63" t="s">
        <v>692</v>
      </c>
    </row>
    <row r="824" spans="1:12" ht="30" customHeight="1">
      <c r="A824" s="172" t="str">
        <f t="shared" si="24"/>
        <v>02/11/20231</v>
      </c>
      <c r="B824" s="166">
        <f t="shared" si="25"/>
        <v>1</v>
      </c>
      <c r="C824" s="63" t="s">
        <v>3399</v>
      </c>
      <c r="D824" s="64" t="s">
        <v>3400</v>
      </c>
      <c r="E824" s="63">
        <v>2</v>
      </c>
      <c r="F824" s="63" t="s">
        <v>1434</v>
      </c>
      <c r="G824" s="65">
        <v>45232</v>
      </c>
      <c r="H824" s="65" t="s">
        <v>73</v>
      </c>
      <c r="I824" s="65" t="s">
        <v>2922</v>
      </c>
      <c r="J824" s="63" t="s">
        <v>1512</v>
      </c>
      <c r="K824" s="63" t="s">
        <v>808</v>
      </c>
      <c r="L824" s="63" t="s">
        <v>692</v>
      </c>
    </row>
    <row r="825" spans="1:12" ht="30" customHeight="1">
      <c r="A825" s="172" t="str">
        <f t="shared" si="24"/>
        <v>02/11/20232</v>
      </c>
      <c r="B825" s="166">
        <f t="shared" si="25"/>
        <v>2</v>
      </c>
      <c r="C825" s="63" t="s">
        <v>3493</v>
      </c>
      <c r="D825" s="64" t="s">
        <v>3494</v>
      </c>
      <c r="E825" s="63">
        <v>3</v>
      </c>
      <c r="F825" s="63" t="s">
        <v>568</v>
      </c>
      <c r="G825" s="65">
        <v>45232</v>
      </c>
      <c r="H825" s="65" t="s">
        <v>73</v>
      </c>
      <c r="I825" s="65" t="s">
        <v>35</v>
      </c>
      <c r="J825" s="63">
        <f>IFERROR(VLOOKUP(I825,Jueces!$A$1:$B$11,2,FALSE),"")</f>
        <v>3</v>
      </c>
      <c r="K825" s="63" t="s">
        <v>809</v>
      </c>
      <c r="L825" s="63" t="s">
        <v>694</v>
      </c>
    </row>
    <row r="826" spans="1:12" ht="30" customHeight="1">
      <c r="A826" s="172" t="str">
        <f t="shared" si="24"/>
        <v>02/11/20233</v>
      </c>
      <c r="B826" s="166">
        <f t="shared" si="25"/>
        <v>3</v>
      </c>
      <c r="C826" s="63" t="s">
        <v>3473</v>
      </c>
      <c r="D826" s="64" t="s">
        <v>3474</v>
      </c>
      <c r="E826" s="63">
        <v>2</v>
      </c>
      <c r="F826" s="63" t="s">
        <v>1433</v>
      </c>
      <c r="G826" s="65">
        <v>45232</v>
      </c>
      <c r="H826" s="65" t="s">
        <v>1083</v>
      </c>
      <c r="I826" s="65" t="s">
        <v>31</v>
      </c>
      <c r="J826" s="63">
        <f>IFERROR(VLOOKUP(I826,Jueces!$A$1:$B$11,2,FALSE),"")</f>
        <v>2</v>
      </c>
      <c r="K826" s="63" t="s">
        <v>1693</v>
      </c>
      <c r="L826" s="63" t="s">
        <v>692</v>
      </c>
    </row>
    <row r="827" spans="1:12" ht="30" customHeight="1">
      <c r="A827" s="172" t="str">
        <f t="shared" si="24"/>
        <v>02/11/20234</v>
      </c>
      <c r="B827" s="166">
        <f t="shared" si="25"/>
        <v>4</v>
      </c>
      <c r="C827" s="63" t="s">
        <v>3501</v>
      </c>
      <c r="D827" s="64" t="s">
        <v>3502</v>
      </c>
      <c r="E827" s="63">
        <v>2</v>
      </c>
      <c r="F827" s="63" t="s">
        <v>1435</v>
      </c>
      <c r="G827" s="65">
        <v>45232</v>
      </c>
      <c r="H827" s="65" t="s">
        <v>1083</v>
      </c>
      <c r="I827" s="65" t="s">
        <v>1221</v>
      </c>
      <c r="J827" s="63">
        <f>IFERROR(VLOOKUP(I827,Jueces!$A$1:$B$11,2,FALSE),"")</f>
        <v>6</v>
      </c>
      <c r="K827" s="63" t="s">
        <v>809</v>
      </c>
      <c r="L827" s="63" t="s">
        <v>693</v>
      </c>
    </row>
    <row r="828" spans="1:12" ht="30" customHeight="1">
      <c r="A828" s="172" t="str">
        <f t="shared" si="24"/>
        <v>02/11/20235</v>
      </c>
      <c r="B828" s="166">
        <f t="shared" si="25"/>
        <v>5</v>
      </c>
      <c r="C828" s="63" t="s">
        <v>3505</v>
      </c>
      <c r="D828" s="64" t="s">
        <v>3678</v>
      </c>
      <c r="E828" s="63">
        <v>2</v>
      </c>
      <c r="F828" s="63" t="s">
        <v>2815</v>
      </c>
      <c r="G828" s="65">
        <v>45232</v>
      </c>
      <c r="H828" s="65" t="s">
        <v>1083</v>
      </c>
      <c r="I828" s="65" t="s">
        <v>78</v>
      </c>
      <c r="J828" s="63">
        <f>IFERROR(VLOOKUP(I828,Jueces!$A$1:$B$11,2,FALSE),"")</f>
        <v>8</v>
      </c>
      <c r="K828" s="63" t="s">
        <v>791</v>
      </c>
      <c r="L828" s="63" t="s">
        <v>2672</v>
      </c>
    </row>
    <row r="829" spans="1:12" ht="30" customHeight="1">
      <c r="A829" s="172" t="str">
        <f t="shared" si="24"/>
        <v>02/11/20236</v>
      </c>
      <c r="B829" s="166">
        <f t="shared" si="25"/>
        <v>6</v>
      </c>
      <c r="C829" s="63" t="s">
        <v>2287</v>
      </c>
      <c r="D829" s="64" t="s">
        <v>3444</v>
      </c>
      <c r="E829" s="63">
        <v>6</v>
      </c>
      <c r="F829" s="63" t="s">
        <v>283</v>
      </c>
      <c r="G829" s="65">
        <v>45232</v>
      </c>
      <c r="H829" s="65" t="s">
        <v>3171</v>
      </c>
      <c r="I829" s="65" t="s">
        <v>1217</v>
      </c>
      <c r="J829" s="63" t="s">
        <v>1916</v>
      </c>
      <c r="K829" s="63" t="s">
        <v>809</v>
      </c>
      <c r="L829" s="63" t="s">
        <v>2107</v>
      </c>
    </row>
    <row r="830" spans="1:12" ht="30" customHeight="1">
      <c r="A830" s="172" t="str">
        <f t="shared" si="24"/>
        <v>02/11/20237</v>
      </c>
      <c r="B830" s="166">
        <f t="shared" si="25"/>
        <v>7</v>
      </c>
      <c r="C830" s="63" t="s">
        <v>3418</v>
      </c>
      <c r="D830" s="64" t="s">
        <v>3454</v>
      </c>
      <c r="E830" s="63">
        <v>3</v>
      </c>
      <c r="F830" s="63" t="s">
        <v>2766</v>
      </c>
      <c r="G830" s="65">
        <v>45232</v>
      </c>
      <c r="H830" s="65" t="s">
        <v>987</v>
      </c>
      <c r="I830" s="65" t="s">
        <v>1216</v>
      </c>
      <c r="J830" s="63">
        <v>8</v>
      </c>
      <c r="K830" s="63" t="s">
        <v>807</v>
      </c>
      <c r="L830" s="63" t="s">
        <v>694</v>
      </c>
    </row>
    <row r="831" spans="1:12" ht="30" customHeight="1">
      <c r="A831" s="172" t="str">
        <f t="shared" si="24"/>
        <v>03/11/20231</v>
      </c>
      <c r="B831" s="166">
        <f t="shared" si="25"/>
        <v>1</v>
      </c>
      <c r="C831" s="208" t="s">
        <v>2476</v>
      </c>
      <c r="D831" s="64" t="s">
        <v>3761</v>
      </c>
      <c r="E831" s="63">
        <v>4</v>
      </c>
      <c r="F831" s="63" t="s">
        <v>568</v>
      </c>
      <c r="G831" s="65">
        <v>45233</v>
      </c>
      <c r="H831" s="65" t="s">
        <v>73</v>
      </c>
      <c r="I831" s="65" t="s">
        <v>31</v>
      </c>
      <c r="J831" s="63">
        <f>IFERROR(VLOOKUP(I831,Jueces!$A$1:$B$11,2,FALSE),"")</f>
        <v>2</v>
      </c>
      <c r="K831" s="63" t="s">
        <v>797</v>
      </c>
      <c r="L831" s="63" t="s">
        <v>695</v>
      </c>
    </row>
    <row r="832" spans="1:12" ht="30" customHeight="1">
      <c r="A832" s="172" t="str">
        <f t="shared" si="24"/>
        <v>03/11/20232</v>
      </c>
      <c r="B832" s="166">
        <f t="shared" si="25"/>
        <v>2</v>
      </c>
      <c r="C832" s="63" t="s">
        <v>3335</v>
      </c>
      <c r="D832" s="64" t="s">
        <v>3414</v>
      </c>
      <c r="E832" s="63">
        <v>4</v>
      </c>
      <c r="F832" s="63" t="s">
        <v>2766</v>
      </c>
      <c r="G832" s="65">
        <v>45233</v>
      </c>
      <c r="H832" s="65" t="s">
        <v>73</v>
      </c>
      <c r="I832" s="65" t="s">
        <v>1217</v>
      </c>
      <c r="J832" s="63" t="s">
        <v>1916</v>
      </c>
      <c r="K832" s="63" t="s">
        <v>812</v>
      </c>
      <c r="L832" s="63" t="s">
        <v>3415</v>
      </c>
    </row>
    <row r="833" spans="1:12" ht="30" customHeight="1">
      <c r="A833" s="172" t="str">
        <f t="shared" si="24"/>
        <v>03/11/20233</v>
      </c>
      <c r="B833" s="166">
        <f t="shared" si="25"/>
        <v>3</v>
      </c>
      <c r="C833" s="63" t="s">
        <v>3476</v>
      </c>
      <c r="D833" s="64" t="s">
        <v>3478</v>
      </c>
      <c r="E833" s="63">
        <v>2</v>
      </c>
      <c r="F833" s="63" t="s">
        <v>1433</v>
      </c>
      <c r="G833" s="65">
        <v>45233</v>
      </c>
      <c r="H833" s="65" t="s">
        <v>73</v>
      </c>
      <c r="I833" s="65" t="s">
        <v>2925</v>
      </c>
      <c r="J833" s="63" t="s">
        <v>1341</v>
      </c>
      <c r="K833" s="63" t="s">
        <v>2412</v>
      </c>
      <c r="L833" s="63" t="s">
        <v>2036</v>
      </c>
    </row>
    <row r="834" spans="1:12" ht="30" customHeight="1">
      <c r="A834" s="172" t="str">
        <f t="shared" si="24"/>
        <v>03/11/20234</v>
      </c>
      <c r="B834" s="166">
        <f t="shared" si="25"/>
        <v>4</v>
      </c>
      <c r="C834" s="63" t="s">
        <v>3495</v>
      </c>
      <c r="D834" s="64" t="s">
        <v>3496</v>
      </c>
      <c r="E834" s="63">
        <v>3</v>
      </c>
      <c r="F834" s="63" t="s">
        <v>3324</v>
      </c>
      <c r="G834" s="65">
        <v>45233</v>
      </c>
      <c r="H834" s="65" t="s">
        <v>73</v>
      </c>
      <c r="I834" s="65" t="s">
        <v>78</v>
      </c>
      <c r="J834" s="63">
        <f>IFERROR(VLOOKUP(I834,Jueces!$A$1:$B$11,2,FALSE),"")</f>
        <v>8</v>
      </c>
      <c r="K834" s="63" t="s">
        <v>809</v>
      </c>
      <c r="L834" s="63" t="s">
        <v>694</v>
      </c>
    </row>
    <row r="835" spans="1:12" ht="30" customHeight="1">
      <c r="A835" s="172" t="str">
        <f t="shared" ref="A835:A898" si="26">CONCATENATE(TEXT($G835,"dd/mm/yyyy"),$B835)</f>
        <v>03/11/20235</v>
      </c>
      <c r="B835" s="166">
        <f t="shared" si="25"/>
        <v>5</v>
      </c>
      <c r="C835" s="7" t="s">
        <v>979</v>
      </c>
      <c r="D835" s="40" t="s">
        <v>3449</v>
      </c>
      <c r="E835" s="69">
        <v>8</v>
      </c>
      <c r="F835" s="63" t="s">
        <v>1434</v>
      </c>
      <c r="G835" s="65">
        <v>45233</v>
      </c>
      <c r="H835" s="65" t="s">
        <v>749</v>
      </c>
      <c r="I835" s="65" t="s">
        <v>1221</v>
      </c>
      <c r="J835" s="63">
        <f>IFERROR(VLOOKUP(I835,Jueces!$A$1:$B$11,2,FALSE),"")</f>
        <v>6</v>
      </c>
      <c r="K835" s="63" t="s">
        <v>811</v>
      </c>
      <c r="L835" s="63" t="s">
        <v>723</v>
      </c>
    </row>
    <row r="836" spans="1:12" ht="30" customHeight="1">
      <c r="A836" s="172" t="str">
        <f t="shared" si="26"/>
        <v>03/11/20236</v>
      </c>
      <c r="B836" s="166">
        <f t="shared" ref="B836:B899" si="27">IF($G836=$G835,$B835+1,1)</f>
        <v>6</v>
      </c>
      <c r="C836" s="107" t="s">
        <v>3350</v>
      </c>
      <c r="D836" s="108" t="s">
        <v>3351</v>
      </c>
      <c r="E836" s="63">
        <v>7</v>
      </c>
      <c r="F836" s="63" t="s">
        <v>283</v>
      </c>
      <c r="G836" s="65">
        <v>45233</v>
      </c>
      <c r="H836" s="65" t="s">
        <v>1083</v>
      </c>
      <c r="I836" s="65" t="s">
        <v>1216</v>
      </c>
      <c r="J836" s="63">
        <v>3</v>
      </c>
      <c r="K836" s="63" t="s">
        <v>1067</v>
      </c>
      <c r="L836" s="63" t="s">
        <v>692</v>
      </c>
    </row>
    <row r="837" spans="1:12" ht="30" customHeight="1">
      <c r="A837" s="172" t="str">
        <f t="shared" si="26"/>
        <v>03/11/20237</v>
      </c>
      <c r="B837" s="166">
        <f t="shared" si="27"/>
        <v>7</v>
      </c>
      <c r="C837" s="325" t="s">
        <v>1343</v>
      </c>
      <c r="D837" s="64" t="s">
        <v>3426</v>
      </c>
      <c r="E837" s="63">
        <v>4</v>
      </c>
      <c r="F837" s="63" t="s">
        <v>1435</v>
      </c>
      <c r="G837" s="65">
        <v>45233</v>
      </c>
      <c r="H837" s="65" t="s">
        <v>1083</v>
      </c>
      <c r="I837" s="65" t="s">
        <v>1723</v>
      </c>
      <c r="J837" s="63" t="s">
        <v>1512</v>
      </c>
      <c r="K837" s="63" t="s">
        <v>812</v>
      </c>
      <c r="L837" s="330" t="s">
        <v>1439</v>
      </c>
    </row>
    <row r="838" spans="1:12" ht="30" customHeight="1">
      <c r="A838" s="172" t="str">
        <f t="shared" si="26"/>
        <v>03/11/20238</v>
      </c>
      <c r="B838" s="166">
        <f t="shared" si="27"/>
        <v>8</v>
      </c>
      <c r="C838" s="63" t="s">
        <v>3424</v>
      </c>
      <c r="D838" s="64" t="s">
        <v>3724</v>
      </c>
      <c r="E838" s="63">
        <v>2</v>
      </c>
      <c r="F838" s="63" t="s">
        <v>2815</v>
      </c>
      <c r="G838" s="65">
        <v>45233</v>
      </c>
      <c r="H838" s="65" t="s">
        <v>1206</v>
      </c>
      <c r="I838" s="65" t="s">
        <v>1217</v>
      </c>
      <c r="J838" s="63" t="s">
        <v>1916</v>
      </c>
      <c r="K838" s="63" t="s">
        <v>791</v>
      </c>
      <c r="L838" s="63" t="s">
        <v>692</v>
      </c>
    </row>
    <row r="839" spans="1:12" ht="30" customHeight="1">
      <c r="A839" s="172" t="str">
        <f t="shared" si="26"/>
        <v>03/11/20239</v>
      </c>
      <c r="B839" s="166">
        <f t="shared" si="27"/>
        <v>9</v>
      </c>
      <c r="C839" s="63" t="s">
        <v>3402</v>
      </c>
      <c r="D839" s="64" t="s">
        <v>3401</v>
      </c>
      <c r="E839" s="63">
        <v>2</v>
      </c>
      <c r="F839" s="63" t="s">
        <v>3639</v>
      </c>
      <c r="G839" s="65">
        <v>45233</v>
      </c>
      <c r="H839" s="65" t="s">
        <v>3171</v>
      </c>
      <c r="I839" s="65" t="s">
        <v>31</v>
      </c>
      <c r="J839" s="63" t="s">
        <v>1341</v>
      </c>
      <c r="K839" s="63" t="s">
        <v>807</v>
      </c>
      <c r="L839" s="7" t="s">
        <v>692</v>
      </c>
    </row>
    <row r="840" spans="1:12" ht="30" customHeight="1">
      <c r="A840" s="172" t="str">
        <f t="shared" si="26"/>
        <v>06/11/20231</v>
      </c>
      <c r="B840" s="166">
        <f t="shared" si="27"/>
        <v>1</v>
      </c>
      <c r="C840" s="63" t="s">
        <v>3277</v>
      </c>
      <c r="D840" s="64" t="s">
        <v>3531</v>
      </c>
      <c r="E840" s="63">
        <v>1</v>
      </c>
      <c r="F840" s="63" t="s">
        <v>568</v>
      </c>
      <c r="G840" s="65">
        <v>45236</v>
      </c>
      <c r="H840" s="65" t="s">
        <v>73</v>
      </c>
      <c r="I840" s="65" t="s">
        <v>78</v>
      </c>
      <c r="J840" s="63">
        <f>IFERROR(VLOOKUP(I840,Jueces!$A$1:$B$11,2,FALSE),"")</f>
        <v>8</v>
      </c>
      <c r="K840" s="63" t="s">
        <v>805</v>
      </c>
      <c r="L840" s="365" t="s">
        <v>1285</v>
      </c>
    </row>
    <row r="841" spans="1:12" ht="30" customHeight="1">
      <c r="A841" s="172" t="str">
        <f t="shared" si="26"/>
        <v>06/11/20232</v>
      </c>
      <c r="B841" s="166">
        <f t="shared" si="27"/>
        <v>2</v>
      </c>
      <c r="C841" s="63" t="s">
        <v>3416</v>
      </c>
      <c r="D841" s="64" t="s">
        <v>3417</v>
      </c>
      <c r="E841" s="63">
        <v>1</v>
      </c>
      <c r="F841" s="63" t="s">
        <v>3324</v>
      </c>
      <c r="G841" s="65">
        <v>45236</v>
      </c>
      <c r="H841" s="65" t="s">
        <v>73</v>
      </c>
      <c r="I841" s="65" t="s">
        <v>2922</v>
      </c>
      <c r="J841" s="63" t="s">
        <v>1341</v>
      </c>
      <c r="K841" s="63" t="s">
        <v>2092</v>
      </c>
      <c r="L841" s="63" t="s">
        <v>1175</v>
      </c>
    </row>
    <row r="842" spans="1:12" ht="30" customHeight="1">
      <c r="A842" s="172" t="str">
        <f t="shared" si="26"/>
        <v>06/11/20233</v>
      </c>
      <c r="B842" s="166">
        <f t="shared" si="27"/>
        <v>3</v>
      </c>
      <c r="C842" s="63" t="s">
        <v>3499</v>
      </c>
      <c r="D842" s="64" t="s">
        <v>3500</v>
      </c>
      <c r="E842" s="63">
        <v>2</v>
      </c>
      <c r="F842" s="63" t="s">
        <v>1433</v>
      </c>
      <c r="G842" s="65">
        <v>45236</v>
      </c>
      <c r="H842" s="65" t="s">
        <v>73</v>
      </c>
      <c r="I842" s="65" t="s">
        <v>31</v>
      </c>
      <c r="J842" s="63">
        <f>IFERROR(VLOOKUP(I842,Jueces!$A$1:$B$11,2,FALSE),"")</f>
        <v>2</v>
      </c>
      <c r="K842" s="63" t="s">
        <v>1693</v>
      </c>
      <c r="L842" s="337" t="s">
        <v>2124</v>
      </c>
    </row>
    <row r="843" spans="1:12" ht="30" customHeight="1">
      <c r="A843" s="172" t="str">
        <f t="shared" si="26"/>
        <v>06/11/20234</v>
      </c>
      <c r="B843" s="166">
        <f t="shared" si="27"/>
        <v>4</v>
      </c>
      <c r="C843" s="63" t="s">
        <v>3535</v>
      </c>
      <c r="D843" s="64" t="s">
        <v>3656</v>
      </c>
      <c r="E843" s="63">
        <v>2</v>
      </c>
      <c r="F843" s="63" t="s">
        <v>2766</v>
      </c>
      <c r="G843" s="65">
        <v>45236</v>
      </c>
      <c r="H843" s="65" t="s">
        <v>73</v>
      </c>
      <c r="I843" s="65" t="s">
        <v>35</v>
      </c>
      <c r="J843" s="63">
        <f>IFERROR(VLOOKUP(I843,Jueces!$A$1:$B$11,2,FALSE),"")</f>
        <v>3</v>
      </c>
      <c r="K843" s="63" t="s">
        <v>791</v>
      </c>
      <c r="L843" s="63" t="s">
        <v>3836</v>
      </c>
    </row>
    <row r="844" spans="1:12" ht="30" customHeight="1">
      <c r="A844" s="172" t="str">
        <f t="shared" si="26"/>
        <v>06/11/20235</v>
      </c>
      <c r="B844" s="166">
        <f t="shared" si="27"/>
        <v>5</v>
      </c>
      <c r="C844" s="325" t="s">
        <v>3445</v>
      </c>
      <c r="D844" s="64" t="s">
        <v>3446</v>
      </c>
      <c r="E844" s="63">
        <v>2</v>
      </c>
      <c r="F844" s="63" t="s">
        <v>3323</v>
      </c>
      <c r="G844" s="65">
        <v>45236</v>
      </c>
      <c r="H844" s="65" t="s">
        <v>1083</v>
      </c>
      <c r="I844" s="65" t="s">
        <v>78</v>
      </c>
      <c r="J844" s="63">
        <f>IFERROR(VLOOKUP(I844,Jueces!$A$1:$B$11,2,FALSE),"")</f>
        <v>8</v>
      </c>
      <c r="K844" s="63" t="s">
        <v>806</v>
      </c>
      <c r="L844" s="63" t="s">
        <v>692</v>
      </c>
    </row>
    <row r="845" spans="1:12" ht="30" customHeight="1">
      <c r="A845" s="172" t="str">
        <f t="shared" si="26"/>
        <v>06/11/20236</v>
      </c>
      <c r="B845" s="166">
        <f t="shared" si="27"/>
        <v>6</v>
      </c>
      <c r="C845" s="63" t="s">
        <v>3557</v>
      </c>
      <c r="D845" s="64" t="s">
        <v>3558</v>
      </c>
      <c r="E845" s="63">
        <v>2</v>
      </c>
      <c r="F845" s="63" t="s">
        <v>283</v>
      </c>
      <c r="G845" s="65">
        <v>45236</v>
      </c>
      <c r="H845" s="65" t="s">
        <v>1083</v>
      </c>
      <c r="I845" s="65" t="s">
        <v>1217</v>
      </c>
      <c r="J845" s="63" t="s">
        <v>1916</v>
      </c>
      <c r="K845" s="63" t="s">
        <v>2715</v>
      </c>
      <c r="L845" s="7" t="s">
        <v>1994</v>
      </c>
    </row>
    <row r="846" spans="1:12" ht="30" customHeight="1">
      <c r="A846" s="172" t="str">
        <f t="shared" si="26"/>
        <v>06/11/20237</v>
      </c>
      <c r="B846" s="166">
        <f t="shared" si="27"/>
        <v>7</v>
      </c>
      <c r="C846" s="63" t="s">
        <v>3567</v>
      </c>
      <c r="D846" s="64" t="s">
        <v>3569</v>
      </c>
      <c r="E846" s="63">
        <v>6</v>
      </c>
      <c r="F846" s="63" t="s">
        <v>1434</v>
      </c>
      <c r="G846" s="65">
        <v>45236</v>
      </c>
      <c r="H846" s="65" t="s">
        <v>1083</v>
      </c>
      <c r="I846" s="65" t="s">
        <v>1221</v>
      </c>
      <c r="J846" s="63">
        <f>IFERROR(VLOOKUP(I846,Jueces!$A$1:$B$11,2,FALSE),"")</f>
        <v>6</v>
      </c>
      <c r="K846" s="63" t="s">
        <v>2075</v>
      </c>
      <c r="L846" s="365" t="s">
        <v>3568</v>
      </c>
    </row>
    <row r="847" spans="1:12" ht="30" customHeight="1">
      <c r="A847" s="172" t="str">
        <f t="shared" si="26"/>
        <v>06/11/20238</v>
      </c>
      <c r="B847" s="166">
        <f t="shared" si="27"/>
        <v>8</v>
      </c>
      <c r="C847" s="63" t="s">
        <v>3343</v>
      </c>
      <c r="D847" s="64" t="s">
        <v>3344</v>
      </c>
      <c r="E847" s="63">
        <v>1</v>
      </c>
      <c r="F847" s="63" t="s">
        <v>1435</v>
      </c>
      <c r="G847" s="65">
        <v>45236</v>
      </c>
      <c r="H847" s="65" t="s">
        <v>1083</v>
      </c>
      <c r="I847" s="65" t="s">
        <v>1216</v>
      </c>
      <c r="J847" s="63">
        <f>IFERROR(VLOOKUP(I847,Jueces!$A$1:$B$11,2,FALSE),"")</f>
        <v>1</v>
      </c>
      <c r="K847" s="63" t="s">
        <v>827</v>
      </c>
      <c r="L847" s="63" t="s">
        <v>712</v>
      </c>
    </row>
    <row r="848" spans="1:12" ht="30" customHeight="1">
      <c r="A848" s="172" t="str">
        <f t="shared" si="26"/>
        <v>07/11/20231</v>
      </c>
      <c r="B848" s="166">
        <f t="shared" si="27"/>
        <v>1</v>
      </c>
      <c r="C848" s="63" t="s">
        <v>3409</v>
      </c>
      <c r="D848" s="64" t="s">
        <v>3410</v>
      </c>
      <c r="E848" s="63">
        <v>2</v>
      </c>
      <c r="F848" s="63" t="s">
        <v>2766</v>
      </c>
      <c r="G848" s="65">
        <v>45237</v>
      </c>
      <c r="H848" s="65" t="s">
        <v>73</v>
      </c>
      <c r="I848" s="65" t="s">
        <v>2925</v>
      </c>
      <c r="J848" s="63" t="s">
        <v>1916</v>
      </c>
      <c r="K848" s="63" t="s">
        <v>797</v>
      </c>
      <c r="L848" s="63" t="s">
        <v>692</v>
      </c>
    </row>
    <row r="849" spans="1:12" ht="30" customHeight="1">
      <c r="A849" s="172" t="str">
        <f t="shared" si="26"/>
        <v>07/11/20232</v>
      </c>
      <c r="B849" s="166">
        <f t="shared" si="27"/>
        <v>2</v>
      </c>
      <c r="C849" s="63" t="s">
        <v>3508</v>
      </c>
      <c r="D849" s="64" t="s">
        <v>3509</v>
      </c>
      <c r="E849" s="63">
        <v>2</v>
      </c>
      <c r="F849" s="63" t="s">
        <v>1434</v>
      </c>
      <c r="G849" s="65">
        <v>45237</v>
      </c>
      <c r="H849" s="65" t="s">
        <v>73</v>
      </c>
      <c r="I849" s="65" t="s">
        <v>31</v>
      </c>
      <c r="J849" s="63">
        <f>IFERROR(VLOOKUP(I849,Jueces!$A$1:$B$11,2,FALSE),"")</f>
        <v>2</v>
      </c>
      <c r="K849" s="63" t="s">
        <v>799</v>
      </c>
      <c r="L849" s="63" t="s">
        <v>693</v>
      </c>
    </row>
    <row r="850" spans="1:12" ht="30" customHeight="1">
      <c r="A850" s="172" t="str">
        <f t="shared" si="26"/>
        <v>07/11/20233</v>
      </c>
      <c r="B850" s="166">
        <f t="shared" si="27"/>
        <v>3</v>
      </c>
      <c r="C850" s="63" t="s">
        <v>3549</v>
      </c>
      <c r="D850" s="64" t="s">
        <v>3550</v>
      </c>
      <c r="E850" s="63">
        <v>2</v>
      </c>
      <c r="F850" s="63" t="s">
        <v>3323</v>
      </c>
      <c r="G850" s="65">
        <v>45237</v>
      </c>
      <c r="H850" s="65" t="s">
        <v>73</v>
      </c>
      <c r="I850" s="65" t="s">
        <v>35</v>
      </c>
      <c r="J850" s="63">
        <f>IFERROR(VLOOKUP(I850,Jueces!$A$1:$B$11,2,FALSE),"")</f>
        <v>3</v>
      </c>
      <c r="K850" s="63" t="s">
        <v>1693</v>
      </c>
      <c r="L850" s="339" t="s">
        <v>697</v>
      </c>
    </row>
    <row r="851" spans="1:12" ht="30" customHeight="1">
      <c r="A851" s="172" t="str">
        <f t="shared" si="26"/>
        <v>07/11/20234</v>
      </c>
      <c r="B851" s="166">
        <f t="shared" si="27"/>
        <v>4</v>
      </c>
      <c r="C851" s="63" t="s">
        <v>3555</v>
      </c>
      <c r="D851" s="64" t="s">
        <v>3590</v>
      </c>
      <c r="E851" s="63">
        <v>2</v>
      </c>
      <c r="F851" s="63" t="s">
        <v>1433</v>
      </c>
      <c r="G851" s="65">
        <v>45237</v>
      </c>
      <c r="H851" s="65" t="s">
        <v>73</v>
      </c>
      <c r="I851" s="65" t="s">
        <v>1723</v>
      </c>
      <c r="J851" s="63" t="s">
        <v>2324</v>
      </c>
      <c r="K851" s="63" t="s">
        <v>801</v>
      </c>
      <c r="L851" s="63" t="s">
        <v>694</v>
      </c>
    </row>
    <row r="852" spans="1:12" ht="30" customHeight="1">
      <c r="A852" s="172" t="str">
        <f t="shared" si="26"/>
        <v>07/11/20235</v>
      </c>
      <c r="B852" s="166">
        <f t="shared" si="27"/>
        <v>5</v>
      </c>
      <c r="C852" s="63" t="s">
        <v>3470</v>
      </c>
      <c r="D852" s="64" t="s">
        <v>3799</v>
      </c>
      <c r="E852" s="63">
        <v>2</v>
      </c>
      <c r="F852" s="63" t="s">
        <v>568</v>
      </c>
      <c r="G852" s="65">
        <v>45237</v>
      </c>
      <c r="H852" s="65" t="s">
        <v>1083</v>
      </c>
      <c r="I852" s="65" t="s">
        <v>1217</v>
      </c>
      <c r="J852" s="63" t="s">
        <v>1916</v>
      </c>
      <c r="K852" s="63" t="s">
        <v>797</v>
      </c>
      <c r="L852" s="63" t="s">
        <v>1285</v>
      </c>
    </row>
    <row r="853" spans="1:12" ht="30" customHeight="1">
      <c r="A853" s="172" t="str">
        <f t="shared" si="26"/>
        <v>07/11/20236</v>
      </c>
      <c r="B853" s="166">
        <f t="shared" si="27"/>
        <v>6</v>
      </c>
      <c r="C853" s="63" t="s">
        <v>3472</v>
      </c>
      <c r="D853" s="64" t="s">
        <v>3471</v>
      </c>
      <c r="E853" s="63">
        <v>3</v>
      </c>
      <c r="F853" s="63" t="s">
        <v>1435</v>
      </c>
      <c r="G853" s="65">
        <v>45237</v>
      </c>
      <c r="H853" s="65" t="s">
        <v>1083</v>
      </c>
      <c r="I853" s="65" t="s">
        <v>78</v>
      </c>
      <c r="J853" s="63">
        <f>IFERROR(VLOOKUP(I853,Jueces!$A$1:$B$11,2,FALSE),"")</f>
        <v>8</v>
      </c>
      <c r="K853" s="63" t="s">
        <v>807</v>
      </c>
      <c r="L853" s="63" t="s">
        <v>694</v>
      </c>
    </row>
    <row r="854" spans="1:12" ht="30" customHeight="1">
      <c r="A854" s="172" t="str">
        <f t="shared" si="26"/>
        <v>07/11/20237</v>
      </c>
      <c r="B854" s="166">
        <f t="shared" si="27"/>
        <v>7</v>
      </c>
      <c r="C854" s="63" t="s">
        <v>3572</v>
      </c>
      <c r="D854" s="64" t="s">
        <v>3573</v>
      </c>
      <c r="E854" s="63">
        <v>1</v>
      </c>
      <c r="F854" s="63" t="s">
        <v>2815</v>
      </c>
      <c r="G854" s="65">
        <v>45237</v>
      </c>
      <c r="H854" s="65" t="s">
        <v>1083</v>
      </c>
      <c r="I854" s="65" t="s">
        <v>1216</v>
      </c>
      <c r="J854" s="63">
        <f>IFERROR(VLOOKUP(I854,Jueces!$A$1:$B$11,2,FALSE),"")</f>
        <v>1</v>
      </c>
      <c r="K854" s="63" t="s">
        <v>811</v>
      </c>
      <c r="L854" s="63" t="s">
        <v>712</v>
      </c>
    </row>
    <row r="855" spans="1:12" ht="30" customHeight="1">
      <c r="A855" s="172" t="str">
        <f t="shared" si="26"/>
        <v>07/11/20238</v>
      </c>
      <c r="B855" s="166">
        <f t="shared" si="27"/>
        <v>8</v>
      </c>
      <c r="C855" s="63" t="s">
        <v>3574</v>
      </c>
      <c r="D855" s="64" t="s">
        <v>3575</v>
      </c>
      <c r="E855" s="63">
        <v>3</v>
      </c>
      <c r="F855" s="63" t="s">
        <v>3324</v>
      </c>
      <c r="G855" s="65">
        <v>45237</v>
      </c>
      <c r="H855" s="65" t="s">
        <v>1083</v>
      </c>
      <c r="I855" s="65" t="s">
        <v>31</v>
      </c>
      <c r="J855" s="63">
        <f>IFERROR(VLOOKUP(I855,Jueces!$A$1:$B$11,2,FALSE),"")</f>
        <v>2</v>
      </c>
      <c r="K855" s="63" t="s">
        <v>798</v>
      </c>
      <c r="L855" s="63" t="s">
        <v>695</v>
      </c>
    </row>
    <row r="856" spans="1:12" ht="30" customHeight="1">
      <c r="A856" s="172" t="str">
        <f t="shared" si="26"/>
        <v>08/11/20231</v>
      </c>
      <c r="B856" s="166">
        <f t="shared" si="27"/>
        <v>1</v>
      </c>
      <c r="C856" s="325" t="s">
        <v>3491</v>
      </c>
      <c r="D856" s="64" t="s">
        <v>3492</v>
      </c>
      <c r="E856" s="63">
        <v>1</v>
      </c>
      <c r="F856" s="63" t="s">
        <v>1434</v>
      </c>
      <c r="G856" s="65">
        <v>45238</v>
      </c>
      <c r="H856" s="65" t="s">
        <v>73</v>
      </c>
      <c r="I856" s="65" t="s">
        <v>1217</v>
      </c>
      <c r="J856" s="63">
        <v>2</v>
      </c>
      <c r="K856" s="63" t="s">
        <v>2412</v>
      </c>
      <c r="L856" s="63" t="s">
        <v>1285</v>
      </c>
    </row>
    <row r="857" spans="1:12" ht="30" customHeight="1">
      <c r="A857" s="172" t="str">
        <f t="shared" si="26"/>
        <v>08/11/20232</v>
      </c>
      <c r="B857" s="166">
        <f t="shared" si="27"/>
        <v>2</v>
      </c>
      <c r="C857" s="63" t="s">
        <v>3525</v>
      </c>
      <c r="D857" s="64" t="s">
        <v>3526</v>
      </c>
      <c r="E857" s="63">
        <v>2</v>
      </c>
      <c r="F857" s="63" t="s">
        <v>2766</v>
      </c>
      <c r="G857" s="65">
        <v>45238</v>
      </c>
      <c r="H857" s="65" t="s">
        <v>73</v>
      </c>
      <c r="I857" s="65" t="s">
        <v>78</v>
      </c>
      <c r="J857" s="63">
        <f>IFERROR(VLOOKUP(I857,Jueces!$A$1:$B$11,2,FALSE),"")</f>
        <v>8</v>
      </c>
      <c r="K857" s="63" t="s">
        <v>805</v>
      </c>
      <c r="L857" s="63" t="s">
        <v>2036</v>
      </c>
    </row>
    <row r="858" spans="1:12" ht="30" customHeight="1">
      <c r="A858" s="172" t="str">
        <f t="shared" si="26"/>
        <v>08/11/20233</v>
      </c>
      <c r="B858" s="166">
        <f t="shared" si="27"/>
        <v>3</v>
      </c>
      <c r="C858" s="63" t="s">
        <v>3536</v>
      </c>
      <c r="D858" s="64" t="s">
        <v>3579</v>
      </c>
      <c r="E858" s="63">
        <v>3</v>
      </c>
      <c r="F858" s="63" t="s">
        <v>1433</v>
      </c>
      <c r="G858" s="65">
        <v>45238</v>
      </c>
      <c r="H858" s="65" t="s">
        <v>73</v>
      </c>
      <c r="I858" s="65" t="s">
        <v>1723</v>
      </c>
      <c r="J858" s="63" t="s">
        <v>1916</v>
      </c>
      <c r="K858" s="63" t="s">
        <v>791</v>
      </c>
      <c r="L858" s="63" t="s">
        <v>694</v>
      </c>
    </row>
    <row r="859" spans="1:12" ht="30" customHeight="1">
      <c r="A859" s="172" t="str">
        <f t="shared" si="26"/>
        <v>08/11/20234</v>
      </c>
      <c r="B859" s="166">
        <f t="shared" si="27"/>
        <v>4</v>
      </c>
      <c r="C859" s="63" t="s">
        <v>3632</v>
      </c>
      <c r="D859" s="64" t="s">
        <v>3633</v>
      </c>
      <c r="E859" s="63">
        <v>8</v>
      </c>
      <c r="F859" s="63" t="s">
        <v>2815</v>
      </c>
      <c r="G859" s="65">
        <v>45238</v>
      </c>
      <c r="H859" s="65" t="s">
        <v>73</v>
      </c>
      <c r="I859" s="65" t="s">
        <v>35</v>
      </c>
      <c r="J859" s="63">
        <f>IFERROR(VLOOKUP(I859,Jueces!$A$1:$B$11,2,FALSE),"")</f>
        <v>3</v>
      </c>
      <c r="K859" s="63" t="s">
        <v>797</v>
      </c>
      <c r="L859" s="63" t="s">
        <v>2987</v>
      </c>
    </row>
    <row r="860" spans="1:12" ht="30" customHeight="1">
      <c r="A860" s="172" t="str">
        <f t="shared" si="26"/>
        <v>08/11/20235</v>
      </c>
      <c r="B860" s="166">
        <f t="shared" si="27"/>
        <v>5</v>
      </c>
      <c r="C860" s="63" t="s">
        <v>3716</v>
      </c>
      <c r="D860" s="64" t="s">
        <v>3717</v>
      </c>
      <c r="E860" s="63">
        <v>3</v>
      </c>
      <c r="F860" s="63" t="s">
        <v>3324</v>
      </c>
      <c r="G860" s="65">
        <v>45238</v>
      </c>
      <c r="H860" s="65" t="s">
        <v>73</v>
      </c>
      <c r="I860" s="65" t="s">
        <v>2922</v>
      </c>
      <c r="J860" s="63">
        <v>1</v>
      </c>
      <c r="K860" s="63" t="s">
        <v>810</v>
      </c>
      <c r="L860" s="63" t="s">
        <v>695</v>
      </c>
    </row>
    <row r="861" spans="1:12" ht="30" customHeight="1">
      <c r="A861" s="172" t="str">
        <f t="shared" si="26"/>
        <v>08/11/20236</v>
      </c>
      <c r="B861" s="166">
        <f t="shared" si="27"/>
        <v>6</v>
      </c>
      <c r="C861" s="63" t="s">
        <v>3543</v>
      </c>
      <c r="D861" s="64" t="s">
        <v>3587</v>
      </c>
      <c r="E861" s="63">
        <v>3</v>
      </c>
      <c r="F861" s="63" t="s">
        <v>3323</v>
      </c>
      <c r="G861" s="65">
        <v>45238</v>
      </c>
      <c r="H861" s="65" t="s">
        <v>1083</v>
      </c>
      <c r="I861" s="65" t="s">
        <v>78</v>
      </c>
      <c r="J861" s="63">
        <f>IFERROR(VLOOKUP(I861,Jueces!$A$1:$B$11,2,FALSE),"")</f>
        <v>8</v>
      </c>
      <c r="K861" s="63" t="s">
        <v>798</v>
      </c>
      <c r="L861" s="63" t="s">
        <v>694</v>
      </c>
    </row>
    <row r="862" spans="1:12" ht="30" customHeight="1">
      <c r="A862" s="172" t="str">
        <f t="shared" si="26"/>
        <v>08/11/20237</v>
      </c>
      <c r="B862" s="166">
        <f t="shared" si="27"/>
        <v>7</v>
      </c>
      <c r="C862" s="63" t="s">
        <v>3583</v>
      </c>
      <c r="D862" s="64" t="s">
        <v>3584</v>
      </c>
      <c r="E862" s="63">
        <v>3</v>
      </c>
      <c r="F862" s="63" t="s">
        <v>1435</v>
      </c>
      <c r="G862" s="65">
        <v>45238</v>
      </c>
      <c r="H862" s="65" t="s">
        <v>1083</v>
      </c>
      <c r="I862" s="65" t="s">
        <v>1221</v>
      </c>
      <c r="J862" s="63">
        <f>IFERROR(VLOOKUP(I862,Jueces!$A$1:$B$11,2,FALSE),"")</f>
        <v>6</v>
      </c>
      <c r="K862" s="63" t="s">
        <v>3913</v>
      </c>
      <c r="L862" s="7" t="s">
        <v>695</v>
      </c>
    </row>
    <row r="863" spans="1:12" ht="30" customHeight="1">
      <c r="A863" s="172" t="str">
        <f t="shared" si="26"/>
        <v>08/11/20238</v>
      </c>
      <c r="B863" s="166">
        <f t="shared" si="27"/>
        <v>8</v>
      </c>
      <c r="C863" s="63" t="s">
        <v>3588</v>
      </c>
      <c r="D863" s="64" t="s">
        <v>3855</v>
      </c>
      <c r="E863" s="63">
        <v>3</v>
      </c>
      <c r="F863" s="63" t="s">
        <v>283</v>
      </c>
      <c r="G863" s="65">
        <v>45238</v>
      </c>
      <c r="H863" s="65" t="s">
        <v>1206</v>
      </c>
      <c r="I863" s="65" t="s">
        <v>1217</v>
      </c>
      <c r="J863" s="63">
        <v>8</v>
      </c>
      <c r="K863" s="63" t="s">
        <v>789</v>
      </c>
      <c r="L863" s="63" t="s">
        <v>694</v>
      </c>
    </row>
    <row r="864" spans="1:12" ht="30" customHeight="1">
      <c r="A864" s="172" t="str">
        <f t="shared" si="26"/>
        <v>08/11/20239</v>
      </c>
      <c r="B864" s="166">
        <f t="shared" si="27"/>
        <v>9</v>
      </c>
      <c r="C864" s="63" t="s">
        <v>3711</v>
      </c>
      <c r="D864" s="64" t="s">
        <v>3865</v>
      </c>
      <c r="E864" s="63">
        <v>3</v>
      </c>
      <c r="F864" s="63" t="s">
        <v>2815</v>
      </c>
      <c r="G864" s="65">
        <v>45238</v>
      </c>
      <c r="H864" s="65" t="s">
        <v>547</v>
      </c>
      <c r="I864" s="65" t="s">
        <v>78</v>
      </c>
      <c r="J864" s="63">
        <v>8</v>
      </c>
      <c r="K864" s="63" t="s">
        <v>791</v>
      </c>
      <c r="L864" s="63" t="s">
        <v>694</v>
      </c>
    </row>
    <row r="865" spans="1:12" ht="30" customHeight="1">
      <c r="A865" s="172" t="str">
        <f t="shared" si="26"/>
        <v>09/11/20231</v>
      </c>
      <c r="B865" s="166">
        <f t="shared" si="27"/>
        <v>1</v>
      </c>
      <c r="C865" s="63" t="s">
        <v>3467</v>
      </c>
      <c r="D865" s="64" t="s">
        <v>3468</v>
      </c>
      <c r="E865" s="63">
        <v>2</v>
      </c>
      <c r="F865" s="63" t="s">
        <v>1435</v>
      </c>
      <c r="G865" s="65">
        <v>45239</v>
      </c>
      <c r="H865" s="65" t="s">
        <v>73</v>
      </c>
      <c r="I865" s="65" t="s">
        <v>78</v>
      </c>
      <c r="J865" s="63">
        <f>IFERROR(VLOOKUP(I865,Jueces!$A$1:$B$11,2,FALSE),"")</f>
        <v>8</v>
      </c>
      <c r="K865" s="63" t="s">
        <v>2077</v>
      </c>
      <c r="L865" s="335" t="s">
        <v>782</v>
      </c>
    </row>
    <row r="866" spans="1:12" ht="30" customHeight="1">
      <c r="A866" s="172" t="str">
        <f t="shared" si="26"/>
        <v>09/11/20232</v>
      </c>
      <c r="B866" s="166">
        <f t="shared" si="27"/>
        <v>2</v>
      </c>
      <c r="C866" s="63" t="s">
        <v>3497</v>
      </c>
      <c r="D866" s="64" t="s">
        <v>3498</v>
      </c>
      <c r="E866" s="63">
        <v>2</v>
      </c>
      <c r="F866" s="63" t="s">
        <v>283</v>
      </c>
      <c r="G866" s="65">
        <v>45239</v>
      </c>
      <c r="H866" s="65" t="s">
        <v>73</v>
      </c>
      <c r="I866" s="65" t="s">
        <v>1723</v>
      </c>
      <c r="J866" s="63">
        <v>2</v>
      </c>
      <c r="K866" s="63" t="s">
        <v>688</v>
      </c>
      <c r="L866" s="63" t="s">
        <v>3730</v>
      </c>
    </row>
    <row r="867" spans="1:12" ht="30" customHeight="1">
      <c r="A867" s="172" t="str">
        <f t="shared" si="26"/>
        <v>09/11/20233</v>
      </c>
      <c r="B867" s="166">
        <f t="shared" si="27"/>
        <v>3</v>
      </c>
      <c r="C867" s="63" t="s">
        <v>3548</v>
      </c>
      <c r="D867" s="64" t="s">
        <v>3582</v>
      </c>
      <c r="E867" s="63">
        <v>3</v>
      </c>
      <c r="F867" s="63" t="s">
        <v>3323</v>
      </c>
      <c r="G867" s="65">
        <v>45239</v>
      </c>
      <c r="H867" s="65" t="s">
        <v>73</v>
      </c>
      <c r="I867" s="65" t="s">
        <v>2925</v>
      </c>
      <c r="J867" s="63">
        <v>5</v>
      </c>
      <c r="K867" s="63" t="s">
        <v>811</v>
      </c>
      <c r="L867" s="63" t="s">
        <v>694</v>
      </c>
    </row>
    <row r="868" spans="1:12" ht="30" customHeight="1">
      <c r="A868" s="172" t="str">
        <f t="shared" si="26"/>
        <v>09/11/20234</v>
      </c>
      <c r="B868" s="166">
        <f t="shared" si="27"/>
        <v>4</v>
      </c>
      <c r="C868" s="63" t="s">
        <v>3611</v>
      </c>
      <c r="D868" s="64" t="s">
        <v>3612</v>
      </c>
      <c r="E868" s="63">
        <v>1</v>
      </c>
      <c r="F868" s="63" t="s">
        <v>2766</v>
      </c>
      <c r="G868" s="65">
        <v>45239</v>
      </c>
      <c r="H868" s="65" t="s">
        <v>73</v>
      </c>
      <c r="I868" s="65" t="s">
        <v>35</v>
      </c>
      <c r="J868" s="63">
        <f>IFERROR(VLOOKUP(I868,Jueces!$A$1:$B$11,2,FALSE),"")</f>
        <v>3</v>
      </c>
      <c r="K868" s="63" t="s">
        <v>812</v>
      </c>
      <c r="L868" s="63" t="s">
        <v>2043</v>
      </c>
    </row>
    <row r="869" spans="1:12" ht="30" customHeight="1">
      <c r="A869" s="172" t="str">
        <f t="shared" si="26"/>
        <v>09/11/20235</v>
      </c>
      <c r="B869" s="166">
        <f t="shared" si="27"/>
        <v>5</v>
      </c>
      <c r="C869" s="63" t="s">
        <v>3341</v>
      </c>
      <c r="D869" s="64" t="s">
        <v>3692</v>
      </c>
      <c r="E869" s="63">
        <v>1</v>
      </c>
      <c r="F869" s="63" t="s">
        <v>43</v>
      </c>
      <c r="G869" s="65">
        <v>45239</v>
      </c>
      <c r="H869" s="65" t="s">
        <v>73</v>
      </c>
      <c r="I869" s="65" t="s">
        <v>2922</v>
      </c>
      <c r="J869" s="63" t="s">
        <v>3872</v>
      </c>
      <c r="K869" s="63" t="s">
        <v>582</v>
      </c>
      <c r="L869" s="330" t="s">
        <v>3763</v>
      </c>
    </row>
    <row r="870" spans="1:12" ht="30" customHeight="1">
      <c r="A870" s="172" t="str">
        <f t="shared" si="26"/>
        <v>09/11/20236</v>
      </c>
      <c r="B870" s="166">
        <f t="shared" si="27"/>
        <v>6</v>
      </c>
      <c r="C870" s="63" t="s">
        <v>3547</v>
      </c>
      <c r="D870" s="64" t="s">
        <v>3581</v>
      </c>
      <c r="E870" s="63">
        <v>3</v>
      </c>
      <c r="F870" s="63" t="s">
        <v>568</v>
      </c>
      <c r="G870" s="65">
        <v>45239</v>
      </c>
      <c r="H870" s="65" t="s">
        <v>1083</v>
      </c>
      <c r="I870" s="65" t="s">
        <v>1216</v>
      </c>
      <c r="J870" s="63">
        <f>IFERROR(VLOOKUP(I870,Jueces!$A$1:$B$11,2,FALSE),"")</f>
        <v>1</v>
      </c>
      <c r="K870" s="63" t="s">
        <v>810</v>
      </c>
      <c r="L870" s="63" t="s">
        <v>694</v>
      </c>
    </row>
    <row r="871" spans="1:12" ht="30" customHeight="1">
      <c r="A871" s="172" t="str">
        <f t="shared" si="26"/>
        <v>09/11/20237</v>
      </c>
      <c r="B871" s="166">
        <f t="shared" si="27"/>
        <v>7</v>
      </c>
      <c r="C871" s="63" t="s">
        <v>3619</v>
      </c>
      <c r="D871" s="64" t="s">
        <v>3620</v>
      </c>
      <c r="E871" s="63">
        <v>3</v>
      </c>
      <c r="F871" s="63" t="s">
        <v>3324</v>
      </c>
      <c r="G871" s="65">
        <v>45239</v>
      </c>
      <c r="H871" s="65" t="s">
        <v>1083</v>
      </c>
      <c r="I871" s="65" t="s">
        <v>1217</v>
      </c>
      <c r="J871" s="63">
        <v>5</v>
      </c>
      <c r="K871" s="63" t="s">
        <v>802</v>
      </c>
      <c r="L871" s="7" t="s">
        <v>695</v>
      </c>
    </row>
    <row r="872" spans="1:12" ht="30" customHeight="1">
      <c r="A872" s="172" t="str">
        <f t="shared" si="26"/>
        <v>10/11/20231</v>
      </c>
      <c r="B872" s="166">
        <f t="shared" si="27"/>
        <v>1</v>
      </c>
      <c r="C872" s="63" t="s">
        <v>3490</v>
      </c>
      <c r="D872" s="64" t="s">
        <v>3427</v>
      </c>
      <c r="E872" s="63">
        <v>2</v>
      </c>
      <c r="F872" s="63" t="s">
        <v>1435</v>
      </c>
      <c r="G872" s="65">
        <v>45240</v>
      </c>
      <c r="H872" s="65" t="s">
        <v>73</v>
      </c>
      <c r="I872" s="65" t="s">
        <v>78</v>
      </c>
      <c r="J872" s="63">
        <f>IFERROR(VLOOKUP(I872,Jueces!$A$1:$B$11,2,FALSE),"")</f>
        <v>8</v>
      </c>
      <c r="K872" s="63" t="s">
        <v>2077</v>
      </c>
      <c r="L872" s="63" t="s">
        <v>692</v>
      </c>
    </row>
    <row r="873" spans="1:12" ht="30" customHeight="1">
      <c r="A873" s="172" t="str">
        <f t="shared" si="26"/>
        <v>10/11/20232</v>
      </c>
      <c r="B873" s="166">
        <f t="shared" si="27"/>
        <v>2</v>
      </c>
      <c r="C873" s="63" t="s">
        <v>3534</v>
      </c>
      <c r="D873" s="64" t="s">
        <v>3596</v>
      </c>
      <c r="E873" s="63">
        <v>2</v>
      </c>
      <c r="F873" s="63" t="s">
        <v>2766</v>
      </c>
      <c r="G873" s="65">
        <v>45240</v>
      </c>
      <c r="H873" s="65" t="s">
        <v>73</v>
      </c>
      <c r="I873" s="65" t="s">
        <v>1723</v>
      </c>
      <c r="J873" s="63" t="s">
        <v>1916</v>
      </c>
      <c r="K873" s="63" t="s">
        <v>797</v>
      </c>
      <c r="L873" s="63" t="s">
        <v>693</v>
      </c>
    </row>
    <row r="874" spans="1:12" ht="30" customHeight="1">
      <c r="A874" s="172" t="str">
        <f t="shared" si="26"/>
        <v>10/11/20233</v>
      </c>
      <c r="B874" s="166">
        <f t="shared" si="27"/>
        <v>3</v>
      </c>
      <c r="C874" s="63" t="s">
        <v>3597</v>
      </c>
      <c r="D874" s="64" t="s">
        <v>3598</v>
      </c>
      <c r="E874" s="63">
        <v>3</v>
      </c>
      <c r="F874" s="63" t="s">
        <v>1433</v>
      </c>
      <c r="G874" s="65">
        <v>45240</v>
      </c>
      <c r="H874" s="65" t="s">
        <v>73</v>
      </c>
      <c r="I874" s="65" t="s">
        <v>2925</v>
      </c>
      <c r="J874" s="63" t="s">
        <v>1341</v>
      </c>
      <c r="K874" s="63" t="s">
        <v>810</v>
      </c>
      <c r="L874" s="63" t="s">
        <v>694</v>
      </c>
    </row>
    <row r="875" spans="1:12" ht="30" customHeight="1">
      <c r="A875" s="172" t="str">
        <f t="shared" si="26"/>
        <v>10/11/20234</v>
      </c>
      <c r="B875" s="166">
        <f t="shared" si="27"/>
        <v>4</v>
      </c>
      <c r="C875" s="63" t="s">
        <v>3585</v>
      </c>
      <c r="D875" s="64" t="s">
        <v>3586</v>
      </c>
      <c r="E875" s="63">
        <v>3</v>
      </c>
      <c r="F875" s="63" t="s">
        <v>568</v>
      </c>
      <c r="G875" s="65">
        <v>45240</v>
      </c>
      <c r="H875" s="65" t="s">
        <v>1083</v>
      </c>
      <c r="I875" s="65" t="s">
        <v>35</v>
      </c>
      <c r="J875" s="63">
        <f>IFERROR(VLOOKUP(I875,Jueces!$A$1:$B$11,2,FALSE),"")</f>
        <v>3</v>
      </c>
      <c r="K875" s="63" t="s">
        <v>810</v>
      </c>
      <c r="L875" s="7" t="s">
        <v>694</v>
      </c>
    </row>
    <row r="876" spans="1:12" ht="30" customHeight="1">
      <c r="A876" s="172" t="str">
        <f t="shared" si="26"/>
        <v>10/11/20235</v>
      </c>
      <c r="B876" s="166">
        <f t="shared" si="27"/>
        <v>5</v>
      </c>
      <c r="C876" s="63" t="s">
        <v>3670</v>
      </c>
      <c r="D876" s="64" t="s">
        <v>3671</v>
      </c>
      <c r="E876" s="63">
        <v>1</v>
      </c>
      <c r="F876" s="63" t="s">
        <v>1434</v>
      </c>
      <c r="G876" s="65">
        <v>45240</v>
      </c>
      <c r="H876" s="65" t="s">
        <v>1083</v>
      </c>
      <c r="I876" s="65" t="s">
        <v>1221</v>
      </c>
      <c r="J876" s="63">
        <f>IFERROR(VLOOKUP(I876,Jueces!$A$1:$B$11,2,FALSE),"")</f>
        <v>6</v>
      </c>
      <c r="K876" s="63" t="s">
        <v>1067</v>
      </c>
      <c r="L876" s="63" t="s">
        <v>3698</v>
      </c>
    </row>
    <row r="877" spans="1:12" ht="30" customHeight="1">
      <c r="A877" s="172" t="str">
        <f t="shared" si="26"/>
        <v>10/11/20236</v>
      </c>
      <c r="B877" s="166">
        <f t="shared" si="27"/>
        <v>6</v>
      </c>
      <c r="C877" s="63" t="s">
        <v>3613</v>
      </c>
      <c r="D877" s="64" t="s">
        <v>3614</v>
      </c>
      <c r="E877" s="63">
        <v>2</v>
      </c>
      <c r="F877" s="63" t="s">
        <v>3324</v>
      </c>
      <c r="G877" s="65">
        <v>45240</v>
      </c>
      <c r="H877" s="65" t="s">
        <v>228</v>
      </c>
      <c r="I877" s="65" t="s">
        <v>1216</v>
      </c>
      <c r="J877" s="63">
        <v>5</v>
      </c>
      <c r="K877" s="63" t="s">
        <v>508</v>
      </c>
      <c r="L877" s="63" t="s">
        <v>3631</v>
      </c>
    </row>
    <row r="878" spans="1:12" ht="30" customHeight="1">
      <c r="A878" s="172" t="str">
        <f t="shared" si="26"/>
        <v>10/11/20237</v>
      </c>
      <c r="B878" s="166">
        <f t="shared" si="27"/>
        <v>7</v>
      </c>
      <c r="C878" s="63" t="s">
        <v>3693</v>
      </c>
      <c r="D878" s="64" t="s">
        <v>3694</v>
      </c>
      <c r="E878" s="63">
        <v>3</v>
      </c>
      <c r="F878" s="63" t="s">
        <v>2815</v>
      </c>
      <c r="G878" s="65">
        <v>45240</v>
      </c>
      <c r="H878" s="65" t="s">
        <v>228</v>
      </c>
      <c r="I878" s="65" t="s">
        <v>1217</v>
      </c>
      <c r="J878" s="63" t="s">
        <v>3762</v>
      </c>
      <c r="K878" s="63" t="s">
        <v>808</v>
      </c>
      <c r="L878" s="63" t="s">
        <v>1281</v>
      </c>
    </row>
    <row r="879" spans="1:12" ht="30" customHeight="1">
      <c r="A879" s="172" t="str">
        <f t="shared" si="26"/>
        <v>10/11/20238</v>
      </c>
      <c r="B879" s="166">
        <f t="shared" si="27"/>
        <v>8</v>
      </c>
      <c r="C879" s="63" t="s">
        <v>3592</v>
      </c>
      <c r="D879" s="64" t="s">
        <v>3593</v>
      </c>
      <c r="E879" s="63">
        <v>2</v>
      </c>
      <c r="F879" s="63" t="s">
        <v>3791</v>
      </c>
      <c r="G879" s="65">
        <v>45240</v>
      </c>
      <c r="H879" s="65" t="s">
        <v>2011</v>
      </c>
      <c r="I879" s="65" t="s">
        <v>78</v>
      </c>
      <c r="J879" s="63" t="s">
        <v>2324</v>
      </c>
      <c r="K879" s="63" t="s">
        <v>805</v>
      </c>
      <c r="L879" s="63" t="s">
        <v>694</v>
      </c>
    </row>
    <row r="880" spans="1:12" ht="30" customHeight="1">
      <c r="A880" s="172" t="str">
        <f t="shared" si="26"/>
        <v>13/11/20231</v>
      </c>
      <c r="B880" s="166">
        <f t="shared" si="27"/>
        <v>1</v>
      </c>
      <c r="C880" s="63" t="s">
        <v>3523</v>
      </c>
      <c r="D880" s="64" t="s">
        <v>3524</v>
      </c>
      <c r="E880" s="63">
        <v>2</v>
      </c>
      <c r="F880" s="63" t="s">
        <v>3323</v>
      </c>
      <c r="G880" s="65">
        <v>45243</v>
      </c>
      <c r="H880" s="65" t="s">
        <v>73</v>
      </c>
      <c r="I880" s="65" t="s">
        <v>2922</v>
      </c>
      <c r="J880" s="63">
        <v>2</v>
      </c>
      <c r="K880" s="63" t="s">
        <v>801</v>
      </c>
      <c r="L880" s="63" t="s">
        <v>693</v>
      </c>
    </row>
    <row r="881" spans="1:12" ht="30" customHeight="1">
      <c r="A881" s="172" t="str">
        <f t="shared" si="26"/>
        <v>13/11/20232</v>
      </c>
      <c r="B881" s="166">
        <f t="shared" si="27"/>
        <v>2</v>
      </c>
      <c r="C881" s="325" t="s">
        <v>3606</v>
      </c>
      <c r="D881" s="64" t="s">
        <v>3607</v>
      </c>
      <c r="E881" s="63">
        <v>3</v>
      </c>
      <c r="F881" s="63" t="s">
        <v>1434</v>
      </c>
      <c r="G881" s="65">
        <v>45243</v>
      </c>
      <c r="H881" s="65" t="s">
        <v>73</v>
      </c>
      <c r="I881" s="65" t="s">
        <v>35</v>
      </c>
      <c r="J881" s="63">
        <f>IFERROR(VLOOKUP(I881,Jueces!$A$1:$B$11,2,FALSE),"")</f>
        <v>3</v>
      </c>
      <c r="K881" s="63" t="s">
        <v>809</v>
      </c>
      <c r="L881" s="63" t="s">
        <v>694</v>
      </c>
    </row>
    <row r="882" spans="1:12" ht="30" customHeight="1">
      <c r="A882" s="172" t="str">
        <f t="shared" si="26"/>
        <v>13/11/20233</v>
      </c>
      <c r="B882" s="166">
        <f t="shared" si="27"/>
        <v>3</v>
      </c>
      <c r="C882" s="63" t="s">
        <v>3680</v>
      </c>
      <c r="D882" s="64" t="s">
        <v>3681</v>
      </c>
      <c r="E882" s="63">
        <v>3</v>
      </c>
      <c r="F882" s="63" t="s">
        <v>568</v>
      </c>
      <c r="G882" s="65">
        <v>45243</v>
      </c>
      <c r="H882" s="65" t="s">
        <v>73</v>
      </c>
      <c r="I882" s="65" t="s">
        <v>1217</v>
      </c>
      <c r="J882" s="63" t="s">
        <v>1982</v>
      </c>
      <c r="K882" s="63" t="s">
        <v>808</v>
      </c>
      <c r="L882" s="63" t="s">
        <v>697</v>
      </c>
    </row>
    <row r="883" spans="1:12" ht="30" customHeight="1">
      <c r="A883" s="172" t="str">
        <f t="shared" si="26"/>
        <v>13/11/20234</v>
      </c>
      <c r="B883" s="166">
        <f t="shared" si="27"/>
        <v>4</v>
      </c>
      <c r="C883" s="63" t="s">
        <v>3571</v>
      </c>
      <c r="D883" s="64" t="s">
        <v>3570</v>
      </c>
      <c r="E883" s="63">
        <v>2</v>
      </c>
      <c r="F883" s="63" t="s">
        <v>2766</v>
      </c>
      <c r="G883" s="65">
        <v>45243</v>
      </c>
      <c r="H883" s="65" t="s">
        <v>1083</v>
      </c>
      <c r="I883" s="65" t="s">
        <v>1217</v>
      </c>
      <c r="J883" s="63">
        <v>5</v>
      </c>
      <c r="K883" s="63" t="s">
        <v>807</v>
      </c>
      <c r="L883" s="63" t="s">
        <v>693</v>
      </c>
    </row>
    <row r="884" spans="1:12" ht="30" customHeight="1">
      <c r="A884" s="172" t="str">
        <f t="shared" si="26"/>
        <v>13/11/20235</v>
      </c>
      <c r="B884" s="166">
        <f t="shared" si="27"/>
        <v>5</v>
      </c>
      <c r="C884" s="63" t="s">
        <v>3976</v>
      </c>
      <c r="D884" s="64" t="s">
        <v>3580</v>
      </c>
      <c r="E884" s="63">
        <v>3</v>
      </c>
      <c r="F884" s="63" t="s">
        <v>283</v>
      </c>
      <c r="G884" s="65">
        <v>45243</v>
      </c>
      <c r="H884" s="65" t="s">
        <v>1083</v>
      </c>
      <c r="I884" s="65" t="s">
        <v>1216</v>
      </c>
      <c r="J884" s="63">
        <f>IFERROR(VLOOKUP(I884,Jueces!$A$1:$B$11,2,FALSE),"")</f>
        <v>1</v>
      </c>
      <c r="K884" s="63" t="s">
        <v>810</v>
      </c>
      <c r="L884" s="63" t="s">
        <v>694</v>
      </c>
    </row>
    <row r="885" spans="1:12" ht="30" customHeight="1">
      <c r="A885" s="172" t="str">
        <f t="shared" si="26"/>
        <v>13/11/20236</v>
      </c>
      <c r="B885" s="166">
        <f t="shared" si="27"/>
        <v>6</v>
      </c>
      <c r="C885" s="63" t="s">
        <v>3696</v>
      </c>
      <c r="D885" s="64" t="s">
        <v>3697</v>
      </c>
      <c r="E885" s="63">
        <v>3</v>
      </c>
      <c r="F885" s="63" t="s">
        <v>2815</v>
      </c>
      <c r="G885" s="65">
        <v>45243</v>
      </c>
      <c r="H885" s="65" t="s">
        <v>1083</v>
      </c>
      <c r="I885" s="65" t="s">
        <v>78</v>
      </c>
      <c r="J885" s="63">
        <f>IFERROR(VLOOKUP(I885,Jueces!$A$1:$B$11,2,FALSE),"")</f>
        <v>8</v>
      </c>
      <c r="K885" s="63" t="s">
        <v>2075</v>
      </c>
      <c r="L885" s="63" t="s">
        <v>695</v>
      </c>
    </row>
    <row r="886" spans="1:12" ht="30" customHeight="1">
      <c r="A886" s="172" t="str">
        <f t="shared" si="26"/>
        <v>13/11/20237</v>
      </c>
      <c r="B886" s="166">
        <f t="shared" si="27"/>
        <v>7</v>
      </c>
      <c r="C886" s="325" t="s">
        <v>3714</v>
      </c>
      <c r="D886" s="64" t="s">
        <v>3715</v>
      </c>
      <c r="E886" s="63">
        <v>1</v>
      </c>
      <c r="F886" s="63" t="s">
        <v>1433</v>
      </c>
      <c r="G886" s="65">
        <v>45243</v>
      </c>
      <c r="H886" s="65" t="s">
        <v>1083</v>
      </c>
      <c r="I886" s="65" t="s">
        <v>35</v>
      </c>
      <c r="J886" s="63">
        <f>IFERROR(VLOOKUP(I886,Jueces!$A$1:$B$11,2,FALSE),"")</f>
        <v>3</v>
      </c>
      <c r="K886" s="63" t="s">
        <v>806</v>
      </c>
      <c r="L886" s="63" t="s">
        <v>712</v>
      </c>
    </row>
    <row r="887" spans="1:12" ht="30" customHeight="1">
      <c r="A887" s="172" t="str">
        <f t="shared" si="26"/>
        <v>14/11/20231</v>
      </c>
      <c r="B887" s="166">
        <f t="shared" si="27"/>
        <v>1</v>
      </c>
      <c r="C887" s="63" t="s">
        <v>3594</v>
      </c>
      <c r="D887" s="64" t="s">
        <v>3595</v>
      </c>
      <c r="E887" s="63">
        <v>3</v>
      </c>
      <c r="F887" s="63" t="s">
        <v>2815</v>
      </c>
      <c r="G887" s="65">
        <v>45244</v>
      </c>
      <c r="H887" s="65" t="s">
        <v>73</v>
      </c>
      <c r="I887" s="65" t="s">
        <v>1217</v>
      </c>
      <c r="J887" s="63" t="s">
        <v>1341</v>
      </c>
      <c r="K887" s="63" t="s">
        <v>808</v>
      </c>
      <c r="L887" s="63" t="s">
        <v>694</v>
      </c>
    </row>
    <row r="888" spans="1:12" ht="30" customHeight="1">
      <c r="A888" s="172" t="str">
        <f t="shared" si="26"/>
        <v>14/11/20232</v>
      </c>
      <c r="B888" s="166">
        <f t="shared" si="27"/>
        <v>2</v>
      </c>
      <c r="C888" s="63" t="s">
        <v>3720</v>
      </c>
      <c r="D888" s="64" t="s">
        <v>3721</v>
      </c>
      <c r="E888" s="63">
        <v>6</v>
      </c>
      <c r="F888" s="63" t="s">
        <v>568</v>
      </c>
      <c r="G888" s="65">
        <v>45244</v>
      </c>
      <c r="H888" s="65" t="s">
        <v>73</v>
      </c>
      <c r="I888" s="65" t="s">
        <v>78</v>
      </c>
      <c r="J888" s="63">
        <f>IFERROR(VLOOKUP(I888,Jueces!$A$1:$B$11,2,FALSE),"")</f>
        <v>8</v>
      </c>
      <c r="K888" s="63" t="s">
        <v>802</v>
      </c>
      <c r="L888" s="339" t="s">
        <v>3743</v>
      </c>
    </row>
    <row r="889" spans="1:12" ht="30" customHeight="1">
      <c r="A889" s="172" t="str">
        <f t="shared" si="26"/>
        <v>14/11/20233</v>
      </c>
      <c r="B889" s="166">
        <f t="shared" si="27"/>
        <v>3</v>
      </c>
      <c r="C889" s="63" t="s">
        <v>3370</v>
      </c>
      <c r="D889" s="64" t="s">
        <v>3723</v>
      </c>
      <c r="E889" s="63">
        <v>2</v>
      </c>
      <c r="F889" s="63" t="s">
        <v>1434</v>
      </c>
      <c r="G889" s="65">
        <v>45244</v>
      </c>
      <c r="H889" s="65" t="s">
        <v>73</v>
      </c>
      <c r="I889" s="65" t="s">
        <v>35</v>
      </c>
      <c r="J889" s="63">
        <f>IFERROR(VLOOKUP(I889,Jueces!$A$1:$B$11,2,FALSE),"")</f>
        <v>3</v>
      </c>
      <c r="K889" s="63" t="s">
        <v>797</v>
      </c>
      <c r="L889" s="63" t="s">
        <v>711</v>
      </c>
    </row>
    <row r="890" spans="1:12" ht="30" customHeight="1">
      <c r="A890" s="172" t="str">
        <f t="shared" si="26"/>
        <v>14/11/20234</v>
      </c>
      <c r="B890" s="166">
        <f t="shared" si="27"/>
        <v>4</v>
      </c>
      <c r="C890" s="63" t="s">
        <v>3617</v>
      </c>
      <c r="D890" s="64" t="s">
        <v>3618</v>
      </c>
      <c r="E890" s="63">
        <v>2</v>
      </c>
      <c r="F890" s="63" t="s">
        <v>3323</v>
      </c>
      <c r="G890" s="65">
        <v>45244</v>
      </c>
      <c r="H890" s="65" t="s">
        <v>749</v>
      </c>
      <c r="I890" s="65" t="s">
        <v>1221</v>
      </c>
      <c r="J890" s="63">
        <f>IFERROR(VLOOKUP(I890,Jueces!$A$1:$B$11,2,FALSE),"")</f>
        <v>6</v>
      </c>
      <c r="K890" s="63" t="s">
        <v>810</v>
      </c>
      <c r="L890" s="63" t="s">
        <v>693</v>
      </c>
    </row>
    <row r="891" spans="1:12" ht="30" customHeight="1">
      <c r="A891" s="172" t="str">
        <f t="shared" si="26"/>
        <v>14/11/20235</v>
      </c>
      <c r="B891" s="166">
        <f t="shared" si="27"/>
        <v>5</v>
      </c>
      <c r="C891" s="63" t="s">
        <v>3447</v>
      </c>
      <c r="D891" s="64" t="s">
        <v>3453</v>
      </c>
      <c r="E891" s="63">
        <v>2</v>
      </c>
      <c r="F891" s="63" t="s">
        <v>3324</v>
      </c>
      <c r="G891" s="65">
        <v>45244</v>
      </c>
      <c r="H891" s="65" t="s">
        <v>1083</v>
      </c>
      <c r="I891" s="65" t="s">
        <v>35</v>
      </c>
      <c r="J891" s="63">
        <f>IFERROR(VLOOKUP(I891,Jueces!$A$1:$B$11,2,FALSE),"")</f>
        <v>3</v>
      </c>
      <c r="K891" s="63" t="s">
        <v>812</v>
      </c>
      <c r="L891" s="339" t="s">
        <v>2680</v>
      </c>
    </row>
    <row r="892" spans="1:12" ht="30" customHeight="1">
      <c r="A892" s="172" t="str">
        <f t="shared" si="26"/>
        <v>14/11/20236</v>
      </c>
      <c r="B892" s="166">
        <f t="shared" si="27"/>
        <v>6</v>
      </c>
      <c r="C892" s="63" t="s">
        <v>3576</v>
      </c>
      <c r="D892" s="64" t="s">
        <v>3577</v>
      </c>
      <c r="E892" s="63">
        <v>3</v>
      </c>
      <c r="F892" s="63" t="s">
        <v>1433</v>
      </c>
      <c r="G892" s="65">
        <v>45244</v>
      </c>
      <c r="H892" s="65" t="s">
        <v>1083</v>
      </c>
      <c r="I892" s="65" t="s">
        <v>1216</v>
      </c>
      <c r="J892" s="63">
        <f>IFERROR(VLOOKUP(I892,Jueces!$A$1:$B$11,2,FALSE),"")</f>
        <v>1</v>
      </c>
      <c r="K892" s="63" t="s">
        <v>791</v>
      </c>
      <c r="L892" s="63" t="s">
        <v>694</v>
      </c>
    </row>
    <row r="893" spans="1:12" ht="30" customHeight="1">
      <c r="A893" s="172" t="str">
        <f t="shared" si="26"/>
        <v>14/11/20237</v>
      </c>
      <c r="B893" s="166">
        <f t="shared" si="27"/>
        <v>7</v>
      </c>
      <c r="C893" s="63" t="s">
        <v>3718</v>
      </c>
      <c r="D893" s="64" t="s">
        <v>3741</v>
      </c>
      <c r="E893" s="63">
        <v>3</v>
      </c>
      <c r="F893" s="63" t="s">
        <v>283</v>
      </c>
      <c r="G893" s="65">
        <v>45244</v>
      </c>
      <c r="H893" s="65" t="s">
        <v>1083</v>
      </c>
      <c r="I893" s="65" t="s">
        <v>78</v>
      </c>
      <c r="J893" s="63">
        <f>IFERROR(VLOOKUP(I893,Jueces!$A$1:$B$11,2,FALSE),"")</f>
        <v>8</v>
      </c>
      <c r="K893" s="63" t="s">
        <v>800</v>
      </c>
      <c r="L893" s="63" t="s">
        <v>1956</v>
      </c>
    </row>
    <row r="894" spans="1:12" ht="30" customHeight="1">
      <c r="A894" s="172" t="str">
        <f t="shared" si="26"/>
        <v>14/11/20238</v>
      </c>
      <c r="B894" s="166">
        <f t="shared" si="27"/>
        <v>8</v>
      </c>
      <c r="C894" s="325" t="s">
        <v>2562</v>
      </c>
      <c r="D894" s="64" t="s">
        <v>3967</v>
      </c>
      <c r="E894" s="336">
        <v>6</v>
      </c>
      <c r="F894" s="336" t="s">
        <v>29</v>
      </c>
      <c r="G894" s="349">
        <v>45244</v>
      </c>
      <c r="H894" s="65" t="s">
        <v>1083</v>
      </c>
      <c r="I894" s="349" t="s">
        <v>1217</v>
      </c>
      <c r="J894" s="63" t="s">
        <v>3989</v>
      </c>
      <c r="K894" s="63" t="s">
        <v>790</v>
      </c>
      <c r="L894" s="63" t="s">
        <v>2107</v>
      </c>
    </row>
    <row r="895" spans="1:12" ht="30" customHeight="1">
      <c r="A895" s="172" t="str">
        <f t="shared" si="26"/>
        <v>15/11/20231</v>
      </c>
      <c r="B895" s="166">
        <f t="shared" si="27"/>
        <v>1</v>
      </c>
      <c r="C895" s="7" t="s">
        <v>3553</v>
      </c>
      <c r="D895" s="40" t="s">
        <v>3554</v>
      </c>
      <c r="E895" s="7">
        <v>3</v>
      </c>
      <c r="F895" s="7" t="s">
        <v>2815</v>
      </c>
      <c r="G895" s="19">
        <v>45245</v>
      </c>
      <c r="H895" s="19" t="s">
        <v>73</v>
      </c>
      <c r="I895" s="19" t="s">
        <v>31</v>
      </c>
      <c r="J895" s="7">
        <f>IFERROR(VLOOKUP(I895,Jueces!$A$1:$B$11,2,FALSE),"")</f>
        <v>2</v>
      </c>
      <c r="K895" s="7" t="s">
        <v>807</v>
      </c>
      <c r="L895" s="7" t="s">
        <v>694</v>
      </c>
    </row>
    <row r="896" spans="1:12" ht="30" customHeight="1">
      <c r="A896" s="172" t="str">
        <f t="shared" si="26"/>
        <v>15/11/20232</v>
      </c>
      <c r="B896" s="166">
        <f t="shared" si="27"/>
        <v>2</v>
      </c>
      <c r="C896" s="63" t="s">
        <v>3668</v>
      </c>
      <c r="D896" s="64" t="s">
        <v>3669</v>
      </c>
      <c r="E896" s="63">
        <v>7</v>
      </c>
      <c r="F896" s="63" t="s">
        <v>568</v>
      </c>
      <c r="G896" s="65">
        <v>45245</v>
      </c>
      <c r="H896" s="65" t="s">
        <v>73</v>
      </c>
      <c r="I896" s="65" t="s">
        <v>35</v>
      </c>
      <c r="J896" s="63">
        <f>IFERROR(VLOOKUP(I896,Jueces!$A$1:$B$11,2,FALSE),"")</f>
        <v>3</v>
      </c>
      <c r="K896" s="63" t="s">
        <v>582</v>
      </c>
      <c r="L896" s="337" t="s">
        <v>2103</v>
      </c>
    </row>
    <row r="897" spans="1:12" ht="30" customHeight="1">
      <c r="A897" s="172" t="str">
        <f t="shared" si="26"/>
        <v>15/11/20233</v>
      </c>
      <c r="B897" s="166">
        <f t="shared" si="27"/>
        <v>3</v>
      </c>
      <c r="C897" s="63" t="s">
        <v>3710</v>
      </c>
      <c r="D897" s="64" t="s">
        <v>3742</v>
      </c>
      <c r="E897" s="63">
        <v>3</v>
      </c>
      <c r="F897" s="63" t="s">
        <v>2766</v>
      </c>
      <c r="G897" s="65">
        <v>45245</v>
      </c>
      <c r="H897" s="65" t="s">
        <v>73</v>
      </c>
      <c r="I897" s="65" t="s">
        <v>78</v>
      </c>
      <c r="J897" s="63">
        <v>8</v>
      </c>
      <c r="K897" s="63" t="s">
        <v>802</v>
      </c>
      <c r="L897" s="63" t="s">
        <v>695</v>
      </c>
    </row>
    <row r="898" spans="1:12" ht="30" customHeight="1">
      <c r="A898" s="172" t="str">
        <f t="shared" si="26"/>
        <v>15/11/20234</v>
      </c>
      <c r="B898" s="166">
        <f t="shared" si="27"/>
        <v>4</v>
      </c>
      <c r="C898" s="63" t="s">
        <v>3712</v>
      </c>
      <c r="D898" s="64" t="s">
        <v>3713</v>
      </c>
      <c r="E898" s="63">
        <v>3</v>
      </c>
      <c r="F898" s="63" t="s">
        <v>3323</v>
      </c>
      <c r="G898" s="65">
        <v>45245</v>
      </c>
      <c r="H898" s="65" t="s">
        <v>749</v>
      </c>
      <c r="I898" s="65" t="s">
        <v>1221</v>
      </c>
      <c r="J898" s="63">
        <f>IFERROR(VLOOKUP(I898,Jueces!$A$1:$B$11,2,FALSE),"")</f>
        <v>6</v>
      </c>
      <c r="K898" s="63" t="s">
        <v>811</v>
      </c>
      <c r="L898" s="63" t="s">
        <v>3755</v>
      </c>
    </row>
    <row r="899" spans="1:12" ht="30" customHeight="1">
      <c r="A899" s="172" t="str">
        <f t="shared" ref="A899:A962" si="28">CONCATENATE(TEXT($G899,"dd/mm/yyyy"),$B899)</f>
        <v>15/11/20235</v>
      </c>
      <c r="B899" s="166">
        <f t="shared" si="27"/>
        <v>5</v>
      </c>
      <c r="C899" s="63" t="s">
        <v>3740</v>
      </c>
      <c r="D899" s="64" t="s">
        <v>3722</v>
      </c>
      <c r="E899" s="63">
        <v>3</v>
      </c>
      <c r="F899" s="63" t="s">
        <v>1434</v>
      </c>
      <c r="G899" s="65">
        <v>45245</v>
      </c>
      <c r="H899" s="65" t="s">
        <v>1083</v>
      </c>
      <c r="I899" s="65" t="s">
        <v>1216</v>
      </c>
      <c r="J899" s="63">
        <f>IFERROR(VLOOKUP(I899,Jueces!$A$1:$B$11,2,FALSE),"")</f>
        <v>1</v>
      </c>
      <c r="K899" s="63" t="s">
        <v>789</v>
      </c>
      <c r="L899" s="63" t="s">
        <v>4062</v>
      </c>
    </row>
    <row r="900" spans="1:12" ht="30" customHeight="1">
      <c r="A900" s="172" t="str">
        <f t="shared" si="28"/>
        <v>15/11/20236</v>
      </c>
      <c r="B900" s="166">
        <f t="shared" ref="B900:B963" si="29">IF($G900=$G899,$B899+1,1)</f>
        <v>6</v>
      </c>
      <c r="C900" s="63" t="s">
        <v>3749</v>
      </c>
      <c r="D900" s="64" t="s">
        <v>3750</v>
      </c>
      <c r="E900" s="63">
        <v>3</v>
      </c>
      <c r="F900" s="63" t="s">
        <v>283</v>
      </c>
      <c r="G900" s="65">
        <v>45245</v>
      </c>
      <c r="H900" s="65" t="s">
        <v>1083</v>
      </c>
      <c r="I900" s="65" t="s">
        <v>31</v>
      </c>
      <c r="J900" s="63">
        <f>IFERROR(VLOOKUP(I900,Jueces!$A$1:$B$11,2,FALSE),"")</f>
        <v>2</v>
      </c>
      <c r="K900" s="63" t="s">
        <v>811</v>
      </c>
      <c r="L900" s="63" t="s">
        <v>3755</v>
      </c>
    </row>
    <row r="901" spans="1:12" ht="30" customHeight="1">
      <c r="A901" s="172" t="str">
        <f t="shared" si="28"/>
        <v>16/11/20231</v>
      </c>
      <c r="B901" s="166">
        <f t="shared" si="29"/>
        <v>1</v>
      </c>
      <c r="C901" s="63" t="s">
        <v>3599</v>
      </c>
      <c r="D901" s="64" t="s">
        <v>3605</v>
      </c>
      <c r="E901" s="63">
        <v>3</v>
      </c>
      <c r="F901" s="63" t="s">
        <v>3323</v>
      </c>
      <c r="G901" s="65">
        <v>45246</v>
      </c>
      <c r="H901" s="65" t="s">
        <v>73</v>
      </c>
      <c r="I901" s="65" t="s">
        <v>78</v>
      </c>
      <c r="J901" s="63">
        <f>IFERROR(VLOOKUP(I901,Jueces!$A$1:$B$11,2,FALSE),"")</f>
        <v>8</v>
      </c>
      <c r="K901" s="63" t="s">
        <v>810</v>
      </c>
      <c r="L901" s="63" t="s">
        <v>694</v>
      </c>
    </row>
    <row r="902" spans="1:12" ht="30" customHeight="1">
      <c r="A902" s="172" t="str">
        <f t="shared" si="28"/>
        <v>16/11/20232</v>
      </c>
      <c r="B902" s="166">
        <f t="shared" si="29"/>
        <v>2</v>
      </c>
      <c r="C902" s="63" t="s">
        <v>3676</v>
      </c>
      <c r="D902" s="64" t="s">
        <v>3688</v>
      </c>
      <c r="E902" s="63">
        <v>3</v>
      </c>
      <c r="F902" s="63" t="s">
        <v>1433</v>
      </c>
      <c r="G902" s="65">
        <v>45246</v>
      </c>
      <c r="H902" s="65" t="s">
        <v>73</v>
      </c>
      <c r="I902" s="65" t="s">
        <v>2925</v>
      </c>
      <c r="J902" s="63" t="s">
        <v>3776</v>
      </c>
      <c r="K902" s="63" t="s">
        <v>805</v>
      </c>
      <c r="L902" s="63" t="s">
        <v>1025</v>
      </c>
    </row>
    <row r="903" spans="1:12" ht="30" customHeight="1">
      <c r="A903" s="172" t="str">
        <f t="shared" si="28"/>
        <v>16/11/20233</v>
      </c>
      <c r="B903" s="166">
        <f t="shared" si="29"/>
        <v>3</v>
      </c>
      <c r="C903" s="63" t="s">
        <v>3726</v>
      </c>
      <c r="D903" s="64" t="s">
        <v>3727</v>
      </c>
      <c r="E903" s="63">
        <v>3</v>
      </c>
      <c r="F903" s="63" t="s">
        <v>1435</v>
      </c>
      <c r="G903" s="65">
        <v>45246</v>
      </c>
      <c r="H903" s="65" t="s">
        <v>73</v>
      </c>
      <c r="I903" s="65" t="s">
        <v>33</v>
      </c>
      <c r="J903" s="63">
        <f>IFERROR(VLOOKUP(I903,Jueces!$A$1:$B$11,2,FALSE),"")</f>
        <v>4</v>
      </c>
      <c r="K903" s="63" t="s">
        <v>2076</v>
      </c>
      <c r="L903" s="63" t="s">
        <v>3755</v>
      </c>
    </row>
    <row r="904" spans="1:12" ht="30" customHeight="1">
      <c r="A904" s="172" t="str">
        <f t="shared" si="28"/>
        <v>16/11/20234</v>
      </c>
      <c r="B904" s="166">
        <f t="shared" si="29"/>
        <v>4</v>
      </c>
      <c r="C904" s="63" t="s">
        <v>3841</v>
      </c>
      <c r="D904" s="64" t="s">
        <v>3842</v>
      </c>
      <c r="E904" s="63">
        <v>5</v>
      </c>
      <c r="F904" s="63" t="s">
        <v>3791</v>
      </c>
      <c r="G904" s="65">
        <v>45246</v>
      </c>
      <c r="H904" s="65" t="s">
        <v>73</v>
      </c>
      <c r="I904" s="65" t="s">
        <v>31</v>
      </c>
      <c r="J904" s="63">
        <v>2</v>
      </c>
      <c r="K904" s="63" t="s">
        <v>2077</v>
      </c>
      <c r="L904" s="63" t="s">
        <v>712</v>
      </c>
    </row>
    <row r="905" spans="1:12" ht="30" customHeight="1">
      <c r="A905" s="172" t="str">
        <f t="shared" si="28"/>
        <v>16/11/20235</v>
      </c>
      <c r="B905" s="166">
        <f t="shared" si="29"/>
        <v>5</v>
      </c>
      <c r="C905" s="63" t="s">
        <v>2280</v>
      </c>
      <c r="D905" s="350" t="s">
        <v>3608</v>
      </c>
      <c r="E905" s="63">
        <v>7</v>
      </c>
      <c r="F905" s="63" t="s">
        <v>283</v>
      </c>
      <c r="G905" s="65">
        <v>45246</v>
      </c>
      <c r="H905" s="65" t="s">
        <v>1083</v>
      </c>
      <c r="I905" s="65" t="s">
        <v>1723</v>
      </c>
      <c r="J905" s="63" t="s">
        <v>3779</v>
      </c>
      <c r="K905" s="63" t="s">
        <v>795</v>
      </c>
      <c r="L905" s="63" t="s">
        <v>3667</v>
      </c>
    </row>
    <row r="906" spans="1:12" ht="30" customHeight="1">
      <c r="A906" s="172" t="str">
        <f t="shared" si="28"/>
        <v>16/11/20236</v>
      </c>
      <c r="B906" s="166">
        <f t="shared" si="29"/>
        <v>6</v>
      </c>
      <c r="C906" s="63" t="s">
        <v>3615</v>
      </c>
      <c r="D906" s="64" t="s">
        <v>3616</v>
      </c>
      <c r="E906" s="63">
        <v>4</v>
      </c>
      <c r="F906" s="63" t="s">
        <v>3324</v>
      </c>
      <c r="G906" s="65">
        <v>45246</v>
      </c>
      <c r="H906" s="65" t="s">
        <v>1083</v>
      </c>
      <c r="I906" s="65" t="s">
        <v>31</v>
      </c>
      <c r="J906" s="63">
        <f>IFERROR(VLOOKUP(I906,Jueces!$A$1:$B$11,2,FALSE),"")</f>
        <v>2</v>
      </c>
      <c r="K906" s="63" t="s">
        <v>807</v>
      </c>
      <c r="L906" s="7" t="s">
        <v>694</v>
      </c>
    </row>
    <row r="907" spans="1:12" ht="30" customHeight="1">
      <c r="A907" s="172" t="str">
        <f t="shared" si="28"/>
        <v>16/11/20237</v>
      </c>
      <c r="B907" s="166">
        <f t="shared" si="29"/>
        <v>7</v>
      </c>
      <c r="C907" s="63" t="s">
        <v>3245</v>
      </c>
      <c r="D907" s="64" t="s">
        <v>3778</v>
      </c>
      <c r="E907" s="63">
        <v>1</v>
      </c>
      <c r="F907" s="63" t="s">
        <v>568</v>
      </c>
      <c r="G907" s="65">
        <v>45246</v>
      </c>
      <c r="H907" s="65" t="s">
        <v>1083</v>
      </c>
      <c r="I907" s="65" t="s">
        <v>1216</v>
      </c>
      <c r="J907" s="63">
        <f>IFERROR(VLOOKUP(I907,Jueces!$A$1:$B$11,2,FALSE),"")</f>
        <v>1</v>
      </c>
      <c r="K907" s="63" t="s">
        <v>805</v>
      </c>
      <c r="L907" s="63" t="s">
        <v>1175</v>
      </c>
    </row>
    <row r="908" spans="1:12" ht="30" customHeight="1">
      <c r="A908" s="172" t="str">
        <f t="shared" si="28"/>
        <v>16/11/20238</v>
      </c>
      <c r="B908" s="166">
        <f t="shared" si="29"/>
        <v>8</v>
      </c>
      <c r="C908" s="63" t="s">
        <v>3751</v>
      </c>
      <c r="D908" s="64" t="s">
        <v>3752</v>
      </c>
      <c r="E908" s="63">
        <v>3</v>
      </c>
      <c r="F908" s="63" t="s">
        <v>1434</v>
      </c>
      <c r="G908" s="65">
        <v>45246</v>
      </c>
      <c r="H908" s="65" t="s">
        <v>1083</v>
      </c>
      <c r="I908" s="65" t="s">
        <v>1221</v>
      </c>
      <c r="J908" s="63">
        <f>IFERROR(VLOOKUP(I908,Jueces!$A$1:$B$11,2,FALSE),"")</f>
        <v>6</v>
      </c>
      <c r="K908" s="63" t="s">
        <v>810</v>
      </c>
      <c r="L908" s="63" t="s">
        <v>1991</v>
      </c>
    </row>
    <row r="909" spans="1:12" ht="30" customHeight="1">
      <c r="A909" s="172" t="str">
        <f t="shared" si="28"/>
        <v>16/11/20239</v>
      </c>
      <c r="B909" s="166">
        <f t="shared" si="29"/>
        <v>9</v>
      </c>
      <c r="C909" s="63" t="s">
        <v>3708</v>
      </c>
      <c r="D909" s="64" t="s">
        <v>3709</v>
      </c>
      <c r="E909" s="63">
        <v>2</v>
      </c>
      <c r="F909" s="63" t="s">
        <v>2766</v>
      </c>
      <c r="G909" s="65">
        <v>45246</v>
      </c>
      <c r="H909" s="65" t="s">
        <v>547</v>
      </c>
      <c r="I909" s="65" t="s">
        <v>1216</v>
      </c>
      <c r="J909" s="63">
        <f>IFERROR(VLOOKUP(I909,Jueces!$A$1:$B$11,2,FALSE),"")</f>
        <v>1</v>
      </c>
      <c r="K909" s="63" t="s">
        <v>807</v>
      </c>
      <c r="L909" s="371" t="s">
        <v>1408</v>
      </c>
    </row>
    <row r="910" spans="1:12" ht="30" customHeight="1">
      <c r="A910" s="172" t="str">
        <f t="shared" si="28"/>
        <v>16/11/202310</v>
      </c>
      <c r="B910" s="166">
        <f t="shared" si="29"/>
        <v>10</v>
      </c>
      <c r="C910" s="63" t="s">
        <v>3609</v>
      </c>
      <c r="D910" s="64" t="s">
        <v>3610</v>
      </c>
      <c r="E910" s="63">
        <v>2</v>
      </c>
      <c r="F910" s="63" t="s">
        <v>1433</v>
      </c>
      <c r="G910" s="65">
        <v>45246</v>
      </c>
      <c r="H910" s="65" t="s">
        <v>77</v>
      </c>
      <c r="I910" s="65" t="s">
        <v>31</v>
      </c>
      <c r="J910" s="63">
        <f>IFERROR(VLOOKUP(I910,Jueces!$A$1:$B$11,2,FALSE),"")</f>
        <v>2</v>
      </c>
      <c r="K910" s="63" t="s">
        <v>805</v>
      </c>
      <c r="L910" s="63" t="s">
        <v>693</v>
      </c>
    </row>
    <row r="911" spans="1:12" ht="30" customHeight="1">
      <c r="A911" s="172" t="str">
        <f t="shared" si="28"/>
        <v>21/11/20231</v>
      </c>
      <c r="B911" s="166">
        <f t="shared" si="29"/>
        <v>1</v>
      </c>
      <c r="C911" s="63" t="s">
        <v>3679</v>
      </c>
      <c r="D911" s="64" t="s">
        <v>4158</v>
      </c>
      <c r="E911" s="63">
        <v>3</v>
      </c>
      <c r="F911" s="63" t="s">
        <v>3323</v>
      </c>
      <c r="G911" s="65">
        <v>45251</v>
      </c>
      <c r="H911" s="65" t="s">
        <v>73</v>
      </c>
      <c r="I911" s="65" t="s">
        <v>78</v>
      </c>
      <c r="J911" s="63">
        <f>IFERROR(VLOOKUP(I911,Jueces!$A$1:$B$11,2,FALSE),"")</f>
        <v>8</v>
      </c>
      <c r="K911" s="63" t="s">
        <v>2412</v>
      </c>
      <c r="L911" s="7" t="s">
        <v>1024</v>
      </c>
    </row>
    <row r="912" spans="1:12" ht="30" customHeight="1">
      <c r="A912" s="172" t="str">
        <f t="shared" si="28"/>
        <v>21/11/20232</v>
      </c>
      <c r="B912" s="166">
        <f t="shared" si="29"/>
        <v>2</v>
      </c>
      <c r="C912" s="63" t="s">
        <v>3926</v>
      </c>
      <c r="D912" s="64" t="s">
        <v>3719</v>
      </c>
      <c r="E912" s="63">
        <v>2</v>
      </c>
      <c r="F912" s="63" t="s">
        <v>2766</v>
      </c>
      <c r="G912" s="65">
        <v>45251</v>
      </c>
      <c r="H912" s="65" t="s">
        <v>73</v>
      </c>
      <c r="I912" s="65" t="s">
        <v>31</v>
      </c>
      <c r="J912" s="63">
        <f>IFERROR(VLOOKUP(I912,Jueces!$A$1:$B$11,2,FALSE),"")</f>
        <v>2</v>
      </c>
      <c r="K912" s="63" t="s">
        <v>192</v>
      </c>
      <c r="L912" s="339" t="s">
        <v>3394</v>
      </c>
    </row>
    <row r="913" spans="1:12" ht="30" customHeight="1">
      <c r="A913" s="172" t="str">
        <f t="shared" si="28"/>
        <v>21/11/20233</v>
      </c>
      <c r="B913" s="166">
        <f t="shared" si="29"/>
        <v>3</v>
      </c>
      <c r="C913" s="63" t="s">
        <v>3745</v>
      </c>
      <c r="D913" s="64" t="s">
        <v>3746</v>
      </c>
      <c r="E913" s="63">
        <v>3</v>
      </c>
      <c r="F913" s="63" t="s">
        <v>283</v>
      </c>
      <c r="G913" s="65">
        <v>45251</v>
      </c>
      <c r="H913" s="65" t="s">
        <v>73</v>
      </c>
      <c r="I913" s="65" t="s">
        <v>2922</v>
      </c>
      <c r="J913" s="63">
        <v>1</v>
      </c>
      <c r="K913" s="63" t="s">
        <v>798</v>
      </c>
      <c r="L913" s="63" t="s">
        <v>3755</v>
      </c>
    </row>
    <row r="914" spans="1:12" ht="30" customHeight="1">
      <c r="A914" s="172" t="str">
        <f t="shared" si="28"/>
        <v>21/11/20234</v>
      </c>
      <c r="B914" s="166">
        <f t="shared" si="29"/>
        <v>4</v>
      </c>
      <c r="C914" s="63" t="s">
        <v>3803</v>
      </c>
      <c r="D914" s="64" t="s">
        <v>3804</v>
      </c>
      <c r="E914" s="63">
        <v>3</v>
      </c>
      <c r="F914" s="63" t="s">
        <v>2815</v>
      </c>
      <c r="G914" s="65">
        <v>45251</v>
      </c>
      <c r="H914" s="65" t="s">
        <v>73</v>
      </c>
      <c r="I914" s="65" t="s">
        <v>1723</v>
      </c>
      <c r="J914" s="63" t="s">
        <v>3890</v>
      </c>
      <c r="K914" s="63" t="s">
        <v>807</v>
      </c>
      <c r="L914" s="63" t="s">
        <v>695</v>
      </c>
    </row>
    <row r="915" spans="1:12" ht="30" customHeight="1">
      <c r="A915" s="172" t="str">
        <f t="shared" si="28"/>
        <v>21/11/20235</v>
      </c>
      <c r="B915" s="166">
        <f t="shared" si="29"/>
        <v>5</v>
      </c>
      <c r="C915" s="63" t="s">
        <v>3849</v>
      </c>
      <c r="D915" s="64" t="s">
        <v>3850</v>
      </c>
      <c r="E915" s="63">
        <v>4</v>
      </c>
      <c r="F915" s="63" t="s">
        <v>3324</v>
      </c>
      <c r="G915" s="65">
        <v>45251</v>
      </c>
      <c r="H915" s="65" t="s">
        <v>73</v>
      </c>
      <c r="I915" s="65" t="s">
        <v>1217</v>
      </c>
      <c r="J915" s="63" t="s">
        <v>3779</v>
      </c>
      <c r="K915" s="63" t="s">
        <v>811</v>
      </c>
      <c r="L915" s="7" t="s">
        <v>1866</v>
      </c>
    </row>
    <row r="916" spans="1:12" ht="30" customHeight="1">
      <c r="A916" s="172" t="str">
        <f t="shared" si="28"/>
        <v>21/11/20236</v>
      </c>
      <c r="B916" s="166">
        <f t="shared" si="29"/>
        <v>6</v>
      </c>
      <c r="C916" s="63" t="s">
        <v>3657</v>
      </c>
      <c r="D916" s="64" t="s">
        <v>3777</v>
      </c>
      <c r="E916" s="63">
        <v>3</v>
      </c>
      <c r="F916" s="63" t="s">
        <v>568</v>
      </c>
      <c r="G916" s="65">
        <v>45251</v>
      </c>
      <c r="H916" s="65" t="s">
        <v>1083</v>
      </c>
      <c r="I916" s="65" t="s">
        <v>78</v>
      </c>
      <c r="J916" s="63">
        <f>IFERROR(VLOOKUP(I916,Jueces!$A$1:$B$11,2,FALSE),"")</f>
        <v>8</v>
      </c>
      <c r="K916" s="63" t="s">
        <v>793</v>
      </c>
      <c r="L916" s="63" t="s">
        <v>694</v>
      </c>
    </row>
    <row r="917" spans="1:12" ht="30" customHeight="1">
      <c r="A917" s="172" t="str">
        <f t="shared" si="28"/>
        <v>21/11/20237</v>
      </c>
      <c r="B917" s="166">
        <f t="shared" si="29"/>
        <v>7</v>
      </c>
      <c r="C917" s="63" t="s">
        <v>3739</v>
      </c>
      <c r="D917" s="64" t="s">
        <v>3756</v>
      </c>
      <c r="E917" s="63">
        <v>3</v>
      </c>
      <c r="F917" s="63" t="s">
        <v>1434</v>
      </c>
      <c r="G917" s="65">
        <v>45251</v>
      </c>
      <c r="H917" s="65" t="s">
        <v>1083</v>
      </c>
      <c r="I917" s="65" t="s">
        <v>1221</v>
      </c>
      <c r="J917" s="63">
        <f>IFERROR(VLOOKUP(I917,Jueces!$A$1:$B$11,2,FALSE),"")</f>
        <v>6</v>
      </c>
      <c r="K917" s="63" t="s">
        <v>810</v>
      </c>
      <c r="L917" s="63" t="s">
        <v>695</v>
      </c>
    </row>
    <row r="918" spans="1:12" ht="30" customHeight="1">
      <c r="A918" s="172" t="str">
        <f t="shared" si="28"/>
        <v>21/11/20238</v>
      </c>
      <c r="B918" s="166">
        <f t="shared" si="29"/>
        <v>8</v>
      </c>
      <c r="C918" s="63" t="s">
        <v>3747</v>
      </c>
      <c r="D918" s="64" t="s">
        <v>3748</v>
      </c>
      <c r="E918" s="63">
        <v>3</v>
      </c>
      <c r="F918" s="63" t="s">
        <v>1435</v>
      </c>
      <c r="G918" s="65">
        <v>45251</v>
      </c>
      <c r="H918" s="65" t="s">
        <v>1083</v>
      </c>
      <c r="I918" s="65" t="s">
        <v>33</v>
      </c>
      <c r="J918" s="63">
        <f>IFERROR(VLOOKUP(I918,Jueces!$A$1:$B$11,2,FALSE),"")</f>
        <v>4</v>
      </c>
      <c r="K918" s="63" t="s">
        <v>799</v>
      </c>
      <c r="L918" s="63" t="s">
        <v>1960</v>
      </c>
    </row>
    <row r="919" spans="1:12" ht="30" customHeight="1">
      <c r="A919" s="172" t="str">
        <f t="shared" si="28"/>
        <v>21/11/20239</v>
      </c>
      <c r="B919" s="166">
        <f t="shared" si="29"/>
        <v>9</v>
      </c>
      <c r="C919" s="325" t="s">
        <v>3944</v>
      </c>
      <c r="D919" s="64" t="s">
        <v>3943</v>
      </c>
      <c r="E919" s="336">
        <v>1</v>
      </c>
      <c r="F919" s="336" t="s">
        <v>2751</v>
      </c>
      <c r="G919" s="349">
        <v>45251</v>
      </c>
      <c r="H919" s="65" t="s">
        <v>1083</v>
      </c>
      <c r="I919" s="349" t="s">
        <v>1216</v>
      </c>
      <c r="J919" s="336">
        <f>IFERROR(VLOOKUP(I919,Jueces!$A$1:$B$11,2,FALSE),"")</f>
        <v>1</v>
      </c>
      <c r="K919" s="63" t="s">
        <v>3081</v>
      </c>
      <c r="L919" s="63" t="s">
        <v>1866</v>
      </c>
    </row>
    <row r="920" spans="1:12" ht="30" customHeight="1">
      <c r="A920" s="172" t="str">
        <f t="shared" si="28"/>
        <v>22/11/20231</v>
      </c>
      <c r="B920" s="166">
        <f t="shared" si="29"/>
        <v>1</v>
      </c>
      <c r="C920" s="63" t="s">
        <v>3690</v>
      </c>
      <c r="D920" s="64" t="s">
        <v>3691</v>
      </c>
      <c r="E920" s="63">
        <v>3</v>
      </c>
      <c r="F920" s="63" t="s">
        <v>1435</v>
      </c>
      <c r="G920" s="65">
        <v>45252</v>
      </c>
      <c r="H920" s="65" t="s">
        <v>73</v>
      </c>
      <c r="I920" s="65" t="s">
        <v>2922</v>
      </c>
      <c r="J920" s="63" t="s">
        <v>3776</v>
      </c>
      <c r="K920" s="63" t="s">
        <v>2077</v>
      </c>
      <c r="L920" s="339" t="s">
        <v>3725</v>
      </c>
    </row>
    <row r="921" spans="1:12" ht="30" customHeight="1">
      <c r="A921" s="172" t="str">
        <f t="shared" si="28"/>
        <v>22/11/20232</v>
      </c>
      <c r="B921" s="166">
        <f t="shared" si="29"/>
        <v>2</v>
      </c>
      <c r="C921" s="325" t="s">
        <v>3811</v>
      </c>
      <c r="D921" s="64" t="s">
        <v>3812</v>
      </c>
      <c r="E921" s="63">
        <v>3</v>
      </c>
      <c r="F921" s="63" t="s">
        <v>2766</v>
      </c>
      <c r="G921" s="65">
        <v>45252</v>
      </c>
      <c r="H921" s="65" t="s">
        <v>73</v>
      </c>
      <c r="I921" s="65" t="s">
        <v>35</v>
      </c>
      <c r="J921" s="63">
        <f>IFERROR(VLOOKUP(I921,Jueces!$A$1:$B$11,2,FALSE),"")</f>
        <v>3</v>
      </c>
      <c r="K921" s="63" t="s">
        <v>806</v>
      </c>
      <c r="L921" s="63" t="s">
        <v>3755</v>
      </c>
    </row>
    <row r="922" spans="1:12" ht="30" customHeight="1">
      <c r="A922" s="172" t="str">
        <f t="shared" si="28"/>
        <v>22/11/20233</v>
      </c>
      <c r="B922" s="166">
        <f t="shared" si="29"/>
        <v>3</v>
      </c>
      <c r="C922" s="63" t="s">
        <v>3820</v>
      </c>
      <c r="D922" s="64" t="s">
        <v>4121</v>
      </c>
      <c r="E922" s="63">
        <v>3</v>
      </c>
      <c r="F922" s="63" t="s">
        <v>568</v>
      </c>
      <c r="G922" s="65">
        <v>45252</v>
      </c>
      <c r="H922" s="65" t="s">
        <v>73</v>
      </c>
      <c r="I922" s="65" t="s">
        <v>33</v>
      </c>
      <c r="J922" s="63">
        <f>IFERROR(VLOOKUP(I922,Jueces!$A$1:$B$11,2,FALSE),"")</f>
        <v>4</v>
      </c>
      <c r="K922" s="63" t="s">
        <v>2219</v>
      </c>
      <c r="L922" s="63" t="s">
        <v>695</v>
      </c>
    </row>
    <row r="923" spans="1:12" ht="30" customHeight="1">
      <c r="A923" s="172" t="str">
        <f t="shared" si="28"/>
        <v>22/11/20234</v>
      </c>
      <c r="B923" s="166">
        <f t="shared" si="29"/>
        <v>4</v>
      </c>
      <c r="C923" s="325" t="s">
        <v>1876</v>
      </c>
      <c r="D923" s="64" t="s">
        <v>3877</v>
      </c>
      <c r="E923" s="336">
        <v>7</v>
      </c>
      <c r="F923" s="336" t="s">
        <v>43</v>
      </c>
      <c r="G923" s="349">
        <v>45252</v>
      </c>
      <c r="H923" s="65" t="s">
        <v>73</v>
      </c>
      <c r="I923" s="349" t="s">
        <v>31</v>
      </c>
      <c r="J923" s="336">
        <f>IFERROR(VLOOKUP(I923,Jueces!$A$1:$B$11,2,FALSE),"")</f>
        <v>2</v>
      </c>
      <c r="K923" s="63" t="s">
        <v>811</v>
      </c>
      <c r="L923" s="339" t="s">
        <v>700</v>
      </c>
    </row>
    <row r="924" spans="1:12" ht="30" customHeight="1">
      <c r="A924" s="172" t="str">
        <f t="shared" si="28"/>
        <v>22/11/20235</v>
      </c>
      <c r="B924" s="166">
        <f t="shared" si="29"/>
        <v>5</v>
      </c>
      <c r="C924" s="63" t="s">
        <v>3933</v>
      </c>
      <c r="D924" s="64" t="s">
        <v>3934</v>
      </c>
      <c r="E924" s="336">
        <v>4</v>
      </c>
      <c r="F924" s="336" t="s">
        <v>1434</v>
      </c>
      <c r="G924" s="349">
        <v>45252</v>
      </c>
      <c r="H924" s="65" t="s">
        <v>73</v>
      </c>
      <c r="I924" s="349" t="s">
        <v>1723</v>
      </c>
      <c r="J924" s="63" t="s">
        <v>4118</v>
      </c>
      <c r="K924" s="63" t="s">
        <v>805</v>
      </c>
      <c r="L924" s="7" t="s">
        <v>1984</v>
      </c>
    </row>
    <row r="925" spans="1:12" ht="30" customHeight="1">
      <c r="A925" s="172" t="str">
        <f t="shared" si="28"/>
        <v>22/11/20236</v>
      </c>
      <c r="B925" s="166">
        <f t="shared" si="29"/>
        <v>6</v>
      </c>
      <c r="C925" s="63" t="s">
        <v>3788</v>
      </c>
      <c r="D925" s="64" t="s">
        <v>3789</v>
      </c>
      <c r="E925" s="63">
        <v>4</v>
      </c>
      <c r="F925" s="63" t="s">
        <v>3323</v>
      </c>
      <c r="G925" s="65">
        <v>45252</v>
      </c>
      <c r="H925" s="65" t="s">
        <v>1083</v>
      </c>
      <c r="I925" s="65" t="s">
        <v>1221</v>
      </c>
      <c r="J925" s="63">
        <f>IFERROR(VLOOKUP(I925,Jueces!$A$1:$B$11,2,FALSE),"")</f>
        <v>6</v>
      </c>
      <c r="K925" s="63" t="s">
        <v>802</v>
      </c>
      <c r="L925" s="63" t="s">
        <v>3755</v>
      </c>
    </row>
    <row r="926" spans="1:12" ht="30" customHeight="1">
      <c r="A926" s="172" t="str">
        <f t="shared" si="28"/>
        <v>22/11/20237</v>
      </c>
      <c r="B926" s="166">
        <f t="shared" si="29"/>
        <v>7</v>
      </c>
      <c r="C926" s="325" t="s">
        <v>3898</v>
      </c>
      <c r="D926" s="64" t="s">
        <v>3899</v>
      </c>
      <c r="E926" s="336">
        <v>1</v>
      </c>
      <c r="F926" s="336" t="s">
        <v>2751</v>
      </c>
      <c r="G926" s="349">
        <v>45252</v>
      </c>
      <c r="H926" s="65" t="s">
        <v>1083</v>
      </c>
      <c r="I926" s="349" t="s">
        <v>35</v>
      </c>
      <c r="J926" s="336">
        <f>IFERROR(VLOOKUP(I926,Jueces!$A$1:$B$11,2,FALSE),"")</f>
        <v>3</v>
      </c>
      <c r="K926" s="63" t="s">
        <v>811</v>
      </c>
      <c r="L926" s="63" t="s">
        <v>1378</v>
      </c>
    </row>
    <row r="927" spans="1:12" ht="30" customHeight="1">
      <c r="A927" s="172" t="str">
        <f t="shared" si="28"/>
        <v>22/11/20238</v>
      </c>
      <c r="B927" s="166">
        <f t="shared" si="29"/>
        <v>8</v>
      </c>
      <c r="C927" s="336" t="s">
        <v>3343</v>
      </c>
      <c r="D927" s="355" t="s">
        <v>3344</v>
      </c>
      <c r="E927" s="336">
        <v>1</v>
      </c>
      <c r="F927" s="336" t="s">
        <v>3791</v>
      </c>
      <c r="G927" s="349">
        <v>45252</v>
      </c>
      <c r="H927" s="65" t="s">
        <v>1083</v>
      </c>
      <c r="I927" s="349" t="s">
        <v>1216</v>
      </c>
      <c r="J927" s="63" t="s">
        <v>3779</v>
      </c>
      <c r="K927" s="63" t="s">
        <v>827</v>
      </c>
      <c r="L927" s="63" t="s">
        <v>1175</v>
      </c>
    </row>
    <row r="928" spans="1:12" ht="30" customHeight="1">
      <c r="A928" s="172" t="str">
        <f t="shared" si="28"/>
        <v>22/11/20239</v>
      </c>
      <c r="B928" s="166">
        <f t="shared" si="29"/>
        <v>9</v>
      </c>
      <c r="C928" s="325" t="s">
        <v>3823</v>
      </c>
      <c r="D928" s="64" t="s">
        <v>3916</v>
      </c>
      <c r="E928" s="63">
        <v>4</v>
      </c>
      <c r="F928" s="63" t="s">
        <v>3324</v>
      </c>
      <c r="G928" s="65">
        <v>45252</v>
      </c>
      <c r="H928" s="65" t="s">
        <v>1206</v>
      </c>
      <c r="I928" s="65" t="s">
        <v>31</v>
      </c>
      <c r="J928" s="63">
        <f>IFERROR(VLOOKUP(I928,Jueces!$A$1:$B$11,2,FALSE),"")</f>
        <v>2</v>
      </c>
      <c r="K928" s="63" t="s">
        <v>809</v>
      </c>
      <c r="L928" s="63" t="s">
        <v>3755</v>
      </c>
    </row>
    <row r="929" spans="1:12" ht="30" customHeight="1">
      <c r="A929" s="172" t="str">
        <f t="shared" si="28"/>
        <v>22/11/202310</v>
      </c>
      <c r="B929" s="166">
        <f t="shared" si="29"/>
        <v>10</v>
      </c>
      <c r="C929" s="63" t="s">
        <v>3857</v>
      </c>
      <c r="D929" s="64" t="s">
        <v>3858</v>
      </c>
      <c r="E929" s="63">
        <v>3</v>
      </c>
      <c r="F929" s="63" t="s">
        <v>1433</v>
      </c>
      <c r="G929" s="65">
        <v>45252</v>
      </c>
      <c r="H929" s="65" t="s">
        <v>1206</v>
      </c>
      <c r="I929" s="65" t="s">
        <v>1216</v>
      </c>
      <c r="J929" s="63" t="s">
        <v>3890</v>
      </c>
      <c r="K929" s="63" t="s">
        <v>2076</v>
      </c>
      <c r="L929" s="339" t="s">
        <v>3873</v>
      </c>
    </row>
    <row r="930" spans="1:12" ht="30" customHeight="1">
      <c r="A930" s="172" t="str">
        <f t="shared" si="28"/>
        <v>22/11/202311</v>
      </c>
      <c r="B930" s="166">
        <f t="shared" si="29"/>
        <v>11</v>
      </c>
      <c r="C930" s="325" t="s">
        <v>3810</v>
      </c>
      <c r="D930" s="64" t="s">
        <v>3843</v>
      </c>
      <c r="E930" s="63">
        <v>3</v>
      </c>
      <c r="F930" s="63" t="s">
        <v>2815</v>
      </c>
      <c r="G930" s="65">
        <v>45252</v>
      </c>
      <c r="H930" s="65" t="s">
        <v>547</v>
      </c>
      <c r="I930" s="65" t="s">
        <v>1217</v>
      </c>
      <c r="J930" s="63">
        <v>8</v>
      </c>
      <c r="K930" s="63" t="s">
        <v>810</v>
      </c>
      <c r="L930" s="63" t="s">
        <v>3755</v>
      </c>
    </row>
    <row r="931" spans="1:12" ht="30" customHeight="1">
      <c r="A931" s="172" t="str">
        <f t="shared" si="28"/>
        <v>23/11/20231</v>
      </c>
      <c r="B931" s="166">
        <f t="shared" si="29"/>
        <v>1</v>
      </c>
      <c r="C931" s="63" t="s">
        <v>3706</v>
      </c>
      <c r="D931" s="64" t="s">
        <v>3707</v>
      </c>
      <c r="E931" s="63">
        <v>2</v>
      </c>
      <c r="F931" s="63" t="s">
        <v>1433</v>
      </c>
      <c r="G931" s="65">
        <v>45253</v>
      </c>
      <c r="H931" s="65" t="s">
        <v>73</v>
      </c>
      <c r="I931" s="65" t="s">
        <v>1217</v>
      </c>
      <c r="J931" s="63" t="s">
        <v>3779</v>
      </c>
      <c r="K931" s="63" t="s">
        <v>802</v>
      </c>
      <c r="L931" s="63" t="s">
        <v>694</v>
      </c>
    </row>
    <row r="932" spans="1:12" ht="30" customHeight="1">
      <c r="A932" s="172" t="str">
        <f t="shared" si="28"/>
        <v>23/11/20232</v>
      </c>
      <c r="B932" s="166">
        <f t="shared" si="29"/>
        <v>2</v>
      </c>
      <c r="C932" s="63" t="s">
        <v>3753</v>
      </c>
      <c r="D932" s="64" t="s">
        <v>3754</v>
      </c>
      <c r="E932" s="63">
        <v>3</v>
      </c>
      <c r="F932" s="63" t="s">
        <v>3324</v>
      </c>
      <c r="G932" s="65">
        <v>45253</v>
      </c>
      <c r="H932" s="65" t="s">
        <v>73</v>
      </c>
      <c r="I932" s="65" t="s">
        <v>31</v>
      </c>
      <c r="J932" s="63">
        <f>IFERROR(VLOOKUP(I932,Jueces!$A$1:$B$11,2,FALSE),"")</f>
        <v>2</v>
      </c>
      <c r="K932" s="63" t="s">
        <v>791</v>
      </c>
      <c r="L932" s="63" t="s">
        <v>3755</v>
      </c>
    </row>
    <row r="933" spans="1:12" ht="30" customHeight="1">
      <c r="A933" s="172" t="str">
        <f t="shared" si="28"/>
        <v>23/11/20233</v>
      </c>
      <c r="B933" s="166">
        <f t="shared" si="29"/>
        <v>3</v>
      </c>
      <c r="C933" s="63" t="s">
        <v>3813</v>
      </c>
      <c r="D933" s="64" t="s">
        <v>3814</v>
      </c>
      <c r="E933" s="63">
        <v>3</v>
      </c>
      <c r="F933" s="63" t="s">
        <v>283</v>
      </c>
      <c r="G933" s="65">
        <v>45253</v>
      </c>
      <c r="H933" s="65" t="s">
        <v>73</v>
      </c>
      <c r="I933" s="65" t="s">
        <v>2922</v>
      </c>
      <c r="J933" s="63" t="s">
        <v>3776</v>
      </c>
      <c r="K933" s="63" t="s">
        <v>805</v>
      </c>
      <c r="L933" s="7" t="s">
        <v>695</v>
      </c>
    </row>
    <row r="934" spans="1:12" ht="30" customHeight="1">
      <c r="A934" s="172" t="str">
        <f t="shared" si="28"/>
        <v>23/11/20234</v>
      </c>
      <c r="B934" s="166">
        <f t="shared" si="29"/>
        <v>4</v>
      </c>
      <c r="C934" s="63" t="s">
        <v>3846</v>
      </c>
      <c r="D934" s="64" t="s">
        <v>3919</v>
      </c>
      <c r="E934" s="63">
        <v>4</v>
      </c>
      <c r="F934" s="63" t="s">
        <v>1435</v>
      </c>
      <c r="G934" s="65">
        <v>45253</v>
      </c>
      <c r="H934" s="65" t="s">
        <v>73</v>
      </c>
      <c r="I934" s="65" t="s">
        <v>35</v>
      </c>
      <c r="J934" s="63">
        <f>IFERROR(VLOOKUP(I934,Jueces!$A$1:$B$11,2,FALSE),"")</f>
        <v>3</v>
      </c>
      <c r="K934" s="63" t="s">
        <v>810</v>
      </c>
      <c r="L934" s="63" t="s">
        <v>1866</v>
      </c>
    </row>
    <row r="935" spans="1:12" ht="30" customHeight="1">
      <c r="A935" s="172" t="str">
        <f t="shared" si="28"/>
        <v>23/11/20235</v>
      </c>
      <c r="B935" s="166">
        <f t="shared" si="29"/>
        <v>5</v>
      </c>
      <c r="C935" s="63" t="s">
        <v>3817</v>
      </c>
      <c r="D935" s="64" t="s">
        <v>3818</v>
      </c>
      <c r="E935" s="63">
        <v>3</v>
      </c>
      <c r="F935" s="63" t="s">
        <v>3323</v>
      </c>
      <c r="G935" s="65">
        <v>45253</v>
      </c>
      <c r="H935" s="65" t="s">
        <v>1083</v>
      </c>
      <c r="I935" s="65" t="s">
        <v>35</v>
      </c>
      <c r="J935" s="63">
        <f>IFERROR(VLOOKUP(I935,Jueces!$A$1:$B$11,2,FALSE),"")</f>
        <v>3</v>
      </c>
      <c r="K935" s="63" t="s">
        <v>805</v>
      </c>
      <c r="L935" s="63" t="s">
        <v>694</v>
      </c>
    </row>
    <row r="936" spans="1:12" ht="30" customHeight="1">
      <c r="A936" s="172" t="str">
        <f t="shared" si="28"/>
        <v>23/11/20236</v>
      </c>
      <c r="B936" s="166">
        <f t="shared" si="29"/>
        <v>6</v>
      </c>
      <c r="C936" s="63" t="s">
        <v>3856</v>
      </c>
      <c r="D936" s="64" t="s">
        <v>3885</v>
      </c>
      <c r="E936" s="63">
        <v>3</v>
      </c>
      <c r="F936" s="63" t="s">
        <v>2815</v>
      </c>
      <c r="G936" s="65">
        <v>45253</v>
      </c>
      <c r="H936" s="65" t="s">
        <v>1083</v>
      </c>
      <c r="I936" s="65" t="s">
        <v>78</v>
      </c>
      <c r="J936" s="63">
        <f>IFERROR(VLOOKUP(I936,Jueces!$A$1:$B$11,2,FALSE),"")</f>
        <v>8</v>
      </c>
      <c r="K936" s="63" t="s">
        <v>795</v>
      </c>
      <c r="L936" s="339" t="s">
        <v>695</v>
      </c>
    </row>
    <row r="937" spans="1:12" ht="30" customHeight="1">
      <c r="A937" s="172" t="str">
        <f t="shared" si="28"/>
        <v>23/11/20237</v>
      </c>
      <c r="B937" s="166">
        <f t="shared" si="29"/>
        <v>7</v>
      </c>
      <c r="C937" s="63" t="s">
        <v>3784</v>
      </c>
      <c r="D937" s="64" t="s">
        <v>3816</v>
      </c>
      <c r="E937" s="63">
        <v>4</v>
      </c>
      <c r="F937" s="63" t="s">
        <v>2766</v>
      </c>
      <c r="G937" s="65">
        <v>45253</v>
      </c>
      <c r="H937" s="65" t="s">
        <v>1206</v>
      </c>
      <c r="I937" s="65" t="s">
        <v>1216</v>
      </c>
      <c r="J937" s="63" t="s">
        <v>3922</v>
      </c>
      <c r="K937" s="63" t="s">
        <v>805</v>
      </c>
      <c r="L937" s="63" t="s">
        <v>3755</v>
      </c>
    </row>
    <row r="938" spans="1:12" ht="30" customHeight="1">
      <c r="A938" s="172" t="str">
        <f t="shared" si="28"/>
        <v>24/11/20231</v>
      </c>
      <c r="B938" s="166">
        <f t="shared" si="29"/>
        <v>1</v>
      </c>
      <c r="C938" s="63" t="s">
        <v>3780</v>
      </c>
      <c r="D938" s="64" t="s">
        <v>3781</v>
      </c>
      <c r="E938" s="63">
        <v>5</v>
      </c>
      <c r="F938" s="63" t="s">
        <v>2766</v>
      </c>
      <c r="G938" s="65">
        <v>45254</v>
      </c>
      <c r="H938" s="65" t="s">
        <v>73</v>
      </c>
      <c r="I938" s="65" t="s">
        <v>1217</v>
      </c>
      <c r="J938" s="63" t="s">
        <v>3776</v>
      </c>
      <c r="K938" s="63" t="s">
        <v>1067</v>
      </c>
      <c r="L938" s="356" t="s">
        <v>3819</v>
      </c>
    </row>
    <row r="939" spans="1:12" ht="30" customHeight="1">
      <c r="A939" s="172" t="str">
        <f t="shared" si="28"/>
        <v>24/11/20232</v>
      </c>
      <c r="B939" s="166">
        <f t="shared" si="29"/>
        <v>2</v>
      </c>
      <c r="C939" s="63" t="s">
        <v>3782</v>
      </c>
      <c r="D939" s="64" t="s">
        <v>3815</v>
      </c>
      <c r="E939" s="63">
        <v>4</v>
      </c>
      <c r="F939" s="63" t="s">
        <v>568</v>
      </c>
      <c r="G939" s="65">
        <v>45254</v>
      </c>
      <c r="H939" s="65" t="s">
        <v>73</v>
      </c>
      <c r="I939" s="65" t="s">
        <v>2925</v>
      </c>
      <c r="J939" s="63" t="s">
        <v>3922</v>
      </c>
      <c r="K939" s="63" t="s">
        <v>810</v>
      </c>
      <c r="L939" s="63" t="s">
        <v>1960</v>
      </c>
    </row>
    <row r="940" spans="1:12" ht="30" customHeight="1">
      <c r="A940" s="172" t="str">
        <f t="shared" si="28"/>
        <v>24/11/20233</v>
      </c>
      <c r="B940" s="166">
        <f t="shared" si="29"/>
        <v>3</v>
      </c>
      <c r="C940" s="63" t="s">
        <v>3805</v>
      </c>
      <c r="D940" s="64" t="s">
        <v>3806</v>
      </c>
      <c r="E940" s="63">
        <v>3</v>
      </c>
      <c r="F940" s="63" t="s">
        <v>1435</v>
      </c>
      <c r="G940" s="65">
        <v>45254</v>
      </c>
      <c r="H940" s="65" t="s">
        <v>73</v>
      </c>
      <c r="I940" s="65" t="s">
        <v>33</v>
      </c>
      <c r="J940" s="63">
        <f>IFERROR(VLOOKUP(I940,Jueces!$A$1:$B$11,2,FALSE),"")</f>
        <v>4</v>
      </c>
      <c r="K940" s="63" t="s">
        <v>789</v>
      </c>
      <c r="L940" s="63" t="s">
        <v>694</v>
      </c>
    </row>
    <row r="941" spans="1:12" ht="30" customHeight="1">
      <c r="A941" s="172" t="str">
        <f t="shared" si="28"/>
        <v>24/11/20234</v>
      </c>
      <c r="B941" s="166">
        <f t="shared" si="29"/>
        <v>4</v>
      </c>
      <c r="C941" s="63" t="s">
        <v>3821</v>
      </c>
      <c r="D941" s="64" t="s">
        <v>3822</v>
      </c>
      <c r="E941" s="63">
        <v>3</v>
      </c>
      <c r="F941" s="63" t="s">
        <v>3323</v>
      </c>
      <c r="G941" s="65">
        <v>45254</v>
      </c>
      <c r="H941" s="65" t="s">
        <v>73</v>
      </c>
      <c r="I941" s="65" t="s">
        <v>35</v>
      </c>
      <c r="J941" s="63">
        <f>IFERROR(VLOOKUP(I941,Jueces!$A$1:$B$11,2,FALSE),"")</f>
        <v>3</v>
      </c>
      <c r="K941" s="63" t="s">
        <v>805</v>
      </c>
      <c r="L941" s="63" t="s">
        <v>695</v>
      </c>
    </row>
    <row r="942" spans="1:12" ht="30" customHeight="1">
      <c r="A942" s="172" t="str">
        <f t="shared" si="28"/>
        <v>24/11/20235</v>
      </c>
      <c r="B942" s="166">
        <f t="shared" si="29"/>
        <v>5</v>
      </c>
      <c r="C942" s="63" t="s">
        <v>3556</v>
      </c>
      <c r="D942" s="64" t="s">
        <v>3589</v>
      </c>
      <c r="E942" s="63">
        <v>2</v>
      </c>
      <c r="F942" s="63" t="s">
        <v>283</v>
      </c>
      <c r="G942" s="65">
        <v>45254</v>
      </c>
      <c r="H942" s="65" t="s">
        <v>1083</v>
      </c>
      <c r="I942" s="65" t="s">
        <v>1216</v>
      </c>
      <c r="J942" s="63" t="s">
        <v>2285</v>
      </c>
      <c r="K942" s="63" t="s">
        <v>2076</v>
      </c>
      <c r="L942" s="339" t="s">
        <v>3381</v>
      </c>
    </row>
    <row r="943" spans="1:12" ht="30" customHeight="1">
      <c r="A943" s="172" t="str">
        <f t="shared" si="28"/>
        <v>24/11/20236</v>
      </c>
      <c r="B943" s="166">
        <f t="shared" si="29"/>
        <v>6</v>
      </c>
      <c r="C943" s="63" t="s">
        <v>3785</v>
      </c>
      <c r="D943" s="64" t="s">
        <v>4008</v>
      </c>
      <c r="E943" s="63">
        <v>4</v>
      </c>
      <c r="F943" s="63" t="s">
        <v>1433</v>
      </c>
      <c r="G943" s="65">
        <v>45254</v>
      </c>
      <c r="H943" s="65" t="s">
        <v>1083</v>
      </c>
      <c r="I943" s="65" t="s">
        <v>31</v>
      </c>
      <c r="J943" s="63">
        <f>IFERROR(VLOOKUP(I943,Jueces!$A$1:$B$11,2,FALSE),"")</f>
        <v>2</v>
      </c>
      <c r="K943" s="63" t="s">
        <v>791</v>
      </c>
      <c r="L943" s="63" t="s">
        <v>3755</v>
      </c>
    </row>
    <row r="944" spans="1:12" ht="30" customHeight="1">
      <c r="A944" s="172" t="str">
        <f t="shared" si="28"/>
        <v>24/11/20237</v>
      </c>
      <c r="B944" s="166">
        <f t="shared" si="29"/>
        <v>7</v>
      </c>
      <c r="C944" s="63" t="s">
        <v>3844</v>
      </c>
      <c r="D944" s="64" t="s">
        <v>3845</v>
      </c>
      <c r="E944" s="63">
        <v>3</v>
      </c>
      <c r="F944" s="63" t="s">
        <v>3324</v>
      </c>
      <c r="G944" s="65">
        <v>45254</v>
      </c>
      <c r="H944" s="65" t="s">
        <v>1083</v>
      </c>
      <c r="I944" s="65" t="s">
        <v>78</v>
      </c>
      <c r="J944" s="63">
        <f>IFERROR(VLOOKUP(I944,Jueces!$A$1:$B$11,2,FALSE),"")</f>
        <v>8</v>
      </c>
      <c r="K944" s="63" t="s">
        <v>795</v>
      </c>
      <c r="L944" s="63" t="s">
        <v>694</v>
      </c>
    </row>
    <row r="945" spans="1:12" ht="30" customHeight="1">
      <c r="A945" s="172" t="str">
        <f t="shared" si="28"/>
        <v>24/11/20238</v>
      </c>
      <c r="B945" s="166">
        <f t="shared" si="29"/>
        <v>8</v>
      </c>
      <c r="C945" s="63" t="s">
        <v>3869</v>
      </c>
      <c r="D945" s="64" t="s">
        <v>3870</v>
      </c>
      <c r="E945" s="336">
        <v>3</v>
      </c>
      <c r="F945" s="336" t="s">
        <v>2815</v>
      </c>
      <c r="G945" s="349">
        <v>45254</v>
      </c>
      <c r="H945" s="65" t="s">
        <v>1083</v>
      </c>
      <c r="I945" s="349" t="s">
        <v>1217</v>
      </c>
      <c r="J945" s="336">
        <f>IFERROR(VLOOKUP(I945,Jueces!$A$1:$B$11,2,FALSE),"")</f>
        <v>7</v>
      </c>
      <c r="K945" s="63" t="s">
        <v>827</v>
      </c>
      <c r="L945" s="63" t="s">
        <v>2755</v>
      </c>
    </row>
    <row r="946" spans="1:12" ht="30" customHeight="1">
      <c r="A946" s="172" t="str">
        <f t="shared" si="28"/>
        <v>24/11/20239</v>
      </c>
      <c r="B946" s="166">
        <f t="shared" si="29"/>
        <v>9</v>
      </c>
      <c r="C946" s="63" t="s">
        <v>4099</v>
      </c>
      <c r="D946" s="64" t="s">
        <v>4134</v>
      </c>
      <c r="E946" s="336">
        <v>4</v>
      </c>
      <c r="F946" s="336" t="s">
        <v>2752</v>
      </c>
      <c r="G946" s="349">
        <v>45254</v>
      </c>
      <c r="H946" s="65" t="s">
        <v>987</v>
      </c>
      <c r="I946" s="349" t="s">
        <v>31</v>
      </c>
      <c r="J946" s="63" t="s">
        <v>4179</v>
      </c>
      <c r="K946" s="63" t="s">
        <v>797</v>
      </c>
      <c r="L946" s="63" t="s">
        <v>4218</v>
      </c>
    </row>
    <row r="947" spans="1:12" ht="30" customHeight="1">
      <c r="A947" s="172" t="str">
        <f t="shared" si="28"/>
        <v>27/11/20231</v>
      </c>
      <c r="B947" s="166">
        <f t="shared" si="29"/>
        <v>1</v>
      </c>
      <c r="C947" s="63" t="s">
        <v>3894</v>
      </c>
      <c r="D947" s="64" t="s">
        <v>3959</v>
      </c>
      <c r="E947" s="336">
        <v>7</v>
      </c>
      <c r="F947" s="336" t="s">
        <v>3323</v>
      </c>
      <c r="G947" s="349">
        <v>45257</v>
      </c>
      <c r="H947" s="65" t="s">
        <v>4013</v>
      </c>
      <c r="I947" s="349" t="s">
        <v>1217</v>
      </c>
      <c r="J947" s="336">
        <f>IFERROR(VLOOKUP(I947,Jueces!$A$1:$B$11,2,FALSE),"")</f>
        <v>7</v>
      </c>
      <c r="K947" s="63" t="s">
        <v>811</v>
      </c>
      <c r="L947" s="63" t="s">
        <v>693</v>
      </c>
    </row>
    <row r="948" spans="1:12" ht="30" customHeight="1">
      <c r="A948" s="172" t="str">
        <f t="shared" si="28"/>
        <v>27/11/20232</v>
      </c>
      <c r="B948" s="166">
        <f t="shared" si="29"/>
        <v>2</v>
      </c>
      <c r="C948" s="63" t="s">
        <v>3786</v>
      </c>
      <c r="D948" s="64" t="s">
        <v>3787</v>
      </c>
      <c r="E948" s="63">
        <v>4</v>
      </c>
      <c r="F948" s="63" t="s">
        <v>2766</v>
      </c>
      <c r="G948" s="65">
        <v>45257</v>
      </c>
      <c r="H948" s="65" t="s">
        <v>73</v>
      </c>
      <c r="I948" s="65" t="s">
        <v>1217</v>
      </c>
      <c r="J948" s="63" t="s">
        <v>3922</v>
      </c>
      <c r="K948" s="63" t="s">
        <v>810</v>
      </c>
      <c r="L948" s="63" t="s">
        <v>3755</v>
      </c>
    </row>
    <row r="949" spans="1:12" ht="30" customHeight="1">
      <c r="A949" s="172" t="str">
        <f t="shared" si="28"/>
        <v>27/11/20233</v>
      </c>
      <c r="B949" s="166">
        <f t="shared" si="29"/>
        <v>3</v>
      </c>
      <c r="C949" s="63" t="s">
        <v>3862</v>
      </c>
      <c r="D949" s="64" t="s">
        <v>3863</v>
      </c>
      <c r="E949" s="336">
        <v>3</v>
      </c>
      <c r="F949" s="63" t="s">
        <v>568</v>
      </c>
      <c r="G949" s="349">
        <v>45257</v>
      </c>
      <c r="H949" s="65" t="s">
        <v>73</v>
      </c>
      <c r="I949" s="349" t="s">
        <v>35</v>
      </c>
      <c r="J949" s="336">
        <f>IFERROR(VLOOKUP(I949,Jueces!$A$1:$B$11,2,FALSE),"")</f>
        <v>3</v>
      </c>
      <c r="K949" s="63" t="s">
        <v>2412</v>
      </c>
      <c r="L949" s="63" t="s">
        <v>695</v>
      </c>
    </row>
    <row r="950" spans="1:12" ht="30" customHeight="1">
      <c r="A950" s="172" t="str">
        <f t="shared" si="28"/>
        <v>27/11/20234</v>
      </c>
      <c r="B950" s="166">
        <f t="shared" si="29"/>
        <v>4</v>
      </c>
      <c r="C950" s="63" t="s">
        <v>3864</v>
      </c>
      <c r="D950" s="64" t="s">
        <v>3942</v>
      </c>
      <c r="E950" s="336">
        <v>3</v>
      </c>
      <c r="F950" s="63" t="s">
        <v>3324</v>
      </c>
      <c r="G950" s="349">
        <v>45257</v>
      </c>
      <c r="H950" s="65" t="s">
        <v>73</v>
      </c>
      <c r="I950" s="65" t="s">
        <v>31</v>
      </c>
      <c r="J950" s="336">
        <f>IFERROR(VLOOKUP(I950,Jueces!$A$1:$B$11,2,FALSE),"")</f>
        <v>2</v>
      </c>
      <c r="K950" s="63" t="s">
        <v>805</v>
      </c>
      <c r="L950" s="63" t="s">
        <v>694</v>
      </c>
    </row>
    <row r="951" spans="1:12" ht="30" customHeight="1">
      <c r="A951" s="172" t="str">
        <f t="shared" si="28"/>
        <v>27/11/20235</v>
      </c>
      <c r="B951" s="166">
        <f t="shared" si="29"/>
        <v>5</v>
      </c>
      <c r="C951" s="63" t="s">
        <v>3808</v>
      </c>
      <c r="D951" s="64" t="s">
        <v>3921</v>
      </c>
      <c r="E951" s="63">
        <v>4</v>
      </c>
      <c r="F951" s="63" t="s">
        <v>2815</v>
      </c>
      <c r="G951" s="65">
        <v>45257</v>
      </c>
      <c r="H951" s="65" t="s">
        <v>1083</v>
      </c>
      <c r="I951" s="65" t="s">
        <v>1216</v>
      </c>
      <c r="J951" s="63" t="s">
        <v>3941</v>
      </c>
      <c r="K951" s="63" t="s">
        <v>809</v>
      </c>
      <c r="L951" s="63" t="s">
        <v>3755</v>
      </c>
    </row>
    <row r="952" spans="1:12" ht="30" customHeight="1">
      <c r="A952" s="172" t="str">
        <f t="shared" si="28"/>
        <v>27/11/20236</v>
      </c>
      <c r="B952" s="166">
        <f t="shared" si="29"/>
        <v>6</v>
      </c>
      <c r="C952" s="63" t="s">
        <v>3824</v>
      </c>
      <c r="D952" s="64" t="s">
        <v>3825</v>
      </c>
      <c r="E952" s="63">
        <v>3</v>
      </c>
      <c r="F952" s="63" t="s">
        <v>43</v>
      </c>
      <c r="G952" s="65">
        <v>45257</v>
      </c>
      <c r="H952" s="65" t="s">
        <v>1083</v>
      </c>
      <c r="I952" s="65" t="s">
        <v>78</v>
      </c>
      <c r="J952" s="63">
        <f>IFERROR(VLOOKUP(I952,Jueces!$A$1:$B$11,2,FALSE),"")</f>
        <v>8</v>
      </c>
      <c r="K952" s="63" t="s">
        <v>797</v>
      </c>
      <c r="L952" s="63" t="s">
        <v>695</v>
      </c>
    </row>
    <row r="953" spans="1:12" ht="30" customHeight="1">
      <c r="A953" s="172" t="str">
        <f t="shared" si="28"/>
        <v>27/11/20237</v>
      </c>
      <c r="B953" s="166">
        <f t="shared" si="29"/>
        <v>7</v>
      </c>
      <c r="C953" s="63" t="s">
        <v>1758</v>
      </c>
      <c r="D953" s="64" t="s">
        <v>3866</v>
      </c>
      <c r="E953" s="336">
        <v>1</v>
      </c>
      <c r="F953" s="336" t="s">
        <v>283</v>
      </c>
      <c r="G953" s="349">
        <v>45257</v>
      </c>
      <c r="H953" s="65" t="s">
        <v>1083</v>
      </c>
      <c r="I953" s="349" t="s">
        <v>35</v>
      </c>
      <c r="J953" s="336">
        <v>3</v>
      </c>
      <c r="K953" s="63" t="s">
        <v>2077</v>
      </c>
      <c r="L953" s="339" t="s">
        <v>3960</v>
      </c>
    </row>
    <row r="954" spans="1:12" ht="30" customHeight="1">
      <c r="A954" s="172" t="str">
        <f t="shared" si="28"/>
        <v>27/11/20238</v>
      </c>
      <c r="B954" s="166">
        <f t="shared" si="29"/>
        <v>8</v>
      </c>
      <c r="C954" s="63" t="s">
        <v>3887</v>
      </c>
      <c r="D954" s="64" t="s">
        <v>3895</v>
      </c>
      <c r="E954" s="336">
        <v>4</v>
      </c>
      <c r="F954" s="336" t="s">
        <v>2752</v>
      </c>
      <c r="G954" s="349">
        <v>45257</v>
      </c>
      <c r="H954" s="65" t="s">
        <v>1083</v>
      </c>
      <c r="I954" s="349" t="s">
        <v>33</v>
      </c>
      <c r="J954" s="336">
        <f>IFERROR(VLOOKUP(I954,Jueces!$A$1:$B$11,2,FALSE),"")</f>
        <v>4</v>
      </c>
      <c r="K954" s="63" t="s">
        <v>3913</v>
      </c>
      <c r="L954" s="7" t="s">
        <v>1866</v>
      </c>
    </row>
    <row r="955" spans="1:12" ht="30" customHeight="1">
      <c r="A955" s="172" t="str">
        <f t="shared" si="28"/>
        <v>28/11/20231</v>
      </c>
      <c r="B955" s="166">
        <f t="shared" si="29"/>
        <v>1</v>
      </c>
      <c r="C955" s="63" t="s">
        <v>3809</v>
      </c>
      <c r="D955" s="64" t="s">
        <v>3920</v>
      </c>
      <c r="E955" s="63">
        <v>4</v>
      </c>
      <c r="F955" s="63" t="s">
        <v>1433</v>
      </c>
      <c r="G955" s="65">
        <v>45258</v>
      </c>
      <c r="H955" s="65" t="s">
        <v>73</v>
      </c>
      <c r="I955" s="65" t="s">
        <v>35</v>
      </c>
      <c r="J955" s="63">
        <f>IFERROR(VLOOKUP(I955,Jueces!$A$1:$B$11,2,FALSE),"")</f>
        <v>3</v>
      </c>
      <c r="K955" s="63" t="s">
        <v>805</v>
      </c>
      <c r="L955" s="7" t="s">
        <v>3755</v>
      </c>
    </row>
    <row r="956" spans="1:12" ht="30" customHeight="1">
      <c r="A956" s="172" t="str">
        <f t="shared" si="28"/>
        <v>28/11/20232</v>
      </c>
      <c r="B956" s="166">
        <f t="shared" si="29"/>
        <v>2</v>
      </c>
      <c r="C956" s="63" t="s">
        <v>3860</v>
      </c>
      <c r="D956" s="64" t="s">
        <v>3861</v>
      </c>
      <c r="E956" s="63">
        <v>4</v>
      </c>
      <c r="F956" s="63" t="s">
        <v>2766</v>
      </c>
      <c r="G956" s="65">
        <v>45258</v>
      </c>
      <c r="H956" s="65" t="s">
        <v>73</v>
      </c>
      <c r="I956" s="65" t="s">
        <v>2925</v>
      </c>
      <c r="J956" s="63" t="s">
        <v>3776</v>
      </c>
      <c r="K956" s="63" t="s">
        <v>1825</v>
      </c>
      <c r="L956" s="7" t="s">
        <v>1984</v>
      </c>
    </row>
    <row r="957" spans="1:12" ht="30" customHeight="1">
      <c r="A957" s="172" t="str">
        <f t="shared" si="28"/>
        <v>28/11/20233</v>
      </c>
      <c r="B957" s="166">
        <f t="shared" si="29"/>
        <v>3</v>
      </c>
      <c r="C957" s="63" t="s">
        <v>3896</v>
      </c>
      <c r="D957" s="64" t="s">
        <v>3897</v>
      </c>
      <c r="E957" s="336">
        <v>7</v>
      </c>
      <c r="F957" s="336" t="s">
        <v>1435</v>
      </c>
      <c r="G957" s="349">
        <v>45258</v>
      </c>
      <c r="H957" s="65" t="s">
        <v>749</v>
      </c>
      <c r="I957" s="349" t="s">
        <v>1221</v>
      </c>
      <c r="J957" s="336">
        <f>IFERROR(VLOOKUP(I957,Jueces!$A$1:$B$11,2,FALSE),"")</f>
        <v>6</v>
      </c>
      <c r="K957" s="63" t="s">
        <v>811</v>
      </c>
      <c r="L957" s="339" t="s">
        <v>3457</v>
      </c>
    </row>
    <row r="958" spans="1:12" ht="30" customHeight="1">
      <c r="A958" s="172" t="str">
        <f t="shared" si="28"/>
        <v>28/11/20234</v>
      </c>
      <c r="B958" s="166">
        <f t="shared" si="29"/>
        <v>4</v>
      </c>
      <c r="C958" s="63" t="s">
        <v>3851</v>
      </c>
      <c r="D958" s="64" t="s">
        <v>3917</v>
      </c>
      <c r="E958" s="63">
        <v>4</v>
      </c>
      <c r="F958" s="63" t="s">
        <v>3324</v>
      </c>
      <c r="G958" s="65">
        <v>45258</v>
      </c>
      <c r="H958" s="65" t="s">
        <v>1083</v>
      </c>
      <c r="I958" s="65" t="s">
        <v>1217</v>
      </c>
      <c r="J958" s="63" t="s">
        <v>3779</v>
      </c>
      <c r="K958" s="63" t="s">
        <v>810</v>
      </c>
      <c r="L958" s="63" t="s">
        <v>1984</v>
      </c>
    </row>
    <row r="959" spans="1:12" ht="30" customHeight="1">
      <c r="A959" s="172" t="str">
        <f t="shared" si="28"/>
        <v>28/11/20235</v>
      </c>
      <c r="B959" s="166">
        <f t="shared" si="29"/>
        <v>5</v>
      </c>
      <c r="C959" s="63" t="s">
        <v>3867</v>
      </c>
      <c r="D959" s="64" t="s">
        <v>3868</v>
      </c>
      <c r="E959" s="336">
        <v>3</v>
      </c>
      <c r="F959" s="336" t="s">
        <v>1434</v>
      </c>
      <c r="G959" s="349">
        <v>45258</v>
      </c>
      <c r="H959" s="65" t="s">
        <v>1083</v>
      </c>
      <c r="I959" s="349" t="s">
        <v>31</v>
      </c>
      <c r="J959" s="336">
        <f>IFERROR(VLOOKUP(I959,Jueces!$A$1:$B$11,2,FALSE),"")</f>
        <v>2</v>
      </c>
      <c r="K959" s="63" t="s">
        <v>1693</v>
      </c>
      <c r="L959" s="339" t="s">
        <v>1408</v>
      </c>
    </row>
    <row r="960" spans="1:12" ht="30" customHeight="1">
      <c r="A960" s="172" t="str">
        <f t="shared" si="28"/>
        <v>28/11/20236</v>
      </c>
      <c r="B960" s="166">
        <f t="shared" si="29"/>
        <v>6</v>
      </c>
      <c r="C960" s="325" t="s">
        <v>3982</v>
      </c>
      <c r="D960" s="64" t="s">
        <v>4033</v>
      </c>
      <c r="E960" s="336">
        <v>3</v>
      </c>
      <c r="F960" s="336" t="s">
        <v>2815</v>
      </c>
      <c r="G960" s="349">
        <v>45258</v>
      </c>
      <c r="H960" s="65" t="s">
        <v>1083</v>
      </c>
      <c r="I960" s="349" t="s">
        <v>2922</v>
      </c>
      <c r="J960" s="63" t="s">
        <v>3890</v>
      </c>
      <c r="K960" s="63" t="s">
        <v>2715</v>
      </c>
      <c r="L960" s="339" t="s">
        <v>4034</v>
      </c>
    </row>
    <row r="961" spans="1:12" ht="30" customHeight="1">
      <c r="A961" s="172" t="str">
        <f t="shared" si="28"/>
        <v>28/11/20237</v>
      </c>
      <c r="B961" s="166">
        <f t="shared" si="29"/>
        <v>7</v>
      </c>
      <c r="C961" s="63" t="s">
        <v>4192</v>
      </c>
      <c r="D961" s="64" t="s">
        <v>4193</v>
      </c>
      <c r="E961" s="336">
        <v>4</v>
      </c>
      <c r="F961" s="63" t="s">
        <v>3791</v>
      </c>
      <c r="G961" s="349">
        <v>45258</v>
      </c>
      <c r="H961" s="65" t="s">
        <v>1083</v>
      </c>
      <c r="I961" s="349" t="s">
        <v>33</v>
      </c>
      <c r="J961" s="336">
        <f>IFERROR(VLOOKUP(I961,Jueces!$A$1:$B$11,2,FALSE),"")</f>
        <v>4</v>
      </c>
      <c r="K961" s="63" t="s">
        <v>3638</v>
      </c>
      <c r="L961" s="335" t="s">
        <v>4207</v>
      </c>
    </row>
    <row r="962" spans="1:12" ht="30" customHeight="1">
      <c r="A962" s="172" t="str">
        <f t="shared" si="28"/>
        <v>28/11/20238</v>
      </c>
      <c r="B962" s="166">
        <f t="shared" si="29"/>
        <v>8</v>
      </c>
      <c r="C962" s="63" t="s">
        <v>4183</v>
      </c>
      <c r="D962" s="64" t="s">
        <v>4184</v>
      </c>
      <c r="E962" s="336">
        <v>4</v>
      </c>
      <c r="F962" s="336" t="s">
        <v>43</v>
      </c>
      <c r="G962" s="349">
        <v>45258</v>
      </c>
      <c r="H962" s="65" t="s">
        <v>1206</v>
      </c>
      <c r="I962" s="349" t="s">
        <v>1216</v>
      </c>
      <c r="J962" s="63" t="s">
        <v>4190</v>
      </c>
      <c r="K962" s="63" t="s">
        <v>797</v>
      </c>
      <c r="L962" s="373" t="s">
        <v>4185</v>
      </c>
    </row>
    <row r="963" spans="1:12" ht="30" customHeight="1">
      <c r="A963" s="172" t="str">
        <f t="shared" ref="A963:A1026" si="30">CONCATENATE(TEXT($G963,"dd/mm/yyyy"),$B963)</f>
        <v>29/11/20231</v>
      </c>
      <c r="B963" s="166">
        <f t="shared" si="29"/>
        <v>1</v>
      </c>
      <c r="C963" s="63" t="s">
        <v>3859</v>
      </c>
      <c r="D963" s="64" t="s">
        <v>3918</v>
      </c>
      <c r="E963" s="63">
        <v>4</v>
      </c>
      <c r="F963" s="63" t="s">
        <v>1433</v>
      </c>
      <c r="G963" s="65">
        <v>45259</v>
      </c>
      <c r="H963" s="65" t="s">
        <v>73</v>
      </c>
      <c r="I963" s="65" t="s">
        <v>2925</v>
      </c>
      <c r="J963" s="63" t="s">
        <v>1982</v>
      </c>
      <c r="K963" s="63" t="s">
        <v>811</v>
      </c>
      <c r="L963" s="63" t="s">
        <v>3755</v>
      </c>
    </row>
    <row r="964" spans="1:12" ht="30" customHeight="1">
      <c r="A964" s="172" t="str">
        <f t="shared" si="30"/>
        <v>29/11/20232</v>
      </c>
      <c r="B964" s="166">
        <f t="shared" ref="B964:B1027" si="31">IF($G964=$G963,$B963+1,1)</f>
        <v>2</v>
      </c>
      <c r="C964" s="63" t="s">
        <v>3892</v>
      </c>
      <c r="D964" s="64" t="s">
        <v>3893</v>
      </c>
      <c r="E964" s="336">
        <v>3</v>
      </c>
      <c r="F964" s="63" t="s">
        <v>568</v>
      </c>
      <c r="G964" s="349">
        <v>45259</v>
      </c>
      <c r="H964" s="65" t="s">
        <v>73</v>
      </c>
      <c r="I964" s="65" t="s">
        <v>33</v>
      </c>
      <c r="J964" s="336">
        <f>IFERROR(VLOOKUP(I964,Jueces!$A$1:$B$11,2,FALSE),"")</f>
        <v>4</v>
      </c>
      <c r="K964" s="63" t="s">
        <v>807</v>
      </c>
      <c r="L964" s="330" t="s">
        <v>2247</v>
      </c>
    </row>
    <row r="965" spans="1:12" ht="30" customHeight="1">
      <c r="A965" s="172" t="str">
        <f t="shared" si="30"/>
        <v>29/11/20233</v>
      </c>
      <c r="B965" s="166">
        <f t="shared" si="31"/>
        <v>3</v>
      </c>
      <c r="C965" s="325" t="s">
        <v>3957</v>
      </c>
      <c r="D965" s="64" t="s">
        <v>3958</v>
      </c>
      <c r="E965" s="336">
        <v>3</v>
      </c>
      <c r="F965" s="336" t="s">
        <v>3324</v>
      </c>
      <c r="G965" s="349">
        <v>45259</v>
      </c>
      <c r="H965" s="65" t="s">
        <v>73</v>
      </c>
      <c r="I965" s="349" t="s">
        <v>2922</v>
      </c>
      <c r="J965" s="63" t="s">
        <v>3776</v>
      </c>
      <c r="K965" s="63" t="s">
        <v>806</v>
      </c>
      <c r="L965" s="7" t="s">
        <v>695</v>
      </c>
    </row>
    <row r="966" spans="1:12" ht="30" customHeight="1">
      <c r="A966" s="172" t="str">
        <f t="shared" si="30"/>
        <v>29/11/20234</v>
      </c>
      <c r="B966" s="166">
        <f t="shared" si="31"/>
        <v>4</v>
      </c>
      <c r="C966" s="63" t="s">
        <v>4030</v>
      </c>
      <c r="D966" s="64" t="s">
        <v>4031</v>
      </c>
      <c r="E966" s="336">
        <v>3</v>
      </c>
      <c r="F966" s="336" t="s">
        <v>283</v>
      </c>
      <c r="G966" s="349">
        <v>45259</v>
      </c>
      <c r="H966" s="65" t="s">
        <v>73</v>
      </c>
      <c r="I966" s="349" t="s">
        <v>78</v>
      </c>
      <c r="J966" s="336">
        <f>IFERROR(VLOOKUP(I966,Jueces!$A$1:$B$11,2,FALSE),"")</f>
        <v>8</v>
      </c>
      <c r="K966" s="63" t="s">
        <v>582</v>
      </c>
      <c r="L966" s="339" t="s">
        <v>3394</v>
      </c>
    </row>
    <row r="967" spans="1:12" ht="30" customHeight="1">
      <c r="A967" s="172" t="str">
        <f t="shared" si="30"/>
        <v>29/11/20235</v>
      </c>
      <c r="B967" s="166">
        <f t="shared" si="31"/>
        <v>5</v>
      </c>
      <c r="C967" s="63" t="s">
        <v>4180</v>
      </c>
      <c r="D967" s="64" t="s">
        <v>4181</v>
      </c>
      <c r="E967" s="336">
        <v>4</v>
      </c>
      <c r="F967" s="336" t="s">
        <v>3639</v>
      </c>
      <c r="G967" s="349">
        <v>45259</v>
      </c>
      <c r="H967" s="65" t="s">
        <v>73</v>
      </c>
      <c r="I967" s="349" t="s">
        <v>1217</v>
      </c>
      <c r="J967" s="336">
        <f>IFERROR(VLOOKUP(I967,Jueces!$A$1:$B$11,2,FALSE),"")</f>
        <v>7</v>
      </c>
      <c r="K967" s="63" t="s">
        <v>688</v>
      </c>
      <c r="L967" s="335" t="s">
        <v>4182</v>
      </c>
    </row>
    <row r="968" spans="1:12" ht="30" customHeight="1">
      <c r="A968" s="172" t="str">
        <f t="shared" si="30"/>
        <v>29/11/20236</v>
      </c>
      <c r="B968" s="166">
        <f t="shared" si="31"/>
        <v>6</v>
      </c>
      <c r="C968" s="63" t="s">
        <v>3945</v>
      </c>
      <c r="D968" s="64" t="s">
        <v>3946</v>
      </c>
      <c r="E968" s="336">
        <v>3</v>
      </c>
      <c r="F968" s="336" t="s">
        <v>1434</v>
      </c>
      <c r="G968" s="349">
        <v>45259</v>
      </c>
      <c r="H968" s="65" t="s">
        <v>749</v>
      </c>
      <c r="I968" s="349" t="s">
        <v>1221</v>
      </c>
      <c r="J968" s="336">
        <f>IFERROR(VLOOKUP(I968,Jueces!$A$1:$B$11,2,FALSE),"")</f>
        <v>6</v>
      </c>
      <c r="K968" s="63" t="s">
        <v>808</v>
      </c>
      <c r="L968" s="339" t="s">
        <v>3977</v>
      </c>
    </row>
    <row r="969" spans="1:12" ht="30" customHeight="1">
      <c r="A969" s="172" t="str">
        <f t="shared" si="30"/>
        <v>29/11/20237</v>
      </c>
      <c r="B969" s="166">
        <f t="shared" si="31"/>
        <v>7</v>
      </c>
      <c r="C969" s="63" t="s">
        <v>3891</v>
      </c>
      <c r="D969" s="64" t="s">
        <v>4046</v>
      </c>
      <c r="E969" s="336">
        <v>3</v>
      </c>
      <c r="F969" s="336" t="s">
        <v>1435</v>
      </c>
      <c r="G969" s="349">
        <v>45259</v>
      </c>
      <c r="H969" s="65" t="s">
        <v>1083</v>
      </c>
      <c r="I969" s="349" t="s">
        <v>33</v>
      </c>
      <c r="J969" s="336">
        <f>IFERROR(VLOOKUP(I969,Jueces!$A$1:$B$11,2,FALSE),"")</f>
        <v>4</v>
      </c>
      <c r="K969" s="63" t="s">
        <v>791</v>
      </c>
      <c r="L969" s="7" t="s">
        <v>3755</v>
      </c>
    </row>
    <row r="970" spans="1:12" ht="30" customHeight="1">
      <c r="A970" s="172" t="str">
        <f t="shared" si="30"/>
        <v>29/11/20238</v>
      </c>
      <c r="B970" s="166">
        <f t="shared" si="31"/>
        <v>8</v>
      </c>
      <c r="C970" s="63" t="s">
        <v>4011</v>
      </c>
      <c r="D970" s="64" t="s">
        <v>4012</v>
      </c>
      <c r="E970" s="336">
        <v>3</v>
      </c>
      <c r="F970" s="336" t="s">
        <v>2815</v>
      </c>
      <c r="G970" s="349">
        <v>45259</v>
      </c>
      <c r="H970" s="65" t="s">
        <v>1083</v>
      </c>
      <c r="I970" s="349" t="s">
        <v>35</v>
      </c>
      <c r="J970" s="336">
        <f>IFERROR(VLOOKUP(I970,Jueces!$A$1:$B$11,2,FALSE),"")</f>
        <v>3</v>
      </c>
      <c r="K970" s="63" t="s">
        <v>569</v>
      </c>
      <c r="L970" s="63" t="s">
        <v>3381</v>
      </c>
    </row>
    <row r="971" spans="1:12" ht="30" customHeight="1">
      <c r="A971" s="172" t="str">
        <f t="shared" si="30"/>
        <v>29/11/20239</v>
      </c>
      <c r="B971" s="166">
        <f t="shared" si="31"/>
        <v>9</v>
      </c>
      <c r="C971" s="63" t="s">
        <v>3847</v>
      </c>
      <c r="D971" s="64" t="s">
        <v>3848</v>
      </c>
      <c r="E971" s="63">
        <v>4</v>
      </c>
      <c r="F971" s="63" t="s">
        <v>3323</v>
      </c>
      <c r="G971" s="65">
        <v>45259</v>
      </c>
      <c r="H971" s="65" t="s">
        <v>1206</v>
      </c>
      <c r="I971" s="65" t="s">
        <v>78</v>
      </c>
      <c r="J971" s="63">
        <f>IFERROR(VLOOKUP(I971,Jueces!$A$1:$B$11,2,FALSE),"")</f>
        <v>8</v>
      </c>
      <c r="K971" s="63" t="s">
        <v>798</v>
      </c>
      <c r="L971" s="7" t="s">
        <v>1960</v>
      </c>
    </row>
    <row r="972" spans="1:12" ht="30" customHeight="1">
      <c r="A972" s="172" t="str">
        <f t="shared" si="30"/>
        <v>29/11/202310</v>
      </c>
      <c r="B972" s="166">
        <f t="shared" si="31"/>
        <v>10</v>
      </c>
      <c r="C972" s="63" t="s">
        <v>3852</v>
      </c>
      <c r="D972" s="64" t="s">
        <v>3853</v>
      </c>
      <c r="E972" s="63">
        <v>4</v>
      </c>
      <c r="F972" s="63" t="s">
        <v>2752</v>
      </c>
      <c r="G972" s="65">
        <v>45259</v>
      </c>
      <c r="H972" s="65" t="s">
        <v>3171</v>
      </c>
      <c r="I972" s="65" t="s">
        <v>1216</v>
      </c>
      <c r="J972" s="63" t="s">
        <v>3890</v>
      </c>
      <c r="K972" s="63" t="s">
        <v>805</v>
      </c>
      <c r="L972" s="365" t="s">
        <v>1866</v>
      </c>
    </row>
    <row r="973" spans="1:12" ht="30" customHeight="1">
      <c r="A973" s="172" t="str">
        <f t="shared" si="30"/>
        <v>29/11/202311</v>
      </c>
      <c r="B973" s="166">
        <f t="shared" si="31"/>
        <v>11</v>
      </c>
      <c r="C973" s="336" t="s">
        <v>3844</v>
      </c>
      <c r="D973" s="355" t="s">
        <v>3845</v>
      </c>
      <c r="E973" s="336">
        <v>3</v>
      </c>
      <c r="F973" s="336" t="s">
        <v>29</v>
      </c>
      <c r="G973" s="349">
        <v>45259</v>
      </c>
      <c r="H973" s="65" t="s">
        <v>547</v>
      </c>
      <c r="I973" s="349" t="s">
        <v>1217</v>
      </c>
      <c r="J973" s="63" t="s">
        <v>3989</v>
      </c>
      <c r="K973" s="63" t="s">
        <v>795</v>
      </c>
      <c r="L973" s="356" t="s">
        <v>4217</v>
      </c>
    </row>
    <row r="974" spans="1:12" ht="30" customHeight="1">
      <c r="A974" s="172" t="str">
        <f t="shared" si="30"/>
        <v>30/11/20231</v>
      </c>
      <c r="B974" s="166">
        <f t="shared" si="31"/>
        <v>1</v>
      </c>
      <c r="C974" s="63" t="s">
        <v>3924</v>
      </c>
      <c r="D974" s="64" t="s">
        <v>3925</v>
      </c>
      <c r="E974" s="336">
        <v>1</v>
      </c>
      <c r="F974" s="336" t="s">
        <v>283</v>
      </c>
      <c r="G974" s="349">
        <v>45260</v>
      </c>
      <c r="H974" s="65" t="s">
        <v>73</v>
      </c>
      <c r="I974" s="349" t="s">
        <v>33</v>
      </c>
      <c r="J974" s="336">
        <f>IFERROR(VLOOKUP(I974,Jueces!$A$1:$B$11,2,FALSE),"")</f>
        <v>4</v>
      </c>
      <c r="K974" s="63" t="s">
        <v>1067</v>
      </c>
      <c r="L974" s="339" t="s">
        <v>3381</v>
      </c>
    </row>
    <row r="975" spans="1:12" ht="30" customHeight="1">
      <c r="A975" s="172" t="str">
        <f t="shared" si="30"/>
        <v>30/11/20232</v>
      </c>
      <c r="B975" s="166">
        <f t="shared" si="31"/>
        <v>2</v>
      </c>
      <c r="C975" s="63" t="s">
        <v>3949</v>
      </c>
      <c r="D975" s="64" t="s">
        <v>3986</v>
      </c>
      <c r="E975" s="336">
        <v>4</v>
      </c>
      <c r="F975" s="336" t="s">
        <v>2766</v>
      </c>
      <c r="G975" s="349">
        <v>45260</v>
      </c>
      <c r="H975" s="65" t="s">
        <v>73</v>
      </c>
      <c r="I975" s="349" t="s">
        <v>78</v>
      </c>
      <c r="J975" s="336">
        <f>IFERROR(VLOOKUP(I975,Jueces!$A$1:$B$11,2,FALSE),"")</f>
        <v>8</v>
      </c>
      <c r="K975" s="63" t="s">
        <v>807</v>
      </c>
      <c r="L975" s="7" t="s">
        <v>1866</v>
      </c>
    </row>
    <row r="976" spans="1:12" ht="30" customHeight="1">
      <c r="A976" s="172" t="str">
        <f t="shared" si="30"/>
        <v>30/11/20233</v>
      </c>
      <c r="B976" s="166">
        <f t="shared" si="31"/>
        <v>3</v>
      </c>
      <c r="C976" s="63" t="s">
        <v>3950</v>
      </c>
      <c r="D976" s="64" t="s">
        <v>3951</v>
      </c>
      <c r="E976" s="336">
        <v>3</v>
      </c>
      <c r="F976" s="336" t="s">
        <v>1434</v>
      </c>
      <c r="G976" s="349">
        <v>45260</v>
      </c>
      <c r="H976" s="65" t="s">
        <v>73</v>
      </c>
      <c r="I976" s="349" t="s">
        <v>31</v>
      </c>
      <c r="J976" s="336">
        <f>IFERROR(VLOOKUP(I976,Jueces!$A$1:$B$11,2,FALSE),"")</f>
        <v>2</v>
      </c>
      <c r="K976" s="63" t="s">
        <v>810</v>
      </c>
      <c r="L976" s="356" t="s">
        <v>3978</v>
      </c>
    </row>
    <row r="977" spans="1:12" ht="30" customHeight="1">
      <c r="A977" s="172" t="str">
        <f t="shared" si="30"/>
        <v>30/11/20234</v>
      </c>
      <c r="B977" s="166">
        <f t="shared" si="31"/>
        <v>4</v>
      </c>
      <c r="C977" s="63" t="s">
        <v>3952</v>
      </c>
      <c r="D977" s="64" t="s">
        <v>3953</v>
      </c>
      <c r="E977" s="336">
        <v>3</v>
      </c>
      <c r="F977" s="336" t="s">
        <v>2815</v>
      </c>
      <c r="G977" s="349">
        <v>45260</v>
      </c>
      <c r="H977" s="65" t="s">
        <v>73</v>
      </c>
      <c r="I977" s="349" t="s">
        <v>1217</v>
      </c>
      <c r="J977" s="336">
        <f>IFERROR(VLOOKUP(I977,Jueces!$A$1:$B$11,2,FALSE),"")</f>
        <v>7</v>
      </c>
      <c r="K977" s="63" t="s">
        <v>799</v>
      </c>
      <c r="L977" s="63" t="s">
        <v>695</v>
      </c>
    </row>
    <row r="978" spans="1:12" ht="30" customHeight="1">
      <c r="A978" s="172" t="str">
        <f t="shared" si="30"/>
        <v>30/11/20235</v>
      </c>
      <c r="B978" s="166">
        <f t="shared" si="31"/>
        <v>5</v>
      </c>
      <c r="C978" s="325" t="s">
        <v>2697</v>
      </c>
      <c r="D978" s="64" t="s">
        <v>4015</v>
      </c>
      <c r="E978" s="336">
        <v>7</v>
      </c>
      <c r="F978" s="63" t="s">
        <v>43</v>
      </c>
      <c r="G978" s="349">
        <v>45260</v>
      </c>
      <c r="H978" s="65" t="s">
        <v>73</v>
      </c>
      <c r="I978" s="349" t="s">
        <v>1216</v>
      </c>
      <c r="J978" s="336">
        <f>IFERROR(VLOOKUP(I978,Jueces!$A$1:$B$11,2,FALSE),"")</f>
        <v>1</v>
      </c>
      <c r="K978" s="63" t="s">
        <v>582</v>
      </c>
      <c r="L978" s="339" t="s">
        <v>2268</v>
      </c>
    </row>
    <row r="979" spans="1:12" ht="30" customHeight="1">
      <c r="A979" s="172" t="str">
        <f t="shared" si="30"/>
        <v>30/11/20236</v>
      </c>
      <c r="B979" s="166">
        <f t="shared" si="31"/>
        <v>6</v>
      </c>
      <c r="C979" s="7" t="s">
        <v>3931</v>
      </c>
      <c r="D979" s="40" t="s">
        <v>3932</v>
      </c>
      <c r="E979" s="328">
        <v>4</v>
      </c>
      <c r="F979" s="328" t="s">
        <v>1435</v>
      </c>
      <c r="G979" s="376">
        <v>45260</v>
      </c>
      <c r="H979" s="19" t="s">
        <v>1083</v>
      </c>
      <c r="I979" s="376" t="s">
        <v>1221</v>
      </c>
      <c r="J979" s="328">
        <f>IFERROR(VLOOKUP(I979,Jueces!$A$1:$B$11,2,FALSE),"")</f>
        <v>6</v>
      </c>
      <c r="K979" s="7" t="s">
        <v>810</v>
      </c>
      <c r="L979" s="394" t="s">
        <v>1866</v>
      </c>
    </row>
    <row r="980" spans="1:12" ht="30" customHeight="1">
      <c r="A980" s="172" t="str">
        <f t="shared" si="30"/>
        <v>30/11/20237</v>
      </c>
      <c r="B980" s="166">
        <f t="shared" si="31"/>
        <v>7</v>
      </c>
      <c r="C980" s="63" t="s">
        <v>3964</v>
      </c>
      <c r="D980" s="64" t="s">
        <v>3965</v>
      </c>
      <c r="E980" s="336">
        <v>3</v>
      </c>
      <c r="F980" s="336" t="s">
        <v>1433</v>
      </c>
      <c r="G980" s="349">
        <v>45260</v>
      </c>
      <c r="H980" s="65" t="s">
        <v>1083</v>
      </c>
      <c r="I980" s="349" t="s">
        <v>1217</v>
      </c>
      <c r="J980" s="336">
        <f>IFERROR(VLOOKUP(I980,Jueces!$A$1:$B$11,2,FALSE),"")</f>
        <v>7</v>
      </c>
      <c r="K980" s="63" t="s">
        <v>805</v>
      </c>
      <c r="L980" s="365" t="s">
        <v>694</v>
      </c>
    </row>
    <row r="981" spans="1:12" ht="30" customHeight="1">
      <c r="A981" s="172" t="str">
        <f t="shared" si="30"/>
        <v>30/11/20238</v>
      </c>
      <c r="B981" s="166">
        <f t="shared" si="31"/>
        <v>8</v>
      </c>
      <c r="C981" s="325" t="s">
        <v>2760</v>
      </c>
      <c r="D981" s="64" t="s">
        <v>3987</v>
      </c>
      <c r="E981" s="336">
        <v>7</v>
      </c>
      <c r="F981" s="336" t="s">
        <v>568</v>
      </c>
      <c r="G981" s="349">
        <v>45260</v>
      </c>
      <c r="H981" s="65" t="s">
        <v>1083</v>
      </c>
      <c r="I981" s="349" t="s">
        <v>35</v>
      </c>
      <c r="J981" s="336">
        <f>IFERROR(VLOOKUP(I981,Jueces!$A$1:$B$11,2,FALSE),"")</f>
        <v>3</v>
      </c>
      <c r="K981" s="63" t="s">
        <v>582</v>
      </c>
      <c r="L981" s="395" t="s">
        <v>3394</v>
      </c>
    </row>
    <row r="982" spans="1:12" ht="30" customHeight="1">
      <c r="A982" s="172" t="str">
        <f t="shared" si="30"/>
        <v>01/12/20231</v>
      </c>
      <c r="B982" s="166">
        <f t="shared" si="31"/>
        <v>1</v>
      </c>
      <c r="C982" s="63" t="s">
        <v>3923</v>
      </c>
      <c r="D982" s="64" t="s">
        <v>3981</v>
      </c>
      <c r="E982" s="336">
        <v>4</v>
      </c>
      <c r="F982" s="336" t="s">
        <v>3324</v>
      </c>
      <c r="G982" s="349">
        <v>45261</v>
      </c>
      <c r="H982" s="65" t="s">
        <v>73</v>
      </c>
      <c r="I982" s="349" t="s">
        <v>2925</v>
      </c>
      <c r="J982" s="63" t="s">
        <v>4057</v>
      </c>
      <c r="K982" s="63" t="s">
        <v>807</v>
      </c>
      <c r="L982" s="7" t="s">
        <v>1866</v>
      </c>
    </row>
    <row r="983" spans="1:12" ht="30" customHeight="1">
      <c r="A983" s="172" t="str">
        <f t="shared" si="30"/>
        <v>01/12/20232</v>
      </c>
      <c r="B983" s="166">
        <f t="shared" si="31"/>
        <v>2</v>
      </c>
      <c r="C983" s="63" t="s">
        <v>3929</v>
      </c>
      <c r="D983" s="64" t="s">
        <v>3930</v>
      </c>
      <c r="E983" s="336">
        <v>3</v>
      </c>
      <c r="F983" s="336" t="s">
        <v>283</v>
      </c>
      <c r="G983" s="349">
        <v>45261</v>
      </c>
      <c r="H983" s="65" t="s">
        <v>73</v>
      </c>
      <c r="I983" s="349" t="s">
        <v>2922</v>
      </c>
      <c r="J983" s="63" t="s">
        <v>3776</v>
      </c>
      <c r="K983" s="63" t="s">
        <v>808</v>
      </c>
      <c r="L983" s="63" t="s">
        <v>695</v>
      </c>
    </row>
    <row r="984" spans="1:12" ht="30" customHeight="1">
      <c r="A984" s="172" t="str">
        <f t="shared" si="30"/>
        <v>01/12/20233</v>
      </c>
      <c r="B984" s="166">
        <f t="shared" si="31"/>
        <v>3</v>
      </c>
      <c r="C984" s="63" t="s">
        <v>2824</v>
      </c>
      <c r="D984" s="64" t="s">
        <v>3956</v>
      </c>
      <c r="E984" s="336">
        <v>8</v>
      </c>
      <c r="F984" s="336" t="s">
        <v>568</v>
      </c>
      <c r="G984" s="349">
        <v>45261</v>
      </c>
      <c r="H984" s="65" t="s">
        <v>73</v>
      </c>
      <c r="I984" s="349" t="s">
        <v>33</v>
      </c>
      <c r="J984" s="336">
        <f>IFERROR(VLOOKUP(I984,Jueces!$A$1:$B$11,2,FALSE),"")</f>
        <v>4</v>
      </c>
      <c r="K984" s="63" t="s">
        <v>799</v>
      </c>
      <c r="L984" s="356" t="s">
        <v>1084</v>
      </c>
    </row>
    <row r="985" spans="1:12" ht="30" customHeight="1">
      <c r="A985" s="172" t="str">
        <f t="shared" si="30"/>
        <v>01/12/20234</v>
      </c>
      <c r="B985" s="166">
        <f t="shared" si="31"/>
        <v>4</v>
      </c>
      <c r="C985" s="63" t="s">
        <v>3979</v>
      </c>
      <c r="D985" s="64" t="s">
        <v>3980</v>
      </c>
      <c r="E985" s="336">
        <v>5</v>
      </c>
      <c r="F985" s="336" t="s">
        <v>1434</v>
      </c>
      <c r="G985" s="349">
        <v>45261</v>
      </c>
      <c r="H985" s="65" t="s">
        <v>73</v>
      </c>
      <c r="I985" s="349" t="s">
        <v>35</v>
      </c>
      <c r="J985" s="336">
        <f>IFERROR(VLOOKUP(I985,Jueces!$A$1:$B$11,2,FALSE),"")</f>
        <v>3</v>
      </c>
      <c r="K985" s="63" t="s">
        <v>582</v>
      </c>
      <c r="L985" s="337" t="s">
        <v>2124</v>
      </c>
    </row>
    <row r="986" spans="1:12" ht="30" customHeight="1">
      <c r="A986" s="172" t="str">
        <f t="shared" si="30"/>
        <v>01/12/20235</v>
      </c>
      <c r="B986" s="166">
        <f t="shared" si="31"/>
        <v>5</v>
      </c>
      <c r="C986" s="63" t="s">
        <v>4041</v>
      </c>
      <c r="D986" s="64" t="s">
        <v>4042</v>
      </c>
      <c r="E986" s="336">
        <v>3</v>
      </c>
      <c r="F986" s="336" t="s">
        <v>2752</v>
      </c>
      <c r="G986" s="349">
        <v>45261</v>
      </c>
      <c r="H986" s="65" t="s">
        <v>73</v>
      </c>
      <c r="I986" s="349" t="s">
        <v>78</v>
      </c>
      <c r="J986" s="336">
        <f>IFERROR(VLOOKUP(I986,Jueces!$A$1:$B$11,2,FALSE),"")</f>
        <v>8</v>
      </c>
      <c r="K986" s="63" t="s">
        <v>4043</v>
      </c>
      <c r="L986" s="63" t="s">
        <v>3755</v>
      </c>
    </row>
    <row r="987" spans="1:12" ht="30" customHeight="1">
      <c r="A987" s="172" t="str">
        <f t="shared" si="30"/>
        <v>01/12/20236</v>
      </c>
      <c r="B987" s="166">
        <f t="shared" si="31"/>
        <v>6</v>
      </c>
      <c r="C987" s="63" t="s">
        <v>3785</v>
      </c>
      <c r="D987" s="64" t="s">
        <v>4204</v>
      </c>
      <c r="E987" s="336">
        <v>4</v>
      </c>
      <c r="F987" s="63" t="s">
        <v>1433</v>
      </c>
      <c r="G987" s="349">
        <v>45261</v>
      </c>
      <c r="H987" s="65" t="s">
        <v>73</v>
      </c>
      <c r="I987" s="349" t="s">
        <v>31</v>
      </c>
      <c r="J987" s="336">
        <f>IFERROR(VLOOKUP(I987,Jueces!$A$1:$B$11,2,FALSE),"")</f>
        <v>2</v>
      </c>
      <c r="K987" s="63" t="s">
        <v>791</v>
      </c>
      <c r="L987" s="356" t="s">
        <v>1378</v>
      </c>
    </row>
    <row r="988" spans="1:12" ht="30" customHeight="1">
      <c r="A988" s="172" t="str">
        <f t="shared" si="30"/>
        <v>01/12/20237</v>
      </c>
      <c r="B988" s="166">
        <f t="shared" si="31"/>
        <v>7</v>
      </c>
      <c r="C988" s="63" t="s">
        <v>3954</v>
      </c>
      <c r="D988" s="64" t="s">
        <v>3973</v>
      </c>
      <c r="E988" s="336">
        <v>3</v>
      </c>
      <c r="F988" s="336" t="s">
        <v>2766</v>
      </c>
      <c r="G988" s="349">
        <v>45261</v>
      </c>
      <c r="H988" s="65" t="s">
        <v>1083</v>
      </c>
      <c r="I988" s="349" t="s">
        <v>1216</v>
      </c>
      <c r="J988" s="336">
        <f>IFERROR(VLOOKUP(I988,Jueces!$A$1:$B$11,2,FALSE),"")</f>
        <v>1</v>
      </c>
      <c r="K988" s="63" t="s">
        <v>811</v>
      </c>
      <c r="L988" s="63" t="s">
        <v>695</v>
      </c>
    </row>
    <row r="989" spans="1:12" ht="30" customHeight="1">
      <c r="A989" s="172" t="str">
        <f t="shared" si="30"/>
        <v>01/12/20238</v>
      </c>
      <c r="B989" s="166">
        <f t="shared" si="31"/>
        <v>8</v>
      </c>
      <c r="C989" s="63" t="s">
        <v>3974</v>
      </c>
      <c r="D989" s="64" t="s">
        <v>3975</v>
      </c>
      <c r="E989" s="336">
        <v>4</v>
      </c>
      <c r="F989" s="336" t="s">
        <v>2815</v>
      </c>
      <c r="G989" s="349">
        <v>45261</v>
      </c>
      <c r="H989" s="65" t="s">
        <v>1083</v>
      </c>
      <c r="I989" s="349" t="s">
        <v>1217</v>
      </c>
      <c r="J989" s="336">
        <f>IFERROR(VLOOKUP(I989,Jueces!$A$1:$B$11,2,FALSE),"")</f>
        <v>7</v>
      </c>
      <c r="K989" s="63" t="s">
        <v>801</v>
      </c>
      <c r="L989" s="339" t="s">
        <v>1866</v>
      </c>
    </row>
    <row r="990" spans="1:12" ht="30" customHeight="1">
      <c r="A990" s="172" t="str">
        <f t="shared" si="30"/>
        <v>01/12/20239</v>
      </c>
      <c r="B990" s="166">
        <f t="shared" si="31"/>
        <v>9</v>
      </c>
      <c r="C990" s="63" t="s">
        <v>3927</v>
      </c>
      <c r="D990" s="64" t="s">
        <v>3928</v>
      </c>
      <c r="E990" s="336">
        <v>3</v>
      </c>
      <c r="F990" s="336" t="s">
        <v>1433</v>
      </c>
      <c r="G990" s="349">
        <v>45261</v>
      </c>
      <c r="H990" s="65" t="s">
        <v>1083</v>
      </c>
      <c r="I990" s="349" t="s">
        <v>31</v>
      </c>
      <c r="J990" s="336">
        <v>2</v>
      </c>
      <c r="K990" s="63" t="s">
        <v>807</v>
      </c>
      <c r="L990" s="330" t="s">
        <v>3381</v>
      </c>
    </row>
    <row r="991" spans="1:12" ht="30" customHeight="1">
      <c r="A991" s="172" t="str">
        <f t="shared" si="30"/>
        <v>01/12/202310</v>
      </c>
      <c r="B991" s="166">
        <f t="shared" si="31"/>
        <v>10</v>
      </c>
      <c r="C991" s="63" t="s">
        <v>4205</v>
      </c>
      <c r="D991" s="64" t="s">
        <v>4206</v>
      </c>
      <c r="E991" s="336">
        <v>4</v>
      </c>
      <c r="F991" s="336" t="s">
        <v>29</v>
      </c>
      <c r="G991" s="349">
        <v>45261</v>
      </c>
      <c r="H991" s="65" t="s">
        <v>1083</v>
      </c>
      <c r="I991" s="349" t="s">
        <v>78</v>
      </c>
      <c r="J991" s="336">
        <f>IFERROR(VLOOKUP(I991,Jueces!$A$1:$B$11,2,FALSE),"")</f>
        <v>8</v>
      </c>
      <c r="K991" s="63" t="s">
        <v>812</v>
      </c>
      <c r="L991" s="373" t="s">
        <v>1639</v>
      </c>
    </row>
    <row r="992" spans="1:12" ht="30" customHeight="1">
      <c r="A992" s="172" t="str">
        <f t="shared" si="30"/>
        <v>01/12/202311</v>
      </c>
      <c r="B992" s="166">
        <f t="shared" si="31"/>
        <v>11</v>
      </c>
      <c r="C992" s="63" t="s">
        <v>4107</v>
      </c>
      <c r="D992" s="64" t="s">
        <v>4240</v>
      </c>
      <c r="E992" s="336">
        <v>4</v>
      </c>
      <c r="F992" s="336" t="s">
        <v>2753</v>
      </c>
      <c r="G992" s="349">
        <v>45261</v>
      </c>
      <c r="H992" s="65" t="s">
        <v>1601</v>
      </c>
      <c r="I992" s="349" t="s">
        <v>31</v>
      </c>
      <c r="J992" s="336">
        <f>IFERROR(VLOOKUP(I992,Jueces!$A$1:$B$11,2,FALSE),"")</f>
        <v>2</v>
      </c>
      <c r="K992" s="63" t="s">
        <v>807</v>
      </c>
      <c r="L992" s="356" t="s">
        <v>1378</v>
      </c>
    </row>
    <row r="993" spans="1:12" ht="30" customHeight="1">
      <c r="A993" s="172" t="str">
        <f t="shared" si="30"/>
        <v>01/12/202312</v>
      </c>
      <c r="B993" s="166">
        <f t="shared" si="31"/>
        <v>12</v>
      </c>
      <c r="C993" s="206" t="s">
        <v>4139</v>
      </c>
      <c r="D993" s="207" t="s">
        <v>4140</v>
      </c>
      <c r="E993" s="329">
        <v>5</v>
      </c>
      <c r="F993" s="329" t="s">
        <v>2815</v>
      </c>
      <c r="G993" s="351">
        <v>45261</v>
      </c>
      <c r="H993" s="294" t="s">
        <v>77</v>
      </c>
      <c r="I993" s="351" t="s">
        <v>1216</v>
      </c>
      <c r="J993" s="329">
        <f>IFERROR(VLOOKUP(I993,Jueces!$A$1:$B$11,2,FALSE),"")</f>
        <v>1</v>
      </c>
      <c r="K993" s="206" t="s">
        <v>810</v>
      </c>
      <c r="L993" s="206" t="s">
        <v>1956</v>
      </c>
    </row>
    <row r="994" spans="1:12" ht="30" customHeight="1">
      <c r="A994" s="172" t="str">
        <f t="shared" si="30"/>
        <v>01/12/202313</v>
      </c>
      <c r="B994" s="166">
        <f t="shared" si="31"/>
        <v>13</v>
      </c>
      <c r="C994" s="63" t="s">
        <v>4091</v>
      </c>
      <c r="D994" s="64" t="s">
        <v>4092</v>
      </c>
      <c r="E994" s="336">
        <v>3</v>
      </c>
      <c r="F994" s="336" t="s">
        <v>2752</v>
      </c>
      <c r="G994" s="349">
        <v>45261</v>
      </c>
      <c r="H994" s="65" t="s">
        <v>228</v>
      </c>
      <c r="I994" s="349" t="s">
        <v>35</v>
      </c>
      <c r="J994" s="336">
        <f>IFERROR(VLOOKUP(I994,Jueces!$A$1:$B$11,2,FALSE),"")</f>
        <v>3</v>
      </c>
      <c r="K994" s="63" t="s">
        <v>789</v>
      </c>
      <c r="L994" s="339" t="s">
        <v>4124</v>
      </c>
    </row>
    <row r="995" spans="1:12" ht="30" customHeight="1">
      <c r="A995" s="172" t="str">
        <f t="shared" si="30"/>
        <v>04/12/20231</v>
      </c>
      <c r="B995" s="166">
        <f t="shared" si="31"/>
        <v>1</v>
      </c>
      <c r="C995" s="63" t="s">
        <v>3968</v>
      </c>
      <c r="D995" s="64" t="s">
        <v>3969</v>
      </c>
      <c r="E995" s="336">
        <v>4</v>
      </c>
      <c r="F995" s="336" t="s">
        <v>1434</v>
      </c>
      <c r="G995" s="349">
        <v>45264</v>
      </c>
      <c r="H995" s="65" t="s">
        <v>73</v>
      </c>
      <c r="I995" s="349" t="s">
        <v>2925</v>
      </c>
      <c r="J995" s="63" t="s">
        <v>3776</v>
      </c>
      <c r="K995" s="63" t="s">
        <v>811</v>
      </c>
      <c r="L995" s="63" t="s">
        <v>1866</v>
      </c>
    </row>
    <row r="996" spans="1:12" ht="30" customHeight="1">
      <c r="A996" s="172" t="str">
        <f t="shared" si="30"/>
        <v>04/12/20232</v>
      </c>
      <c r="B996" s="166">
        <f t="shared" si="31"/>
        <v>2</v>
      </c>
      <c r="C996" s="63" t="s">
        <v>4019</v>
      </c>
      <c r="D996" s="64" t="s">
        <v>4020</v>
      </c>
      <c r="E996" s="336">
        <v>4</v>
      </c>
      <c r="F996" s="336" t="s">
        <v>3639</v>
      </c>
      <c r="G996" s="349">
        <v>45264</v>
      </c>
      <c r="H996" s="65" t="s">
        <v>73</v>
      </c>
      <c r="I996" s="349" t="s">
        <v>31</v>
      </c>
      <c r="J996" s="336">
        <f>IFERROR(VLOOKUP(I996,Jueces!$A$1:$B$11,2,FALSE),"")</f>
        <v>2</v>
      </c>
      <c r="K996" s="63" t="s">
        <v>810</v>
      </c>
      <c r="L996" s="356" t="s">
        <v>4202</v>
      </c>
    </row>
    <row r="997" spans="1:12" ht="30" customHeight="1">
      <c r="A997" s="172" t="str">
        <f t="shared" si="30"/>
        <v>04/12/20233</v>
      </c>
      <c r="B997" s="166">
        <f t="shared" si="31"/>
        <v>3</v>
      </c>
      <c r="C997" s="63" t="s">
        <v>4038</v>
      </c>
      <c r="D997" s="64" t="s">
        <v>4040</v>
      </c>
      <c r="E997" s="336">
        <v>8</v>
      </c>
      <c r="F997" s="336" t="s">
        <v>3791</v>
      </c>
      <c r="G997" s="349">
        <v>45264</v>
      </c>
      <c r="H997" s="65" t="s">
        <v>73</v>
      </c>
      <c r="I997" s="349" t="s">
        <v>1217</v>
      </c>
      <c r="J997" s="336">
        <f>IFERROR(VLOOKUP(I997,Jueces!$A$1:$B$11,2,FALSE),"")</f>
        <v>7</v>
      </c>
      <c r="K997" s="63" t="s">
        <v>2077</v>
      </c>
      <c r="L997" s="337" t="s">
        <v>4039</v>
      </c>
    </row>
    <row r="998" spans="1:12" ht="30" customHeight="1">
      <c r="A998" s="172" t="str">
        <f t="shared" si="30"/>
        <v>04/12/20234</v>
      </c>
      <c r="B998" s="166">
        <f t="shared" si="31"/>
        <v>4</v>
      </c>
      <c r="C998" s="63" t="s">
        <v>3632</v>
      </c>
      <c r="D998" s="355" t="s">
        <v>3633</v>
      </c>
      <c r="E998" s="336">
        <v>8</v>
      </c>
      <c r="F998" s="336" t="s">
        <v>2752</v>
      </c>
      <c r="G998" s="349">
        <v>45264</v>
      </c>
      <c r="H998" s="65" t="s">
        <v>73</v>
      </c>
      <c r="I998" s="349" t="s">
        <v>35</v>
      </c>
      <c r="J998" s="336">
        <f>IFERROR(VLOOKUP(I998,Jueces!$A$1:$B$11,2,FALSE),"")</f>
        <v>3</v>
      </c>
      <c r="K998" s="63" t="s">
        <v>797</v>
      </c>
      <c r="L998" s="7" t="s">
        <v>2987</v>
      </c>
    </row>
    <row r="999" spans="1:12" ht="30" customHeight="1">
      <c r="A999" s="172" t="str">
        <f t="shared" si="30"/>
        <v>04/12/20235</v>
      </c>
      <c r="B999" s="166">
        <f t="shared" si="31"/>
        <v>5</v>
      </c>
      <c r="C999" s="63" t="s">
        <v>3790</v>
      </c>
      <c r="D999" s="64" t="s">
        <v>4378</v>
      </c>
      <c r="E999" s="336">
        <v>4</v>
      </c>
      <c r="F999" s="336" t="s">
        <v>568</v>
      </c>
      <c r="G999" s="349">
        <v>45264</v>
      </c>
      <c r="H999" s="65" t="s">
        <v>1083</v>
      </c>
      <c r="I999" s="349" t="s">
        <v>1216</v>
      </c>
      <c r="J999" s="336">
        <f>IFERROR(VLOOKUP(I999,Jueces!$A$1:$B$11,2,FALSE),"")</f>
        <v>1</v>
      </c>
      <c r="K999" s="63" t="s">
        <v>799</v>
      </c>
      <c r="L999" s="63" t="s">
        <v>695</v>
      </c>
    </row>
    <row r="1000" spans="1:12" ht="30" customHeight="1">
      <c r="A1000" s="172" t="str">
        <f t="shared" si="30"/>
        <v>04/12/20236</v>
      </c>
      <c r="B1000" s="166">
        <f t="shared" si="31"/>
        <v>6</v>
      </c>
      <c r="C1000" s="63" t="s">
        <v>3983</v>
      </c>
      <c r="D1000" s="64" t="s">
        <v>3984</v>
      </c>
      <c r="E1000" s="336">
        <v>3</v>
      </c>
      <c r="F1000" s="336" t="s">
        <v>2766</v>
      </c>
      <c r="G1000" s="349">
        <v>45264</v>
      </c>
      <c r="H1000" s="65" t="s">
        <v>1083</v>
      </c>
      <c r="I1000" s="349" t="s">
        <v>31</v>
      </c>
      <c r="J1000" s="336">
        <f>IFERROR(VLOOKUP(I1000,Jueces!$A$1:$B$11,2,FALSE),"")</f>
        <v>2</v>
      </c>
      <c r="K1000" s="63" t="s">
        <v>807</v>
      </c>
      <c r="L1000" s="63" t="s">
        <v>3755</v>
      </c>
    </row>
    <row r="1001" spans="1:12" ht="30" customHeight="1">
      <c r="A1001" s="172" t="str">
        <f t="shared" si="30"/>
        <v>04/12/20237</v>
      </c>
      <c r="B1001" s="166">
        <f t="shared" si="31"/>
        <v>7</v>
      </c>
      <c r="C1001" s="63" t="s">
        <v>3849</v>
      </c>
      <c r="D1001" s="355" t="s">
        <v>3850</v>
      </c>
      <c r="E1001" s="336">
        <v>4</v>
      </c>
      <c r="F1001" s="336" t="s">
        <v>3324</v>
      </c>
      <c r="G1001" s="349">
        <v>45264</v>
      </c>
      <c r="H1001" s="65" t="s">
        <v>1083</v>
      </c>
      <c r="I1001" s="349" t="s">
        <v>1217</v>
      </c>
      <c r="J1001" s="336">
        <f>IFERROR(VLOOKUP(I1001,Jueces!$A$1:$B$11,2,FALSE),"")</f>
        <v>7</v>
      </c>
      <c r="K1001" s="63" t="s">
        <v>811</v>
      </c>
      <c r="L1001" s="63" t="s">
        <v>1866</v>
      </c>
    </row>
    <row r="1002" spans="1:12" ht="30" customHeight="1">
      <c r="A1002" s="172" t="str">
        <f t="shared" si="30"/>
        <v>04/12/20238</v>
      </c>
      <c r="B1002" s="166">
        <f t="shared" si="31"/>
        <v>8</v>
      </c>
      <c r="C1002" s="325" t="s">
        <v>2418</v>
      </c>
      <c r="D1002" s="382" t="s">
        <v>4213</v>
      </c>
      <c r="E1002" s="336">
        <v>4</v>
      </c>
      <c r="F1002" s="63" t="s">
        <v>43</v>
      </c>
      <c r="G1002" s="349">
        <v>45264</v>
      </c>
      <c r="H1002" s="65" t="s">
        <v>77</v>
      </c>
      <c r="I1002" s="349" t="s">
        <v>33</v>
      </c>
      <c r="J1002" s="63">
        <v>4</v>
      </c>
      <c r="K1002" s="63" t="s">
        <v>810</v>
      </c>
      <c r="L1002" s="63" t="s">
        <v>1430</v>
      </c>
    </row>
    <row r="1003" spans="1:12" ht="30" customHeight="1">
      <c r="A1003" s="172" t="str">
        <f t="shared" si="30"/>
        <v>05/12/20231</v>
      </c>
      <c r="B1003" s="166">
        <f t="shared" si="31"/>
        <v>1</v>
      </c>
      <c r="C1003" s="63" t="s">
        <v>3947</v>
      </c>
      <c r="D1003" s="64" t="s">
        <v>3948</v>
      </c>
      <c r="E1003" s="336">
        <v>2</v>
      </c>
      <c r="F1003" s="336" t="s">
        <v>1434</v>
      </c>
      <c r="G1003" s="349">
        <v>45265</v>
      </c>
      <c r="H1003" s="65" t="s">
        <v>73</v>
      </c>
      <c r="I1003" s="349" t="s">
        <v>1217</v>
      </c>
      <c r="J1003" s="336">
        <f>IFERROR(VLOOKUP(I1003,Jueces!$A$1:$B$11,2,FALSE),"")</f>
        <v>7</v>
      </c>
      <c r="K1003" s="63" t="s">
        <v>2077</v>
      </c>
      <c r="L1003" s="373" t="s">
        <v>700</v>
      </c>
    </row>
    <row r="1004" spans="1:12" ht="30" customHeight="1">
      <c r="A1004" s="172" t="str">
        <f t="shared" si="30"/>
        <v>05/12/20232</v>
      </c>
      <c r="B1004" s="166">
        <f t="shared" si="31"/>
        <v>2</v>
      </c>
      <c r="C1004" s="63" t="s">
        <v>3961</v>
      </c>
      <c r="D1004" s="64" t="s">
        <v>3962</v>
      </c>
      <c r="E1004" s="336">
        <v>4</v>
      </c>
      <c r="F1004" s="336" t="s">
        <v>3324</v>
      </c>
      <c r="G1004" s="349">
        <v>45265</v>
      </c>
      <c r="H1004" s="65" t="s">
        <v>73</v>
      </c>
      <c r="I1004" s="349" t="s">
        <v>35</v>
      </c>
      <c r="J1004" s="336">
        <f>IFERROR(VLOOKUP(I1004,Jueces!$A$1:$B$11,2,FALSE),"")</f>
        <v>3</v>
      </c>
      <c r="K1004" s="63" t="s">
        <v>791</v>
      </c>
      <c r="L1004" s="63" t="s">
        <v>3755</v>
      </c>
    </row>
    <row r="1005" spans="1:12" ht="30" customHeight="1">
      <c r="A1005" s="172" t="str">
        <f t="shared" si="30"/>
        <v>05/12/20233</v>
      </c>
      <c r="B1005" s="166">
        <f t="shared" si="31"/>
        <v>3</v>
      </c>
      <c r="C1005" s="63" t="s">
        <v>3985</v>
      </c>
      <c r="D1005" s="64" t="s">
        <v>4032</v>
      </c>
      <c r="E1005" s="336">
        <v>3</v>
      </c>
      <c r="F1005" s="336" t="s">
        <v>3323</v>
      </c>
      <c r="G1005" s="349">
        <v>45265</v>
      </c>
      <c r="H1005" s="65" t="s">
        <v>73</v>
      </c>
      <c r="I1005" s="349" t="s">
        <v>33</v>
      </c>
      <c r="J1005" s="336">
        <f>IFERROR(VLOOKUP(I1005,Jueces!$A$1:$B$11,2,FALSE),"")</f>
        <v>4</v>
      </c>
      <c r="K1005" s="63" t="s">
        <v>807</v>
      </c>
      <c r="L1005" s="63" t="s">
        <v>695</v>
      </c>
    </row>
    <row r="1006" spans="1:12" ht="30" customHeight="1">
      <c r="A1006" s="172" t="str">
        <f t="shared" si="30"/>
        <v>05/12/20234</v>
      </c>
      <c r="B1006" s="166">
        <f t="shared" si="31"/>
        <v>4</v>
      </c>
      <c r="C1006" s="63" t="s">
        <v>4009</v>
      </c>
      <c r="D1006" s="64" t="s">
        <v>4010</v>
      </c>
      <c r="E1006" s="336">
        <v>4</v>
      </c>
      <c r="F1006" s="336" t="s">
        <v>1433</v>
      </c>
      <c r="G1006" s="349">
        <v>45265</v>
      </c>
      <c r="H1006" s="65" t="s">
        <v>73</v>
      </c>
      <c r="I1006" s="349" t="s">
        <v>31</v>
      </c>
      <c r="J1006" s="336">
        <f>IFERROR(VLOOKUP(I1006,Jueces!$A$1:$B$11,2,FALSE),"")</f>
        <v>2</v>
      </c>
      <c r="K1006" s="63" t="s">
        <v>809</v>
      </c>
      <c r="L1006" s="7" t="s">
        <v>1956</v>
      </c>
    </row>
    <row r="1007" spans="1:12" ht="30" customHeight="1">
      <c r="A1007" s="172" t="str">
        <f t="shared" si="30"/>
        <v>05/12/20235</v>
      </c>
      <c r="B1007" s="166">
        <f t="shared" si="31"/>
        <v>5</v>
      </c>
      <c r="C1007" s="63" t="s">
        <v>4302</v>
      </c>
      <c r="D1007" s="64" t="s">
        <v>4303</v>
      </c>
      <c r="E1007" s="336">
        <v>4</v>
      </c>
      <c r="F1007" s="336" t="s">
        <v>3791</v>
      </c>
      <c r="G1007" s="349">
        <v>45265</v>
      </c>
      <c r="H1007" s="65" t="s">
        <v>73</v>
      </c>
      <c r="I1007" s="349" t="s">
        <v>2922</v>
      </c>
      <c r="J1007" s="63" t="s">
        <v>1982</v>
      </c>
      <c r="K1007" s="63" t="s">
        <v>790</v>
      </c>
      <c r="L1007" s="335" t="s">
        <v>4186</v>
      </c>
    </row>
    <row r="1008" spans="1:12" ht="30" customHeight="1">
      <c r="A1008" s="172" t="str">
        <f t="shared" si="30"/>
        <v>05/12/20236</v>
      </c>
      <c r="B1008" s="166">
        <f t="shared" si="31"/>
        <v>6</v>
      </c>
      <c r="C1008" s="63" t="s">
        <v>3970</v>
      </c>
      <c r="D1008" s="64" t="s">
        <v>4117</v>
      </c>
      <c r="E1008" s="336">
        <v>4</v>
      </c>
      <c r="F1008" s="336" t="s">
        <v>1435</v>
      </c>
      <c r="G1008" s="349">
        <v>45265</v>
      </c>
      <c r="H1008" s="65" t="s">
        <v>1083</v>
      </c>
      <c r="I1008" s="349" t="s">
        <v>1723</v>
      </c>
      <c r="J1008" s="336">
        <v>1</v>
      </c>
      <c r="K1008" s="63" t="s">
        <v>807</v>
      </c>
      <c r="L1008" s="63" t="s">
        <v>1866</v>
      </c>
    </row>
    <row r="1009" spans="1:12" ht="30" customHeight="1">
      <c r="A1009" s="172" t="str">
        <f t="shared" si="30"/>
        <v>05/12/20237</v>
      </c>
      <c r="B1009" s="166">
        <f t="shared" si="31"/>
        <v>7</v>
      </c>
      <c r="C1009" s="63" t="s">
        <v>4084</v>
      </c>
      <c r="D1009" s="64" t="s">
        <v>4203</v>
      </c>
      <c r="E1009" s="336">
        <v>4</v>
      </c>
      <c r="F1009" s="63" t="s">
        <v>568</v>
      </c>
      <c r="G1009" s="349">
        <v>45265</v>
      </c>
      <c r="H1009" s="65" t="s">
        <v>1083</v>
      </c>
      <c r="I1009" s="349" t="s">
        <v>78</v>
      </c>
      <c r="J1009" s="336">
        <f>IFERROR(VLOOKUP(I1009,Jueces!$A$1:$B$11,2,FALSE),"")</f>
        <v>8</v>
      </c>
      <c r="K1009" s="63" t="s">
        <v>791</v>
      </c>
      <c r="L1009" s="339" t="s">
        <v>4085</v>
      </c>
    </row>
    <row r="1010" spans="1:12" ht="30" customHeight="1">
      <c r="A1010" s="172" t="str">
        <f t="shared" si="30"/>
        <v>05/12/20238</v>
      </c>
      <c r="B1010" s="166">
        <f t="shared" si="31"/>
        <v>8</v>
      </c>
      <c r="C1010" s="63" t="s">
        <v>4097</v>
      </c>
      <c r="D1010" s="64" t="s">
        <v>4267</v>
      </c>
      <c r="E1010" s="336">
        <v>4</v>
      </c>
      <c r="F1010" s="336" t="s">
        <v>2815</v>
      </c>
      <c r="G1010" s="349">
        <v>45265</v>
      </c>
      <c r="H1010" s="65" t="s">
        <v>1083</v>
      </c>
      <c r="I1010" s="349" t="s">
        <v>1217</v>
      </c>
      <c r="J1010" s="63">
        <v>7</v>
      </c>
      <c r="K1010" s="63" t="s">
        <v>789</v>
      </c>
      <c r="L1010" s="63" t="s">
        <v>1956</v>
      </c>
    </row>
    <row r="1011" spans="1:12" ht="30" customHeight="1">
      <c r="A1011" s="172" t="str">
        <f t="shared" si="30"/>
        <v>05/12/20239</v>
      </c>
      <c r="B1011" s="166">
        <f t="shared" si="31"/>
        <v>9</v>
      </c>
      <c r="C1011" s="63" t="s">
        <v>4035</v>
      </c>
      <c r="D1011" s="64" t="s">
        <v>4137</v>
      </c>
      <c r="E1011" s="336">
        <v>4</v>
      </c>
      <c r="F1011" s="63" t="s">
        <v>283</v>
      </c>
      <c r="G1011" s="65">
        <v>45265</v>
      </c>
      <c r="H1011" s="65" t="s">
        <v>1206</v>
      </c>
      <c r="I1011" s="349" t="s">
        <v>1216</v>
      </c>
      <c r="J1011" s="336">
        <f>IFERROR(VLOOKUP(I1011,Jueces!$A$1:$B$11,2,FALSE),"")</f>
        <v>1</v>
      </c>
      <c r="K1011" s="63" t="s">
        <v>806</v>
      </c>
      <c r="L1011" s="63" t="s">
        <v>1956</v>
      </c>
    </row>
    <row r="1012" spans="1:12" ht="30" customHeight="1">
      <c r="A1012" s="172" t="str">
        <f t="shared" si="30"/>
        <v>05/12/202310</v>
      </c>
      <c r="B1012" s="166">
        <f t="shared" si="31"/>
        <v>10</v>
      </c>
      <c r="C1012" s="325" t="s">
        <v>4337</v>
      </c>
      <c r="D1012" s="382" t="s">
        <v>4338</v>
      </c>
      <c r="E1012" s="336">
        <v>3</v>
      </c>
      <c r="F1012" s="336" t="s">
        <v>43</v>
      </c>
      <c r="G1012" s="349">
        <v>45265</v>
      </c>
      <c r="H1012" s="65" t="s">
        <v>1206</v>
      </c>
      <c r="I1012" s="349" t="s">
        <v>33</v>
      </c>
      <c r="J1012" s="336">
        <f>IFERROR(VLOOKUP(I1012,Jueces!$A$1:$B$11,2,FALSE),"")</f>
        <v>4</v>
      </c>
      <c r="K1012" s="63" t="s">
        <v>807</v>
      </c>
      <c r="L1012" s="63" t="s">
        <v>695</v>
      </c>
    </row>
    <row r="1013" spans="1:12" ht="30" customHeight="1">
      <c r="A1013" s="172" t="str">
        <f t="shared" si="30"/>
        <v>05/12/202311</v>
      </c>
      <c r="B1013" s="166">
        <f t="shared" si="31"/>
        <v>11</v>
      </c>
      <c r="C1013" s="63" t="s">
        <v>4083</v>
      </c>
      <c r="D1013" s="355" t="s">
        <v>4045</v>
      </c>
      <c r="E1013" s="336">
        <v>5</v>
      </c>
      <c r="F1013" s="336" t="s">
        <v>3791</v>
      </c>
      <c r="G1013" s="349">
        <v>45265</v>
      </c>
      <c r="H1013" s="65" t="s">
        <v>3171</v>
      </c>
      <c r="I1013" s="349" t="s">
        <v>1216</v>
      </c>
      <c r="J1013" s="336">
        <f>IFERROR(VLOOKUP(I1013,Jueces!$A$1:$B$11,2,FALSE),"")</f>
        <v>1</v>
      </c>
      <c r="K1013" s="63" t="s">
        <v>799</v>
      </c>
      <c r="L1013" s="63" t="s">
        <v>1866</v>
      </c>
    </row>
    <row r="1014" spans="1:12" ht="30" customHeight="1">
      <c r="A1014" s="172" t="str">
        <f t="shared" si="30"/>
        <v>05/12/202312</v>
      </c>
      <c r="B1014" s="166">
        <f t="shared" si="31"/>
        <v>12</v>
      </c>
      <c r="C1014" s="63" t="s">
        <v>4272</v>
      </c>
      <c r="D1014" s="64" t="s">
        <v>4304</v>
      </c>
      <c r="E1014" s="336">
        <v>4</v>
      </c>
      <c r="F1014" s="336" t="s">
        <v>29</v>
      </c>
      <c r="G1014" s="349">
        <v>45265</v>
      </c>
      <c r="H1014" s="65" t="s">
        <v>3171</v>
      </c>
      <c r="I1014" s="349" t="s">
        <v>78</v>
      </c>
      <c r="J1014" s="336">
        <f>IFERROR(VLOOKUP(I1014,Jueces!$A$1:$B$11,2,FALSE),"")</f>
        <v>8</v>
      </c>
      <c r="K1014" s="63" t="s">
        <v>810</v>
      </c>
      <c r="L1014" s="63" t="s">
        <v>1956</v>
      </c>
    </row>
    <row r="1015" spans="1:12" ht="30" customHeight="1">
      <c r="A1015" s="172" t="str">
        <f t="shared" si="30"/>
        <v>05/12/202313</v>
      </c>
      <c r="B1015" s="166">
        <f t="shared" si="31"/>
        <v>13</v>
      </c>
      <c r="C1015" s="63" t="s">
        <v>4135</v>
      </c>
      <c r="D1015" s="64" t="s">
        <v>4136</v>
      </c>
      <c r="E1015" s="336">
        <v>4</v>
      </c>
      <c r="F1015" s="336" t="s">
        <v>1435</v>
      </c>
      <c r="G1015" s="349">
        <v>45265</v>
      </c>
      <c r="H1015" s="65" t="s">
        <v>77</v>
      </c>
      <c r="I1015" s="349" t="s">
        <v>33</v>
      </c>
      <c r="J1015" s="63" t="s">
        <v>2285</v>
      </c>
      <c r="K1015" s="63" t="s">
        <v>801</v>
      </c>
      <c r="L1015" s="63" t="s">
        <v>1866</v>
      </c>
    </row>
    <row r="1016" spans="1:12" ht="30" customHeight="1">
      <c r="A1016" s="172" t="str">
        <f t="shared" si="30"/>
        <v>06/12/20231</v>
      </c>
      <c r="B1016" s="166">
        <f t="shared" si="31"/>
        <v>1</v>
      </c>
      <c r="C1016" s="63" t="s">
        <v>4089</v>
      </c>
      <c r="D1016" s="64" t="s">
        <v>4018</v>
      </c>
      <c r="E1016" s="63">
        <v>4</v>
      </c>
      <c r="F1016" s="336" t="s">
        <v>568</v>
      </c>
      <c r="G1016" s="349">
        <v>45266</v>
      </c>
      <c r="H1016" s="65" t="s">
        <v>73</v>
      </c>
      <c r="I1016" s="349" t="s">
        <v>78</v>
      </c>
      <c r="J1016" s="336">
        <f>IFERROR(VLOOKUP(I1016,Jueces!$A$1:$B$11,2,FALSE),"")</f>
        <v>8</v>
      </c>
      <c r="K1016" s="63" t="s">
        <v>807</v>
      </c>
      <c r="L1016" s="63" t="s">
        <v>1956</v>
      </c>
    </row>
    <row r="1017" spans="1:12" ht="30" customHeight="1">
      <c r="A1017" s="172" t="str">
        <f t="shared" si="30"/>
        <v>06/12/20232</v>
      </c>
      <c r="B1017" s="166">
        <f t="shared" si="31"/>
        <v>2</v>
      </c>
      <c r="C1017" s="63" t="s">
        <v>4021</v>
      </c>
      <c r="D1017" s="64" t="s">
        <v>4022</v>
      </c>
      <c r="E1017" s="336">
        <v>4</v>
      </c>
      <c r="F1017" s="336" t="s">
        <v>2752</v>
      </c>
      <c r="G1017" s="349">
        <v>45266</v>
      </c>
      <c r="H1017" s="65" t="s">
        <v>73</v>
      </c>
      <c r="I1017" s="349" t="s">
        <v>31</v>
      </c>
      <c r="J1017" s="336">
        <f>IFERROR(VLOOKUP(I1017,Jueces!$A$1:$B$11,2,FALSE),"")</f>
        <v>2</v>
      </c>
      <c r="K1017" s="63" t="s">
        <v>800</v>
      </c>
      <c r="L1017" s="63" t="s">
        <v>2201</v>
      </c>
    </row>
    <row r="1018" spans="1:12" ht="30" customHeight="1">
      <c r="A1018" s="172" t="str">
        <f t="shared" si="30"/>
        <v>06/12/20233</v>
      </c>
      <c r="B1018" s="166">
        <f t="shared" si="31"/>
        <v>3</v>
      </c>
      <c r="C1018" s="63" t="s">
        <v>4036</v>
      </c>
      <c r="D1018" s="64" t="s">
        <v>4037</v>
      </c>
      <c r="E1018" s="336">
        <v>4</v>
      </c>
      <c r="F1018" s="63" t="s">
        <v>1435</v>
      </c>
      <c r="G1018" s="349">
        <v>45266</v>
      </c>
      <c r="H1018" s="65" t="s">
        <v>73</v>
      </c>
      <c r="I1018" s="349" t="s">
        <v>33</v>
      </c>
      <c r="J1018" s="336">
        <f>IFERROR(VLOOKUP(I1018,Jueces!$A$1:$B$11,2,FALSE),"")</f>
        <v>4</v>
      </c>
      <c r="K1018" s="63" t="s">
        <v>802</v>
      </c>
      <c r="L1018" s="335" t="s">
        <v>4116</v>
      </c>
    </row>
    <row r="1019" spans="1:12" ht="30" customHeight="1">
      <c r="A1019" s="172" t="str">
        <f t="shared" si="30"/>
        <v>06/12/20234</v>
      </c>
      <c r="B1019" s="166">
        <f t="shared" si="31"/>
        <v>4</v>
      </c>
      <c r="C1019" s="63" t="s">
        <v>4079</v>
      </c>
      <c r="D1019" s="64" t="s">
        <v>4080</v>
      </c>
      <c r="E1019" s="336">
        <v>4</v>
      </c>
      <c r="F1019" s="336" t="s">
        <v>2815</v>
      </c>
      <c r="G1019" s="349">
        <v>45266</v>
      </c>
      <c r="H1019" s="65" t="s">
        <v>73</v>
      </c>
      <c r="I1019" s="349" t="s">
        <v>1217</v>
      </c>
      <c r="J1019" s="336">
        <f>IFERROR(VLOOKUP(I1019,Jueces!$A$1:$B$11,2,FALSE),"")</f>
        <v>7</v>
      </c>
      <c r="K1019" s="63" t="s">
        <v>797</v>
      </c>
      <c r="L1019" s="7" t="s">
        <v>3755</v>
      </c>
    </row>
    <row r="1020" spans="1:12" ht="30" customHeight="1">
      <c r="A1020" s="172" t="str">
        <f t="shared" si="30"/>
        <v>06/12/20235</v>
      </c>
      <c r="B1020" s="166">
        <f t="shared" si="31"/>
        <v>5</v>
      </c>
      <c r="C1020" s="63" t="s">
        <v>4086</v>
      </c>
      <c r="D1020" s="64" t="s">
        <v>4087</v>
      </c>
      <c r="E1020" s="336">
        <v>4</v>
      </c>
      <c r="F1020" s="336" t="s">
        <v>283</v>
      </c>
      <c r="G1020" s="349">
        <v>45266</v>
      </c>
      <c r="H1020" s="65" t="s">
        <v>73</v>
      </c>
      <c r="I1020" s="349" t="s">
        <v>2925</v>
      </c>
      <c r="J1020" s="63" t="s">
        <v>1916</v>
      </c>
      <c r="K1020" s="63" t="s">
        <v>808</v>
      </c>
      <c r="L1020" s="396" t="s">
        <v>4088</v>
      </c>
    </row>
    <row r="1021" spans="1:12" ht="30" customHeight="1">
      <c r="A1021" s="172" t="str">
        <f t="shared" si="30"/>
        <v>06/12/20236</v>
      </c>
      <c r="B1021" s="166">
        <f t="shared" si="31"/>
        <v>6</v>
      </c>
      <c r="C1021" s="63" t="s">
        <v>1310</v>
      </c>
      <c r="D1021" s="355" t="s">
        <v>4141</v>
      </c>
      <c r="E1021" s="336">
        <v>3</v>
      </c>
      <c r="F1021" s="336" t="s">
        <v>2766</v>
      </c>
      <c r="G1021" s="349">
        <v>45266</v>
      </c>
      <c r="H1021" s="65" t="s">
        <v>73</v>
      </c>
      <c r="I1021" s="349" t="s">
        <v>1723</v>
      </c>
      <c r="J1021" s="63" t="s">
        <v>1341</v>
      </c>
      <c r="K1021" s="63" t="s">
        <v>192</v>
      </c>
      <c r="L1021" s="63" t="s">
        <v>1519</v>
      </c>
    </row>
    <row r="1022" spans="1:12" ht="30" customHeight="1">
      <c r="A1022" s="172" t="str">
        <f t="shared" si="30"/>
        <v>06/12/20237</v>
      </c>
      <c r="B1022" s="166">
        <f t="shared" si="31"/>
        <v>7</v>
      </c>
      <c r="C1022" s="63" t="s">
        <v>3963</v>
      </c>
      <c r="D1022" s="64" t="s">
        <v>4090</v>
      </c>
      <c r="E1022" s="336">
        <v>4</v>
      </c>
      <c r="F1022" s="336" t="s">
        <v>3323</v>
      </c>
      <c r="G1022" s="349">
        <v>45266</v>
      </c>
      <c r="H1022" s="65" t="s">
        <v>1083</v>
      </c>
      <c r="I1022" s="349" t="s">
        <v>35</v>
      </c>
      <c r="J1022" s="336">
        <f>IFERROR(VLOOKUP(I1022,Jueces!$A$1:$B$11,2,FALSE),"")</f>
        <v>3</v>
      </c>
      <c r="K1022" s="63" t="s">
        <v>807</v>
      </c>
      <c r="L1022" s="63" t="s">
        <v>1866</v>
      </c>
    </row>
    <row r="1023" spans="1:12" ht="30" customHeight="1">
      <c r="A1023" s="172" t="str">
        <f t="shared" si="30"/>
        <v>06/12/20238</v>
      </c>
      <c r="B1023" s="166">
        <f t="shared" si="31"/>
        <v>8</v>
      </c>
      <c r="C1023" s="63" t="s">
        <v>4023</v>
      </c>
      <c r="D1023" s="64" t="s">
        <v>4024</v>
      </c>
      <c r="E1023" s="336">
        <v>4</v>
      </c>
      <c r="F1023" s="336" t="s">
        <v>1434</v>
      </c>
      <c r="G1023" s="349">
        <v>45266</v>
      </c>
      <c r="H1023" s="65" t="s">
        <v>1083</v>
      </c>
      <c r="I1023" s="349" t="s">
        <v>1216</v>
      </c>
      <c r="J1023" s="336">
        <f>IFERROR(VLOOKUP(I1023,Jueces!$A$1:$B$11,2,FALSE),"")</f>
        <v>1</v>
      </c>
      <c r="K1023" s="63" t="s">
        <v>798</v>
      </c>
      <c r="L1023" s="63" t="s">
        <v>1956</v>
      </c>
    </row>
    <row r="1024" spans="1:12" ht="30" customHeight="1">
      <c r="A1024" s="172" t="str">
        <f t="shared" si="30"/>
        <v>06/12/20239</v>
      </c>
      <c r="B1024" s="166">
        <f t="shared" si="31"/>
        <v>9</v>
      </c>
      <c r="C1024" s="63" t="s">
        <v>3976</v>
      </c>
      <c r="D1024" s="355" t="s">
        <v>3580</v>
      </c>
      <c r="E1024" s="336">
        <v>3</v>
      </c>
      <c r="F1024" s="336" t="s">
        <v>1433</v>
      </c>
      <c r="G1024" s="349">
        <v>45266</v>
      </c>
      <c r="H1024" s="65" t="s">
        <v>1083</v>
      </c>
      <c r="I1024" s="349" t="s">
        <v>78</v>
      </c>
      <c r="J1024" s="336">
        <f>IFERROR(VLOOKUP(I1024,Jueces!$A$1:$B$11,2,FALSE),"")</f>
        <v>8</v>
      </c>
      <c r="K1024" s="63" t="s">
        <v>810</v>
      </c>
      <c r="L1024" s="63" t="s">
        <v>694</v>
      </c>
    </row>
    <row r="1025" spans="1:12" ht="30" customHeight="1">
      <c r="A1025" s="172" t="str">
        <f t="shared" si="30"/>
        <v>06/12/202310</v>
      </c>
      <c r="B1025" s="166">
        <f t="shared" si="31"/>
        <v>10</v>
      </c>
      <c r="C1025" s="336" t="s">
        <v>3844</v>
      </c>
      <c r="D1025" s="355" t="s">
        <v>3845</v>
      </c>
      <c r="E1025" s="336">
        <v>3</v>
      </c>
      <c r="F1025" s="336" t="s">
        <v>29</v>
      </c>
      <c r="G1025" s="383">
        <v>45266</v>
      </c>
      <c r="H1025" s="65" t="s">
        <v>1083</v>
      </c>
      <c r="I1025" s="65" t="s">
        <v>1217</v>
      </c>
      <c r="J1025" s="336">
        <f>IFERROR(VLOOKUP(I1025,Jueces!$A$1:$B$11,2,FALSE),"")</f>
        <v>7</v>
      </c>
      <c r="K1025" s="63" t="s">
        <v>795</v>
      </c>
      <c r="L1025" s="63" t="s">
        <v>694</v>
      </c>
    </row>
    <row r="1026" spans="1:12" ht="30" customHeight="1">
      <c r="A1026" s="172" t="str">
        <f t="shared" si="30"/>
        <v>07/12/20231</v>
      </c>
      <c r="B1026" s="166">
        <f t="shared" si="31"/>
        <v>1</v>
      </c>
      <c r="C1026" s="63" t="s">
        <v>4081</v>
      </c>
      <c r="D1026" s="64" t="s">
        <v>4082</v>
      </c>
      <c r="E1026" s="336">
        <v>4</v>
      </c>
      <c r="F1026" s="336" t="s">
        <v>1433</v>
      </c>
      <c r="G1026" s="349">
        <v>45267</v>
      </c>
      <c r="H1026" s="65" t="s">
        <v>73</v>
      </c>
      <c r="I1026" s="349" t="s">
        <v>2925</v>
      </c>
      <c r="J1026" s="63" t="s">
        <v>1916</v>
      </c>
      <c r="K1026" s="63" t="s">
        <v>800</v>
      </c>
      <c r="L1026" s="63" t="s">
        <v>1956</v>
      </c>
    </row>
    <row r="1027" spans="1:12" ht="30" customHeight="1">
      <c r="A1027" s="172" t="str">
        <f t="shared" ref="A1027:A1090" si="32">CONCATENATE(TEXT($G1027,"dd/mm/yyyy"),$B1027)</f>
        <v>07/12/20232</v>
      </c>
      <c r="B1027" s="166">
        <f t="shared" si="31"/>
        <v>2</v>
      </c>
      <c r="C1027" s="63" t="s">
        <v>4095</v>
      </c>
      <c r="D1027" s="64" t="s">
        <v>4096</v>
      </c>
      <c r="E1027" s="336">
        <v>2</v>
      </c>
      <c r="F1027" s="336" t="s">
        <v>2766</v>
      </c>
      <c r="G1027" s="349">
        <v>45267</v>
      </c>
      <c r="H1027" s="65" t="s">
        <v>73</v>
      </c>
      <c r="I1027" s="349" t="s">
        <v>1217</v>
      </c>
      <c r="J1027" s="336">
        <f>IFERROR(VLOOKUP(I1027,Jueces!$A$1:$B$11,2,FALSE),"")</f>
        <v>7</v>
      </c>
      <c r="K1027" s="63" t="s">
        <v>808</v>
      </c>
      <c r="L1027" s="7" t="s">
        <v>3755</v>
      </c>
    </row>
    <row r="1028" spans="1:12" ht="30" customHeight="1">
      <c r="A1028" s="172" t="str">
        <f t="shared" si="32"/>
        <v>07/12/20233</v>
      </c>
      <c r="B1028" s="166">
        <f t="shared" ref="B1028:B1091" si="33">IF($G1028=$G1027,$B1027+1,1)</f>
        <v>3</v>
      </c>
      <c r="C1028" s="63" t="s">
        <v>4138</v>
      </c>
      <c r="D1028" s="64" t="s">
        <v>4501</v>
      </c>
      <c r="E1028" s="336">
        <v>3</v>
      </c>
      <c r="F1028" s="336" t="s">
        <v>283</v>
      </c>
      <c r="G1028" s="349">
        <v>45267</v>
      </c>
      <c r="H1028" s="65" t="s">
        <v>73</v>
      </c>
      <c r="I1028" s="349" t="s">
        <v>2922</v>
      </c>
      <c r="J1028" s="336" t="s">
        <v>1512</v>
      </c>
      <c r="K1028" s="63" t="s">
        <v>790</v>
      </c>
      <c r="L1028" s="396" t="s">
        <v>2247</v>
      </c>
    </row>
    <row r="1029" spans="1:12" ht="30" customHeight="1">
      <c r="A1029" s="172" t="str">
        <f t="shared" si="32"/>
        <v>07/12/20234</v>
      </c>
      <c r="B1029" s="166">
        <f t="shared" si="33"/>
        <v>4</v>
      </c>
      <c r="C1029" s="336" t="s">
        <v>3856</v>
      </c>
      <c r="D1029" s="355" t="s">
        <v>3885</v>
      </c>
      <c r="E1029" s="336">
        <v>3</v>
      </c>
      <c r="F1029" s="336" t="s">
        <v>3323</v>
      </c>
      <c r="G1029" s="349">
        <v>45267</v>
      </c>
      <c r="H1029" s="65" t="s">
        <v>73</v>
      </c>
      <c r="I1029" s="349" t="s">
        <v>35</v>
      </c>
      <c r="J1029" s="336">
        <f>IFERROR(VLOOKUP(I1029,Jueces!$A$1:$B$11,2,FALSE),"")</f>
        <v>3</v>
      </c>
      <c r="K1029" s="63" t="s">
        <v>795</v>
      </c>
      <c r="L1029" s="63" t="s">
        <v>695</v>
      </c>
    </row>
    <row r="1030" spans="1:12" ht="30" customHeight="1">
      <c r="A1030" s="172" t="str">
        <f t="shared" si="32"/>
        <v>07/12/20235</v>
      </c>
      <c r="B1030" s="166">
        <f t="shared" si="33"/>
        <v>5</v>
      </c>
      <c r="C1030" s="63" t="s">
        <v>4100</v>
      </c>
      <c r="D1030" s="64" t="s">
        <v>4101</v>
      </c>
      <c r="E1030" s="336">
        <v>4</v>
      </c>
      <c r="F1030" s="336" t="s">
        <v>3324</v>
      </c>
      <c r="G1030" s="349">
        <v>45267</v>
      </c>
      <c r="H1030" s="65" t="s">
        <v>1083</v>
      </c>
      <c r="I1030" s="349" t="s">
        <v>78</v>
      </c>
      <c r="J1030" s="336">
        <f>IFERROR(VLOOKUP(I1030,Jueces!$A$1:$B$11,2,FALSE),"")</f>
        <v>8</v>
      </c>
      <c r="K1030" s="63" t="s">
        <v>789</v>
      </c>
      <c r="L1030" s="63" t="s">
        <v>1956</v>
      </c>
    </row>
    <row r="1031" spans="1:12" ht="30" customHeight="1">
      <c r="A1031" s="172" t="str">
        <f t="shared" si="32"/>
        <v>07/12/20236</v>
      </c>
      <c r="B1031" s="166">
        <f t="shared" si="33"/>
        <v>6</v>
      </c>
      <c r="C1031" s="63" t="s">
        <v>3808</v>
      </c>
      <c r="D1031" s="355" t="s">
        <v>3921</v>
      </c>
      <c r="E1031" s="336">
        <v>4</v>
      </c>
      <c r="F1031" s="336" t="s">
        <v>2815</v>
      </c>
      <c r="G1031" s="349">
        <v>45267</v>
      </c>
      <c r="H1031" s="65" t="s">
        <v>1083</v>
      </c>
      <c r="I1031" s="349" t="s">
        <v>1216</v>
      </c>
      <c r="J1031" s="336">
        <f>IFERROR(VLOOKUP(I1031,Jueces!$A$1:$B$11,2,FALSE),"")</f>
        <v>1</v>
      </c>
      <c r="K1031" s="63" t="s">
        <v>809</v>
      </c>
      <c r="L1031" s="63" t="s">
        <v>3755</v>
      </c>
    </row>
    <row r="1032" spans="1:12" ht="30" customHeight="1">
      <c r="A1032" s="172" t="str">
        <f t="shared" si="32"/>
        <v>07/12/20237</v>
      </c>
      <c r="B1032" s="166">
        <f t="shared" si="33"/>
        <v>7</v>
      </c>
      <c r="C1032" s="63" t="s">
        <v>4289</v>
      </c>
      <c r="D1032" s="64" t="s">
        <v>4290</v>
      </c>
      <c r="E1032" s="336">
        <v>4</v>
      </c>
      <c r="F1032" s="336" t="s">
        <v>3791</v>
      </c>
      <c r="G1032" s="349">
        <v>45267</v>
      </c>
      <c r="H1032" s="349" t="s">
        <v>1083</v>
      </c>
      <c r="I1032" s="349" t="s">
        <v>1723</v>
      </c>
      <c r="J1032" s="336" t="s">
        <v>1321</v>
      </c>
      <c r="K1032" s="63" t="s">
        <v>808</v>
      </c>
      <c r="L1032" s="335" t="s">
        <v>3394</v>
      </c>
    </row>
    <row r="1033" spans="1:12" ht="30" customHeight="1">
      <c r="A1033" s="172" t="str">
        <f t="shared" si="32"/>
        <v>07/12/20238</v>
      </c>
      <c r="B1033" s="166">
        <f t="shared" si="33"/>
        <v>8</v>
      </c>
      <c r="C1033" s="336" t="s">
        <v>2492</v>
      </c>
      <c r="D1033" s="355" t="s">
        <v>4421</v>
      </c>
      <c r="E1033" s="336">
        <v>7</v>
      </c>
      <c r="F1033" s="336" t="s">
        <v>43</v>
      </c>
      <c r="G1033" s="383">
        <v>45267</v>
      </c>
      <c r="H1033" s="349" t="s">
        <v>1083</v>
      </c>
      <c r="I1033" s="349" t="s">
        <v>1217</v>
      </c>
      <c r="J1033" s="336">
        <f>IFERROR(VLOOKUP(I1033,Jueces!$A$1:$B$11,2,FALSE),"")</f>
        <v>7</v>
      </c>
      <c r="K1033" s="63" t="s">
        <v>810</v>
      </c>
      <c r="L1033" s="63" t="s">
        <v>723</v>
      </c>
    </row>
    <row r="1034" spans="1:12" ht="30" customHeight="1">
      <c r="A1034" s="172" t="str">
        <f t="shared" si="32"/>
        <v>07/12/20239</v>
      </c>
      <c r="B1034" s="166">
        <f t="shared" si="33"/>
        <v>9</v>
      </c>
      <c r="C1034" s="63" t="s">
        <v>4102</v>
      </c>
      <c r="D1034" s="64" t="s">
        <v>4103</v>
      </c>
      <c r="E1034" s="336">
        <v>4</v>
      </c>
      <c r="F1034" s="336" t="s">
        <v>2752</v>
      </c>
      <c r="G1034" s="349">
        <v>45267</v>
      </c>
      <c r="H1034" s="65" t="s">
        <v>1206</v>
      </c>
      <c r="I1034" s="349" t="s">
        <v>1216</v>
      </c>
      <c r="J1034" s="63" t="s">
        <v>1321</v>
      </c>
      <c r="K1034" s="63" t="s">
        <v>1693</v>
      </c>
      <c r="L1034" s="63" t="s">
        <v>3755</v>
      </c>
    </row>
    <row r="1035" spans="1:12" ht="30" customHeight="1">
      <c r="A1035" s="172" t="str">
        <f t="shared" si="32"/>
        <v>07/12/202310</v>
      </c>
      <c r="B1035" s="166">
        <f t="shared" si="33"/>
        <v>10</v>
      </c>
      <c r="C1035" s="63" t="s">
        <v>4340</v>
      </c>
      <c r="D1035" s="64" t="s">
        <v>4341</v>
      </c>
      <c r="E1035" s="336">
        <v>4</v>
      </c>
      <c r="F1035" s="336" t="s">
        <v>1434</v>
      </c>
      <c r="G1035" s="349">
        <v>45267</v>
      </c>
      <c r="H1035" s="65" t="s">
        <v>1206</v>
      </c>
      <c r="I1035" s="349" t="s">
        <v>31</v>
      </c>
      <c r="J1035" s="336">
        <f>IFERROR(VLOOKUP(I1035,Jueces!$A$1:$B$11,2,FALSE),"")</f>
        <v>2</v>
      </c>
      <c r="K1035" s="63" t="s">
        <v>789</v>
      </c>
      <c r="L1035" s="356" t="s">
        <v>2736</v>
      </c>
    </row>
    <row r="1036" spans="1:12" ht="30" customHeight="1">
      <c r="A1036" s="172" t="str">
        <f t="shared" si="32"/>
        <v>07/12/202311</v>
      </c>
      <c r="B1036" s="166">
        <f t="shared" si="33"/>
        <v>11</v>
      </c>
      <c r="C1036" s="63" t="s">
        <v>4111</v>
      </c>
      <c r="D1036" s="64" t="s">
        <v>4112</v>
      </c>
      <c r="E1036" s="336">
        <v>4</v>
      </c>
      <c r="F1036" s="336" t="s">
        <v>29</v>
      </c>
      <c r="G1036" s="349">
        <v>45267</v>
      </c>
      <c r="H1036" s="65" t="s">
        <v>3171</v>
      </c>
      <c r="I1036" s="349" t="s">
        <v>31</v>
      </c>
      <c r="J1036" s="336">
        <v>2</v>
      </c>
      <c r="K1036" s="63" t="s">
        <v>807</v>
      </c>
      <c r="L1036" s="63" t="s">
        <v>1956</v>
      </c>
    </row>
    <row r="1037" spans="1:12" ht="30" customHeight="1">
      <c r="A1037" s="172" t="str">
        <f t="shared" si="32"/>
        <v>07/12/202312</v>
      </c>
      <c r="B1037" s="166">
        <f t="shared" si="33"/>
        <v>12</v>
      </c>
      <c r="C1037" s="328" t="s">
        <v>3891</v>
      </c>
      <c r="D1037" s="40" t="s">
        <v>4451</v>
      </c>
      <c r="E1037" s="328">
        <v>3</v>
      </c>
      <c r="F1037" s="328" t="s">
        <v>1435</v>
      </c>
      <c r="G1037" s="376">
        <v>45267</v>
      </c>
      <c r="H1037" s="19" t="s">
        <v>3171</v>
      </c>
      <c r="I1037" s="376" t="s">
        <v>33</v>
      </c>
      <c r="J1037" s="328">
        <f>IFERROR(VLOOKUP(I1037,Jueces!$A$1:$B$11,2,FALSE),"")</f>
        <v>4</v>
      </c>
      <c r="K1037" s="7" t="s">
        <v>791</v>
      </c>
      <c r="L1037" s="7" t="s">
        <v>3755</v>
      </c>
    </row>
    <row r="1038" spans="1:12" ht="30" customHeight="1">
      <c r="A1038" s="172" t="str">
        <f t="shared" si="32"/>
        <v>11/12/20231</v>
      </c>
      <c r="B1038" s="166">
        <f t="shared" si="33"/>
        <v>1</v>
      </c>
      <c r="C1038" s="7" t="s">
        <v>4146</v>
      </c>
      <c r="D1038" s="40" t="s">
        <v>4115</v>
      </c>
      <c r="E1038" s="328">
        <v>3</v>
      </c>
      <c r="F1038" s="328" t="s">
        <v>3324</v>
      </c>
      <c r="G1038" s="376">
        <v>45271</v>
      </c>
      <c r="H1038" s="19" t="s">
        <v>73</v>
      </c>
      <c r="I1038" s="376" t="s">
        <v>78</v>
      </c>
      <c r="J1038" s="328">
        <f>IFERROR(VLOOKUP(I1038,Jueces!$A$1:$B$11,2,FALSE),"")</f>
        <v>8</v>
      </c>
      <c r="K1038" s="7" t="s">
        <v>688</v>
      </c>
      <c r="L1038" s="373" t="s">
        <v>700</v>
      </c>
    </row>
    <row r="1039" spans="1:12" ht="30" customHeight="1">
      <c r="A1039" s="172" t="str">
        <f t="shared" si="32"/>
        <v>11/12/20232</v>
      </c>
      <c r="B1039" s="166">
        <f t="shared" si="33"/>
        <v>2</v>
      </c>
      <c r="C1039" s="107" t="s">
        <v>4144</v>
      </c>
      <c r="D1039" s="108" t="s">
        <v>4145</v>
      </c>
      <c r="E1039" s="384">
        <v>4</v>
      </c>
      <c r="F1039" s="384" t="s">
        <v>283</v>
      </c>
      <c r="G1039" s="385">
        <v>45271</v>
      </c>
      <c r="H1039" s="253" t="s">
        <v>73</v>
      </c>
      <c r="I1039" s="385" t="s">
        <v>35</v>
      </c>
      <c r="J1039" s="384">
        <v>3</v>
      </c>
      <c r="K1039" s="107" t="s">
        <v>801</v>
      </c>
      <c r="L1039" s="107" t="s">
        <v>1866</v>
      </c>
    </row>
    <row r="1040" spans="1:12" ht="30" customHeight="1">
      <c r="A1040" s="172" t="str">
        <f t="shared" si="32"/>
        <v>11/12/20233</v>
      </c>
      <c r="B1040" s="166">
        <f t="shared" si="33"/>
        <v>3</v>
      </c>
      <c r="C1040" s="63" t="s">
        <v>4258</v>
      </c>
      <c r="D1040" s="64" t="s">
        <v>4462</v>
      </c>
      <c r="E1040" s="336">
        <v>4</v>
      </c>
      <c r="F1040" s="336" t="s">
        <v>3791</v>
      </c>
      <c r="G1040" s="349">
        <v>45271</v>
      </c>
      <c r="H1040" s="65" t="s">
        <v>73</v>
      </c>
      <c r="I1040" s="349" t="s">
        <v>31</v>
      </c>
      <c r="J1040" s="336">
        <f>IFERROR(VLOOKUP(I1040,Jueces!$A$1:$B$11,2,FALSE),"")</f>
        <v>2</v>
      </c>
      <c r="K1040" s="63" t="s">
        <v>792</v>
      </c>
      <c r="L1040" s="63" t="s">
        <v>1956</v>
      </c>
    </row>
    <row r="1041" spans="1:12" ht="30" customHeight="1">
      <c r="A1041" s="172" t="str">
        <f t="shared" si="32"/>
        <v>11/12/20234</v>
      </c>
      <c r="B1041" s="166">
        <f t="shared" si="33"/>
        <v>4</v>
      </c>
      <c r="C1041" s="325" t="s">
        <v>2901</v>
      </c>
      <c r="D1041" s="355" t="s">
        <v>4377</v>
      </c>
      <c r="E1041" s="336">
        <v>1</v>
      </c>
      <c r="F1041" s="336" t="s">
        <v>43</v>
      </c>
      <c r="G1041" s="349">
        <v>45271</v>
      </c>
      <c r="H1041" s="65" t="s">
        <v>73</v>
      </c>
      <c r="I1041" s="349" t="s">
        <v>1216</v>
      </c>
      <c r="J1041" s="336">
        <f>IFERROR(VLOOKUP(I1041,Jueces!$A$1:$B$11,2,FALSE),"")</f>
        <v>1</v>
      </c>
      <c r="K1041" s="63" t="s">
        <v>582</v>
      </c>
      <c r="L1041" s="7" t="s">
        <v>711</v>
      </c>
    </row>
    <row r="1042" spans="1:12" ht="30" customHeight="1">
      <c r="A1042" s="172" t="str">
        <f t="shared" si="32"/>
        <v>11/12/20235</v>
      </c>
      <c r="B1042" s="166">
        <f t="shared" si="33"/>
        <v>5</v>
      </c>
      <c r="C1042" s="63" t="s">
        <v>4122</v>
      </c>
      <c r="D1042" s="64" t="s">
        <v>4123</v>
      </c>
      <c r="E1042" s="336">
        <v>3</v>
      </c>
      <c r="F1042" s="336" t="s">
        <v>1433</v>
      </c>
      <c r="G1042" s="349">
        <v>45271</v>
      </c>
      <c r="H1042" s="65" t="s">
        <v>1083</v>
      </c>
      <c r="I1042" s="349" t="s">
        <v>1723</v>
      </c>
      <c r="J1042" s="63" t="s">
        <v>1916</v>
      </c>
      <c r="K1042" s="63" t="s">
        <v>789</v>
      </c>
      <c r="L1042" s="63" t="s">
        <v>3755</v>
      </c>
    </row>
    <row r="1043" spans="1:12" ht="30" customHeight="1">
      <c r="A1043" s="172" t="str">
        <f t="shared" si="32"/>
        <v>11/12/20236</v>
      </c>
      <c r="B1043" s="166">
        <f t="shared" si="33"/>
        <v>6</v>
      </c>
      <c r="C1043" s="63" t="s">
        <v>4320</v>
      </c>
      <c r="D1043" s="64" t="s">
        <v>4416</v>
      </c>
      <c r="E1043" s="336">
        <v>4</v>
      </c>
      <c r="F1043" s="336" t="s">
        <v>2752</v>
      </c>
      <c r="G1043" s="349">
        <v>45271</v>
      </c>
      <c r="H1043" s="65" t="s">
        <v>1083</v>
      </c>
      <c r="I1043" s="349" t="s">
        <v>78</v>
      </c>
      <c r="J1043" s="336">
        <f>IFERROR(VLOOKUP(I1043,Jueces!$A$1:$B$11,2,FALSE),"")</f>
        <v>8</v>
      </c>
      <c r="K1043" s="63" t="s">
        <v>805</v>
      </c>
      <c r="L1043" s="7" t="s">
        <v>2107</v>
      </c>
    </row>
    <row r="1044" spans="1:12" ht="30" customHeight="1">
      <c r="A1044" s="172" t="str">
        <f t="shared" si="32"/>
        <v>11/12/20237</v>
      </c>
      <c r="B1044" s="166">
        <f t="shared" si="33"/>
        <v>7</v>
      </c>
      <c r="C1044" s="63" t="s">
        <v>4195</v>
      </c>
      <c r="D1044" s="64" t="s">
        <v>4196</v>
      </c>
      <c r="E1044" s="336">
        <v>5</v>
      </c>
      <c r="F1044" s="336" t="s">
        <v>1434</v>
      </c>
      <c r="G1044" s="349">
        <v>45271</v>
      </c>
      <c r="H1044" s="65" t="s">
        <v>76</v>
      </c>
      <c r="I1044" s="349" t="s">
        <v>2925</v>
      </c>
      <c r="J1044" s="63" t="s">
        <v>1321</v>
      </c>
      <c r="K1044" s="63" t="s">
        <v>810</v>
      </c>
      <c r="L1044" s="63" t="s">
        <v>1956</v>
      </c>
    </row>
    <row r="1045" spans="1:12" ht="30" customHeight="1">
      <c r="A1045" s="172" t="str">
        <f t="shared" si="32"/>
        <v>11/12/20238</v>
      </c>
      <c r="B1045" s="166">
        <f t="shared" si="33"/>
        <v>8</v>
      </c>
      <c r="C1045" s="63" t="s">
        <v>4093</v>
      </c>
      <c r="D1045" s="64" t="s">
        <v>4094</v>
      </c>
      <c r="E1045" s="336">
        <v>4</v>
      </c>
      <c r="F1045" s="336" t="s">
        <v>2766</v>
      </c>
      <c r="G1045" s="349">
        <v>45271</v>
      </c>
      <c r="H1045" s="65" t="s">
        <v>1442</v>
      </c>
      <c r="I1045" s="349" t="s">
        <v>33</v>
      </c>
      <c r="J1045" s="336">
        <f>IFERROR(VLOOKUP(I1045,Jueces!$A$1:$B$11,2,FALSE),"")</f>
        <v>4</v>
      </c>
      <c r="K1045" s="63" t="s">
        <v>811</v>
      </c>
      <c r="L1045" s="63" t="s">
        <v>1956</v>
      </c>
    </row>
    <row r="1046" spans="1:12" ht="30" customHeight="1">
      <c r="A1046" s="172" t="str">
        <f t="shared" si="32"/>
        <v>11/12/20239</v>
      </c>
      <c r="B1046" s="166">
        <f t="shared" si="33"/>
        <v>9</v>
      </c>
      <c r="C1046" s="336" t="s">
        <v>3954</v>
      </c>
      <c r="D1046" s="355" t="s">
        <v>3973</v>
      </c>
      <c r="E1046" s="336">
        <v>3</v>
      </c>
      <c r="F1046" s="63" t="s">
        <v>2766</v>
      </c>
      <c r="G1046" s="383">
        <v>45271</v>
      </c>
      <c r="H1046" s="65" t="s">
        <v>77</v>
      </c>
      <c r="I1046" s="65" t="s">
        <v>1216</v>
      </c>
      <c r="J1046" s="336">
        <v>3</v>
      </c>
      <c r="K1046" s="63" t="s">
        <v>811</v>
      </c>
      <c r="L1046" s="7" t="s">
        <v>695</v>
      </c>
    </row>
    <row r="1047" spans="1:12" ht="30" customHeight="1">
      <c r="A1047" s="172" t="str">
        <f t="shared" si="32"/>
        <v>11/12/202310</v>
      </c>
      <c r="B1047" s="166">
        <f t="shared" si="33"/>
        <v>10</v>
      </c>
      <c r="C1047" s="63" t="s">
        <v>4369</v>
      </c>
      <c r="D1047" s="64" t="s">
        <v>4370</v>
      </c>
      <c r="E1047" s="336">
        <v>5</v>
      </c>
      <c r="F1047" s="336" t="s">
        <v>1435</v>
      </c>
      <c r="G1047" s="349">
        <v>45271</v>
      </c>
      <c r="H1047" s="65" t="s">
        <v>987</v>
      </c>
      <c r="I1047" s="349" t="s">
        <v>33</v>
      </c>
      <c r="J1047" s="336">
        <f>IFERROR(VLOOKUP(I1047,Jueces!$A$1:$B$11,2,FALSE),"")</f>
        <v>4</v>
      </c>
      <c r="K1047" s="63" t="s">
        <v>797</v>
      </c>
      <c r="L1047" s="335" t="s">
        <v>2860</v>
      </c>
    </row>
    <row r="1048" spans="1:12" ht="30" customHeight="1">
      <c r="A1048" s="172" t="str">
        <f t="shared" si="32"/>
        <v>11/12/202311</v>
      </c>
      <c r="B1048" s="166">
        <f t="shared" si="33"/>
        <v>11</v>
      </c>
      <c r="C1048" s="63" t="s">
        <v>4339</v>
      </c>
      <c r="D1048" s="64" t="s">
        <v>4334</v>
      </c>
      <c r="E1048" s="336">
        <v>5</v>
      </c>
      <c r="F1048" s="336" t="s">
        <v>29</v>
      </c>
      <c r="G1048" s="349">
        <v>45271</v>
      </c>
      <c r="H1048" s="65" t="s">
        <v>228</v>
      </c>
      <c r="I1048" s="349" t="s">
        <v>1216</v>
      </c>
      <c r="J1048" s="336">
        <v>3</v>
      </c>
      <c r="K1048" s="63" t="s">
        <v>789</v>
      </c>
      <c r="L1048" s="63" t="s">
        <v>2107</v>
      </c>
    </row>
    <row r="1049" spans="1:12" ht="30" customHeight="1">
      <c r="A1049" s="172" t="str">
        <f t="shared" si="32"/>
        <v>12/12/20231</v>
      </c>
      <c r="B1049" s="166">
        <f t="shared" si="33"/>
        <v>1</v>
      </c>
      <c r="C1049" s="63" t="s">
        <v>4106</v>
      </c>
      <c r="D1049" s="64" t="s">
        <v>4407</v>
      </c>
      <c r="E1049" s="336">
        <v>4</v>
      </c>
      <c r="F1049" s="336" t="s">
        <v>3324</v>
      </c>
      <c r="G1049" s="349">
        <v>45272</v>
      </c>
      <c r="H1049" s="65" t="s">
        <v>73</v>
      </c>
      <c r="I1049" s="349" t="s">
        <v>78</v>
      </c>
      <c r="J1049" s="336">
        <f>IFERROR(VLOOKUP(I1049,Jueces!$A$1:$B$11,2,FALSE),"")</f>
        <v>8</v>
      </c>
      <c r="K1049" s="63" t="s">
        <v>806</v>
      </c>
      <c r="L1049" s="335" t="s">
        <v>4186</v>
      </c>
    </row>
    <row r="1050" spans="1:12" ht="30" customHeight="1">
      <c r="A1050" s="172" t="str">
        <f t="shared" si="32"/>
        <v>12/12/20232</v>
      </c>
      <c r="B1050" s="166">
        <f t="shared" si="33"/>
        <v>2</v>
      </c>
      <c r="C1050" s="325" t="s">
        <v>4119</v>
      </c>
      <c r="D1050" s="64" t="s">
        <v>4120</v>
      </c>
      <c r="E1050" s="336">
        <v>3</v>
      </c>
      <c r="F1050" s="336" t="s">
        <v>3639</v>
      </c>
      <c r="G1050" s="349">
        <v>45272</v>
      </c>
      <c r="H1050" s="65" t="s">
        <v>73</v>
      </c>
      <c r="I1050" s="349" t="s">
        <v>2922</v>
      </c>
      <c r="J1050" s="63" t="s">
        <v>1916</v>
      </c>
      <c r="K1050" s="63" t="s">
        <v>797</v>
      </c>
      <c r="L1050" s="63" t="s">
        <v>692</v>
      </c>
    </row>
    <row r="1051" spans="1:12" ht="30" customHeight="1">
      <c r="A1051" s="172" t="str">
        <f t="shared" si="32"/>
        <v>12/12/20233</v>
      </c>
      <c r="B1051" s="166">
        <f t="shared" si="33"/>
        <v>3</v>
      </c>
      <c r="C1051" s="63" t="s">
        <v>4132</v>
      </c>
      <c r="D1051" s="64" t="s">
        <v>4133</v>
      </c>
      <c r="E1051" s="336">
        <v>7</v>
      </c>
      <c r="F1051" s="336" t="s">
        <v>568</v>
      </c>
      <c r="G1051" s="349">
        <v>45272</v>
      </c>
      <c r="H1051" s="65" t="s">
        <v>73</v>
      </c>
      <c r="I1051" s="349" t="s">
        <v>1217</v>
      </c>
      <c r="J1051" s="336">
        <f>IFERROR(VLOOKUP(I1051,Jueces!$A$1:$B$11,2,FALSE),"")</f>
        <v>7</v>
      </c>
      <c r="K1051" s="63" t="s">
        <v>569</v>
      </c>
      <c r="L1051" s="63" t="s">
        <v>783</v>
      </c>
    </row>
    <row r="1052" spans="1:12" ht="30" customHeight="1">
      <c r="A1052" s="172" t="str">
        <f t="shared" si="32"/>
        <v>12/12/20234</v>
      </c>
      <c r="B1052" s="166">
        <f t="shared" si="33"/>
        <v>4</v>
      </c>
      <c r="C1052" s="336" t="s">
        <v>3490</v>
      </c>
      <c r="D1052" s="355" t="s">
        <v>3427</v>
      </c>
      <c r="E1052" s="336">
        <v>2</v>
      </c>
      <c r="F1052" s="336" t="s">
        <v>1434</v>
      </c>
      <c r="G1052" s="349">
        <v>45272</v>
      </c>
      <c r="H1052" s="65" t="s">
        <v>73</v>
      </c>
      <c r="I1052" s="349" t="s">
        <v>31</v>
      </c>
      <c r="J1052" s="336">
        <f>IFERROR(VLOOKUP(I1052,Jueces!$A$1:$B$11,2,FALSE),"")</f>
        <v>2</v>
      </c>
      <c r="K1052" s="63" t="s">
        <v>2077</v>
      </c>
      <c r="L1052" s="335" t="s">
        <v>2755</v>
      </c>
    </row>
    <row r="1053" spans="1:12" ht="30" customHeight="1">
      <c r="A1053" s="172" t="str">
        <f t="shared" si="32"/>
        <v>12/12/20235</v>
      </c>
      <c r="B1053" s="166">
        <f t="shared" si="33"/>
        <v>5</v>
      </c>
      <c r="C1053" s="325" t="s">
        <v>3371</v>
      </c>
      <c r="D1053" s="64" t="s">
        <v>3372</v>
      </c>
      <c r="E1053" s="63">
        <v>1</v>
      </c>
      <c r="F1053" s="63" t="s">
        <v>2753</v>
      </c>
      <c r="G1053" s="65">
        <v>45272</v>
      </c>
      <c r="H1053" s="65" t="s">
        <v>1083</v>
      </c>
      <c r="I1053" s="65" t="s">
        <v>78</v>
      </c>
      <c r="J1053" s="63">
        <f>IFERROR(VLOOKUP(I1053,Jueces!$A$1:$B$11,2,FALSE),"")</f>
        <v>8</v>
      </c>
      <c r="K1053" s="63" t="s">
        <v>582</v>
      </c>
      <c r="L1053" s="63" t="s">
        <v>2043</v>
      </c>
    </row>
    <row r="1054" spans="1:12" ht="30" customHeight="1">
      <c r="A1054" s="172" t="str">
        <f t="shared" si="32"/>
        <v>12/12/20236</v>
      </c>
      <c r="B1054" s="166">
        <f t="shared" si="33"/>
        <v>6</v>
      </c>
      <c r="C1054" s="7" t="s">
        <v>4194</v>
      </c>
      <c r="D1054" s="40" t="s">
        <v>4543</v>
      </c>
      <c r="E1054" s="328">
        <v>4</v>
      </c>
      <c r="F1054" s="328" t="s">
        <v>3791</v>
      </c>
      <c r="G1054" s="376">
        <v>45272</v>
      </c>
      <c r="H1054" s="19" t="s">
        <v>1083</v>
      </c>
      <c r="I1054" s="376" t="s">
        <v>1217</v>
      </c>
      <c r="J1054" s="328">
        <f>IFERROR(VLOOKUP(I1054,Jueces!$A$1:$B$11,2,FALSE),"")</f>
        <v>7</v>
      </c>
      <c r="K1054" s="7" t="s">
        <v>806</v>
      </c>
      <c r="L1054" s="7" t="s">
        <v>1866</v>
      </c>
    </row>
    <row r="1055" spans="1:12" ht="30" customHeight="1">
      <c r="A1055" s="172" t="str">
        <f t="shared" si="32"/>
        <v>12/12/20237</v>
      </c>
      <c r="B1055" s="166">
        <f t="shared" si="33"/>
        <v>7</v>
      </c>
      <c r="C1055" s="63" t="s">
        <v>4208</v>
      </c>
      <c r="D1055" s="64" t="s">
        <v>4209</v>
      </c>
      <c r="E1055" s="336">
        <v>5</v>
      </c>
      <c r="F1055" s="336" t="s">
        <v>1433</v>
      </c>
      <c r="G1055" s="65">
        <v>45272</v>
      </c>
      <c r="H1055" s="65" t="s">
        <v>1083</v>
      </c>
      <c r="I1055" s="349" t="s">
        <v>2925</v>
      </c>
      <c r="J1055" s="63" t="s">
        <v>1916</v>
      </c>
      <c r="K1055" s="63" t="s">
        <v>810</v>
      </c>
      <c r="L1055" s="63" t="s">
        <v>1956</v>
      </c>
    </row>
    <row r="1056" spans="1:12" ht="30" customHeight="1">
      <c r="A1056" s="172" t="str">
        <f t="shared" si="32"/>
        <v>12/12/20238</v>
      </c>
      <c r="B1056" s="166">
        <f t="shared" si="33"/>
        <v>8</v>
      </c>
      <c r="C1056" s="63" t="s">
        <v>4287</v>
      </c>
      <c r="D1056" s="64" t="s">
        <v>4288</v>
      </c>
      <c r="E1056" s="336">
        <v>7</v>
      </c>
      <c r="F1056" s="336" t="s">
        <v>2752</v>
      </c>
      <c r="G1056" s="349">
        <v>45272</v>
      </c>
      <c r="H1056" s="65" t="s">
        <v>1083</v>
      </c>
      <c r="I1056" s="349" t="s">
        <v>1216</v>
      </c>
      <c r="J1056" s="63" t="s">
        <v>4502</v>
      </c>
      <c r="K1056" s="63" t="s">
        <v>569</v>
      </c>
      <c r="L1056" s="335" t="s">
        <v>1408</v>
      </c>
    </row>
    <row r="1057" spans="1:12" ht="30" customHeight="1">
      <c r="A1057" s="172" t="str">
        <f t="shared" si="32"/>
        <v>12/12/20239</v>
      </c>
      <c r="B1057" s="166">
        <f t="shared" si="33"/>
        <v>9</v>
      </c>
      <c r="C1057" s="63" t="s">
        <v>4307</v>
      </c>
      <c r="D1057" s="64" t="s">
        <v>4308</v>
      </c>
      <c r="E1057" s="336">
        <v>5</v>
      </c>
      <c r="F1057" s="336" t="s">
        <v>2815</v>
      </c>
      <c r="G1057" s="349">
        <v>45272</v>
      </c>
      <c r="H1057" s="65" t="s">
        <v>75</v>
      </c>
      <c r="I1057" s="349" t="s">
        <v>1216</v>
      </c>
      <c r="J1057" s="63" t="s">
        <v>1982</v>
      </c>
      <c r="K1057" s="63" t="s">
        <v>798</v>
      </c>
      <c r="L1057" s="63" t="s">
        <v>1956</v>
      </c>
    </row>
    <row r="1058" spans="1:12" ht="30" customHeight="1">
      <c r="A1058" s="172" t="str">
        <f t="shared" si="32"/>
        <v>12/12/202310</v>
      </c>
      <c r="B1058" s="166">
        <f t="shared" si="33"/>
        <v>10</v>
      </c>
      <c r="C1058" s="63" t="s">
        <v>4098</v>
      </c>
      <c r="D1058" s="64" t="s">
        <v>4422</v>
      </c>
      <c r="E1058" s="336">
        <v>4</v>
      </c>
      <c r="F1058" s="336" t="s">
        <v>29</v>
      </c>
      <c r="G1058" s="349">
        <v>45272</v>
      </c>
      <c r="H1058" s="65" t="s">
        <v>2011</v>
      </c>
      <c r="I1058" s="349" t="s">
        <v>33</v>
      </c>
      <c r="J1058" s="336">
        <f>IFERROR(VLOOKUP(I1058,Jueces!$A$1:$B$11,2,FALSE),"")</f>
        <v>4</v>
      </c>
      <c r="K1058" s="63" t="s">
        <v>802</v>
      </c>
      <c r="L1058" s="63" t="s">
        <v>4450</v>
      </c>
    </row>
    <row r="1059" spans="1:12" ht="30" customHeight="1">
      <c r="A1059" s="172" t="str">
        <f t="shared" si="32"/>
        <v>13/12/20231</v>
      </c>
      <c r="B1059" s="166">
        <f t="shared" si="33"/>
        <v>1</v>
      </c>
      <c r="C1059" s="63" t="s">
        <v>4198</v>
      </c>
      <c r="D1059" s="64" t="s">
        <v>4268</v>
      </c>
      <c r="E1059" s="336">
        <v>4</v>
      </c>
      <c r="F1059" s="336" t="s">
        <v>2752</v>
      </c>
      <c r="G1059" s="349">
        <v>45273</v>
      </c>
      <c r="H1059" s="65" t="s">
        <v>73</v>
      </c>
      <c r="I1059" s="349" t="s">
        <v>33</v>
      </c>
      <c r="J1059" s="336">
        <f>IFERROR(VLOOKUP(I1059,Jueces!$A$1:$B$11,2,FALSE),"")</f>
        <v>4</v>
      </c>
      <c r="K1059" s="63" t="s">
        <v>1693</v>
      </c>
      <c r="L1059" s="63" t="s">
        <v>4269</v>
      </c>
    </row>
    <row r="1060" spans="1:12" ht="30" customHeight="1">
      <c r="A1060" s="172" t="str">
        <f t="shared" si="32"/>
        <v>13/12/20232</v>
      </c>
      <c r="B1060" s="166">
        <f t="shared" si="33"/>
        <v>2</v>
      </c>
      <c r="C1060" s="63" t="s">
        <v>4142</v>
      </c>
      <c r="D1060" s="64" t="s">
        <v>4143</v>
      </c>
      <c r="E1060" s="336">
        <v>4</v>
      </c>
      <c r="F1060" s="336" t="s">
        <v>283</v>
      </c>
      <c r="G1060" s="349">
        <v>45273</v>
      </c>
      <c r="H1060" s="65" t="s">
        <v>73</v>
      </c>
      <c r="I1060" s="349" t="s">
        <v>1723</v>
      </c>
      <c r="J1060" s="63" t="s">
        <v>1916</v>
      </c>
      <c r="K1060" s="63" t="s">
        <v>806</v>
      </c>
      <c r="L1060" s="63" t="s">
        <v>1866</v>
      </c>
    </row>
    <row r="1061" spans="1:12" ht="30" customHeight="1">
      <c r="A1061" s="172" t="str">
        <f t="shared" si="32"/>
        <v>13/12/20233</v>
      </c>
      <c r="B1061" s="166">
        <f t="shared" si="33"/>
        <v>3</v>
      </c>
      <c r="C1061" s="63" t="s">
        <v>4201</v>
      </c>
      <c r="D1061" s="64" t="s">
        <v>4214</v>
      </c>
      <c r="E1061" s="336">
        <v>4</v>
      </c>
      <c r="F1061" s="336" t="s">
        <v>568</v>
      </c>
      <c r="G1061" s="349">
        <v>45273</v>
      </c>
      <c r="H1061" s="65" t="s">
        <v>73</v>
      </c>
      <c r="I1061" s="349" t="s">
        <v>78</v>
      </c>
      <c r="J1061" s="336">
        <f>IFERROR(VLOOKUP(I1061,Jueces!$A$1:$B$11,2,FALSE),"")</f>
        <v>8</v>
      </c>
      <c r="K1061" s="63" t="s">
        <v>808</v>
      </c>
      <c r="L1061" s="63" t="s">
        <v>1956</v>
      </c>
    </row>
    <row r="1062" spans="1:12" ht="30" customHeight="1">
      <c r="A1062" s="172" t="str">
        <f t="shared" si="32"/>
        <v>13/12/20234</v>
      </c>
      <c r="B1062" s="166">
        <f t="shared" si="33"/>
        <v>4</v>
      </c>
      <c r="C1062" s="375" t="s">
        <v>3112</v>
      </c>
      <c r="D1062" s="355" t="s">
        <v>3175</v>
      </c>
      <c r="E1062" s="336">
        <v>1</v>
      </c>
      <c r="F1062" s="336" t="s">
        <v>2766</v>
      </c>
      <c r="G1062" s="349">
        <v>45273</v>
      </c>
      <c r="H1062" s="65" t="s">
        <v>73</v>
      </c>
      <c r="I1062" s="349" t="s">
        <v>1216</v>
      </c>
      <c r="J1062" s="336">
        <f>IFERROR(VLOOKUP(I1062,Jueces!$A$1:$B$11,2,FALSE),"")</f>
        <v>1</v>
      </c>
      <c r="K1062" s="63" t="s">
        <v>1176</v>
      </c>
      <c r="L1062" s="63" t="s">
        <v>1175</v>
      </c>
    </row>
    <row r="1063" spans="1:12" ht="30" customHeight="1">
      <c r="A1063" s="172" t="str">
        <f t="shared" si="32"/>
        <v>13/12/20235</v>
      </c>
      <c r="B1063" s="166">
        <f t="shared" si="33"/>
        <v>5</v>
      </c>
      <c r="C1063" s="63" t="s">
        <v>4210</v>
      </c>
      <c r="D1063" s="64" t="s">
        <v>4211</v>
      </c>
      <c r="E1063" s="336">
        <v>3</v>
      </c>
      <c r="F1063" s="336" t="s">
        <v>1435</v>
      </c>
      <c r="G1063" s="349">
        <v>45273</v>
      </c>
      <c r="H1063" s="65" t="s">
        <v>73</v>
      </c>
      <c r="I1063" s="349" t="s">
        <v>31</v>
      </c>
      <c r="J1063" s="336">
        <f>IFERROR(VLOOKUP(I1063,Jueces!$A$1:$B$11,2,FALSE),"")</f>
        <v>2</v>
      </c>
      <c r="K1063" s="63" t="s">
        <v>688</v>
      </c>
      <c r="L1063" s="389" t="s">
        <v>2067</v>
      </c>
    </row>
    <row r="1064" spans="1:12" ht="30" customHeight="1">
      <c r="A1064" s="172" t="str">
        <f t="shared" si="32"/>
        <v>13/12/20236</v>
      </c>
      <c r="B1064" s="166">
        <f t="shared" si="33"/>
        <v>6</v>
      </c>
      <c r="C1064" s="63" t="s">
        <v>4215</v>
      </c>
      <c r="D1064" s="64" t="s">
        <v>4216</v>
      </c>
      <c r="E1064" s="336">
        <v>4</v>
      </c>
      <c r="F1064" s="336" t="s">
        <v>1434</v>
      </c>
      <c r="G1064" s="349">
        <v>45273</v>
      </c>
      <c r="H1064" s="349" t="s">
        <v>73</v>
      </c>
      <c r="I1064" s="349" t="s">
        <v>2925</v>
      </c>
      <c r="J1064" s="336" t="s">
        <v>1321</v>
      </c>
      <c r="K1064" s="63" t="s">
        <v>569</v>
      </c>
      <c r="L1064" s="335" t="s">
        <v>4116</v>
      </c>
    </row>
    <row r="1065" spans="1:12" ht="30" customHeight="1">
      <c r="A1065" s="172" t="str">
        <f t="shared" si="32"/>
        <v>13/12/20237</v>
      </c>
      <c r="B1065" s="166">
        <f t="shared" si="33"/>
        <v>7</v>
      </c>
      <c r="C1065" s="63" t="s">
        <v>4260</v>
      </c>
      <c r="D1065" s="64" t="s">
        <v>4261</v>
      </c>
      <c r="E1065" s="336">
        <v>5</v>
      </c>
      <c r="F1065" s="336" t="s">
        <v>3323</v>
      </c>
      <c r="G1065" s="349">
        <v>45273</v>
      </c>
      <c r="H1065" s="65" t="s">
        <v>73</v>
      </c>
      <c r="I1065" s="349" t="s">
        <v>1217</v>
      </c>
      <c r="J1065" s="336">
        <f>IFERROR(VLOOKUP(I1065,Jueces!$A$1:$B$11,2,FALSE),"")</f>
        <v>7</v>
      </c>
      <c r="K1065" s="63" t="s">
        <v>790</v>
      </c>
      <c r="L1065" s="63" t="s">
        <v>2107</v>
      </c>
    </row>
    <row r="1066" spans="1:12" ht="30" customHeight="1">
      <c r="A1066" s="172" t="str">
        <f t="shared" si="32"/>
        <v>13/12/20238</v>
      </c>
      <c r="B1066" s="166">
        <f t="shared" si="33"/>
        <v>8</v>
      </c>
      <c r="C1066" s="63" t="s">
        <v>4104</v>
      </c>
      <c r="D1066" s="64" t="s">
        <v>4105</v>
      </c>
      <c r="E1066" s="336">
        <v>2</v>
      </c>
      <c r="F1066" s="336" t="s">
        <v>3324</v>
      </c>
      <c r="G1066" s="349">
        <v>45273</v>
      </c>
      <c r="H1066" s="65" t="s">
        <v>1083</v>
      </c>
      <c r="I1066" s="349" t="s">
        <v>78</v>
      </c>
      <c r="J1066" s="336">
        <f>IFERROR(VLOOKUP(I1066,Jueces!$A$1:$B$11,2,FALSE),"")</f>
        <v>8</v>
      </c>
      <c r="K1066" s="63" t="s">
        <v>810</v>
      </c>
      <c r="L1066" s="63" t="s">
        <v>1866</v>
      </c>
    </row>
    <row r="1067" spans="1:12" ht="30" customHeight="1">
      <c r="A1067" s="172" t="str">
        <f t="shared" si="32"/>
        <v>13/12/20239</v>
      </c>
      <c r="B1067" s="166">
        <f t="shared" si="33"/>
        <v>9</v>
      </c>
      <c r="C1067" s="63" t="s">
        <v>4312</v>
      </c>
      <c r="D1067" s="64" t="s">
        <v>4313</v>
      </c>
      <c r="E1067" s="336">
        <v>5</v>
      </c>
      <c r="F1067" s="336" t="s">
        <v>29</v>
      </c>
      <c r="G1067" s="349">
        <v>45273</v>
      </c>
      <c r="H1067" s="65" t="s">
        <v>1083</v>
      </c>
      <c r="I1067" s="349" t="s">
        <v>35</v>
      </c>
      <c r="J1067" s="336">
        <v>3</v>
      </c>
      <c r="K1067" s="63" t="s">
        <v>812</v>
      </c>
      <c r="L1067" s="63" t="s">
        <v>1956</v>
      </c>
    </row>
    <row r="1068" spans="1:12" ht="30" customHeight="1">
      <c r="A1068" s="172" t="str">
        <f t="shared" si="32"/>
        <v>13/12/202310</v>
      </c>
      <c r="B1068" s="166">
        <f t="shared" si="33"/>
        <v>10</v>
      </c>
      <c r="C1068" s="63" t="s">
        <v>4371</v>
      </c>
      <c r="D1068" s="64" t="s">
        <v>4372</v>
      </c>
      <c r="E1068" s="336">
        <v>5</v>
      </c>
      <c r="F1068" s="336" t="s">
        <v>3791</v>
      </c>
      <c r="G1068" s="349">
        <v>45273</v>
      </c>
      <c r="H1068" s="65" t="s">
        <v>1083</v>
      </c>
      <c r="I1068" s="349" t="s">
        <v>33</v>
      </c>
      <c r="J1068" s="336">
        <f>IFERROR(VLOOKUP(I1068,Jueces!$A$1:$B$11,2,FALSE),"")</f>
        <v>4</v>
      </c>
      <c r="K1068" s="63" t="s">
        <v>1825</v>
      </c>
      <c r="L1068" s="7" t="s">
        <v>2107</v>
      </c>
    </row>
    <row r="1069" spans="1:12" ht="30" customHeight="1">
      <c r="A1069" s="172" t="str">
        <f t="shared" si="32"/>
        <v>13/12/202311</v>
      </c>
      <c r="B1069" s="166">
        <f t="shared" si="33"/>
        <v>11</v>
      </c>
      <c r="C1069" s="63" t="s">
        <v>4191</v>
      </c>
      <c r="D1069" s="64" t="s">
        <v>4271</v>
      </c>
      <c r="E1069" s="336">
        <v>4</v>
      </c>
      <c r="F1069" s="336" t="s">
        <v>1433</v>
      </c>
      <c r="G1069" s="349">
        <v>45273</v>
      </c>
      <c r="H1069" s="65" t="s">
        <v>1206</v>
      </c>
      <c r="I1069" s="349" t="s">
        <v>31</v>
      </c>
      <c r="J1069" s="63" t="s">
        <v>1982</v>
      </c>
      <c r="K1069" s="63" t="s">
        <v>807</v>
      </c>
      <c r="L1069" s="63" t="s">
        <v>1956</v>
      </c>
    </row>
    <row r="1070" spans="1:12" ht="30" customHeight="1">
      <c r="A1070" s="172" t="str">
        <f t="shared" si="32"/>
        <v>14/12/20231</v>
      </c>
      <c r="B1070" s="166">
        <f t="shared" si="33"/>
        <v>1</v>
      </c>
      <c r="C1070" s="63" t="s">
        <v>4108</v>
      </c>
      <c r="D1070" s="64" t="s">
        <v>4270</v>
      </c>
      <c r="E1070" s="336">
        <v>4</v>
      </c>
      <c r="F1070" s="336" t="s">
        <v>1434</v>
      </c>
      <c r="G1070" s="349">
        <v>45274</v>
      </c>
      <c r="H1070" s="65" t="s">
        <v>73</v>
      </c>
      <c r="I1070" s="349" t="s">
        <v>35</v>
      </c>
      <c r="J1070" s="336">
        <f>IFERROR(VLOOKUP(I1070,Jueces!$A$1:$B$11,2,FALSE),"")</f>
        <v>3</v>
      </c>
      <c r="K1070" s="63" t="s">
        <v>809</v>
      </c>
      <c r="L1070" s="63" t="s">
        <v>1956</v>
      </c>
    </row>
    <row r="1071" spans="1:12" ht="30" customHeight="1">
      <c r="A1071" s="172" t="str">
        <f t="shared" si="32"/>
        <v>14/12/20232</v>
      </c>
      <c r="B1071" s="166">
        <f t="shared" si="33"/>
        <v>2</v>
      </c>
      <c r="C1071" s="63" t="s">
        <v>4188</v>
      </c>
      <c r="D1071" s="64" t="s">
        <v>4189</v>
      </c>
      <c r="E1071" s="336">
        <v>3</v>
      </c>
      <c r="F1071" s="336" t="s">
        <v>1435</v>
      </c>
      <c r="G1071" s="349">
        <v>45274</v>
      </c>
      <c r="H1071" s="65" t="s">
        <v>73</v>
      </c>
      <c r="I1071" s="349" t="s">
        <v>33</v>
      </c>
      <c r="J1071" s="336">
        <f>IFERROR(VLOOKUP(I1071,Jueces!$A$1:$B$11,2,FALSE),"")</f>
        <v>4</v>
      </c>
      <c r="K1071" s="63" t="s">
        <v>688</v>
      </c>
      <c r="L1071" s="335" t="s">
        <v>700</v>
      </c>
    </row>
    <row r="1072" spans="1:12" ht="30" customHeight="1">
      <c r="A1072" s="172" t="str">
        <f t="shared" si="32"/>
        <v>14/12/20233</v>
      </c>
      <c r="B1072" s="166">
        <f t="shared" si="33"/>
        <v>3</v>
      </c>
      <c r="C1072" s="63" t="s">
        <v>4286</v>
      </c>
      <c r="D1072" s="355" t="s">
        <v>4285</v>
      </c>
      <c r="E1072" s="336">
        <v>4</v>
      </c>
      <c r="F1072" s="336" t="s">
        <v>1435</v>
      </c>
      <c r="G1072" s="349">
        <v>45274</v>
      </c>
      <c r="H1072" s="65" t="s">
        <v>73</v>
      </c>
      <c r="I1072" s="349" t="s">
        <v>33</v>
      </c>
      <c r="J1072" s="336">
        <f>IFERROR(VLOOKUP(I1072,Jueces!$A$1:$B$11,2,FALSE),"")</f>
        <v>4</v>
      </c>
      <c r="K1072" s="63" t="s">
        <v>4044</v>
      </c>
      <c r="L1072" s="63" t="s">
        <v>1866</v>
      </c>
    </row>
    <row r="1073" spans="1:12" ht="30" customHeight="1">
      <c r="A1073" s="172" t="str">
        <f t="shared" si="32"/>
        <v>14/12/20234</v>
      </c>
      <c r="B1073" s="166">
        <f t="shared" si="33"/>
        <v>4</v>
      </c>
      <c r="C1073" s="336" t="s">
        <v>1552</v>
      </c>
      <c r="D1073" s="355" t="s">
        <v>4295</v>
      </c>
      <c r="E1073" s="336">
        <v>4</v>
      </c>
      <c r="F1073" s="336" t="s">
        <v>568</v>
      </c>
      <c r="G1073" s="349">
        <v>45274</v>
      </c>
      <c r="H1073" s="65" t="s">
        <v>73</v>
      </c>
      <c r="I1073" s="349" t="s">
        <v>2922</v>
      </c>
      <c r="J1073" s="336" t="str">
        <f>IFERROR(VLOOKUP(I1073,Jueces!$A$1:$B$11,2,FALSE),"")</f>
        <v/>
      </c>
      <c r="K1073" s="63" t="s">
        <v>508</v>
      </c>
      <c r="L1073" s="335" t="s">
        <v>783</v>
      </c>
    </row>
    <row r="1074" spans="1:12" ht="30" customHeight="1">
      <c r="A1074" s="172" t="str">
        <f t="shared" si="32"/>
        <v>14/12/20235</v>
      </c>
      <c r="B1074" s="166">
        <f t="shared" si="33"/>
        <v>5</v>
      </c>
      <c r="C1074" s="63" t="s">
        <v>4296</v>
      </c>
      <c r="D1074" s="64" t="s">
        <v>4297</v>
      </c>
      <c r="E1074" s="336">
        <v>5</v>
      </c>
      <c r="F1074" s="336" t="s">
        <v>283</v>
      </c>
      <c r="G1074" s="349">
        <v>45274</v>
      </c>
      <c r="H1074" s="65" t="s">
        <v>73</v>
      </c>
      <c r="I1074" s="349" t="s">
        <v>1723</v>
      </c>
      <c r="J1074" s="63" t="s">
        <v>1982</v>
      </c>
      <c r="K1074" s="63" t="s">
        <v>800</v>
      </c>
      <c r="L1074" s="335" t="s">
        <v>2672</v>
      </c>
    </row>
    <row r="1075" spans="1:12" ht="30" customHeight="1">
      <c r="A1075" s="172" t="str">
        <f t="shared" si="32"/>
        <v>14/12/20236</v>
      </c>
      <c r="B1075" s="166">
        <f t="shared" si="33"/>
        <v>6</v>
      </c>
      <c r="C1075" s="63" t="s">
        <v>4299</v>
      </c>
      <c r="D1075" s="64" t="s">
        <v>4298</v>
      </c>
      <c r="E1075" s="336">
        <v>5</v>
      </c>
      <c r="F1075" s="336" t="s">
        <v>2815</v>
      </c>
      <c r="G1075" s="349">
        <v>45274</v>
      </c>
      <c r="H1075" s="65" t="s">
        <v>73</v>
      </c>
      <c r="I1075" s="349" t="s">
        <v>1217</v>
      </c>
      <c r="J1075" s="336">
        <f>IFERROR(VLOOKUP(I1075,Jueces!$A$1:$B$11,2,FALSE),"")</f>
        <v>7</v>
      </c>
      <c r="K1075" s="63" t="s">
        <v>805</v>
      </c>
      <c r="L1075" s="63" t="s">
        <v>2107</v>
      </c>
    </row>
    <row r="1076" spans="1:12" ht="30" customHeight="1">
      <c r="A1076" s="172" t="str">
        <f t="shared" si="32"/>
        <v>14/12/20237</v>
      </c>
      <c r="B1076" s="166">
        <f t="shared" si="33"/>
        <v>7</v>
      </c>
      <c r="C1076" s="63" t="s">
        <v>4309</v>
      </c>
      <c r="D1076" s="64" t="s">
        <v>4310</v>
      </c>
      <c r="E1076" s="336">
        <v>5</v>
      </c>
      <c r="F1076" s="336" t="s">
        <v>29</v>
      </c>
      <c r="G1076" s="349">
        <v>45274</v>
      </c>
      <c r="H1076" s="65" t="s">
        <v>73</v>
      </c>
      <c r="I1076" s="349" t="s">
        <v>31</v>
      </c>
      <c r="J1076" s="336">
        <f>IFERROR(VLOOKUP(I1076,Jueces!$A$1:$B$11,2,FALSE),"")</f>
        <v>2</v>
      </c>
      <c r="K1076" s="63" t="s">
        <v>812</v>
      </c>
      <c r="L1076" s="63" t="s">
        <v>2201</v>
      </c>
    </row>
    <row r="1077" spans="1:12" ht="30" customHeight="1">
      <c r="A1077" s="172" t="str">
        <f t="shared" si="32"/>
        <v>14/12/20238</v>
      </c>
      <c r="B1077" s="166">
        <f t="shared" si="33"/>
        <v>8</v>
      </c>
      <c r="C1077" s="63" t="s">
        <v>4263</v>
      </c>
      <c r="D1077" s="64" t="s">
        <v>4264</v>
      </c>
      <c r="E1077" s="336">
        <v>5</v>
      </c>
      <c r="F1077" s="336" t="s">
        <v>3324</v>
      </c>
      <c r="G1077" s="349">
        <v>45274</v>
      </c>
      <c r="H1077" s="65" t="s">
        <v>1083</v>
      </c>
      <c r="I1077" s="349" t="s">
        <v>2922</v>
      </c>
      <c r="J1077" s="63" t="s">
        <v>1982</v>
      </c>
      <c r="K1077" s="63" t="s">
        <v>810</v>
      </c>
      <c r="L1077" s="63" t="s">
        <v>2107</v>
      </c>
    </row>
    <row r="1078" spans="1:12" ht="30" customHeight="1">
      <c r="A1078" s="172" t="str">
        <f t="shared" si="32"/>
        <v>14/12/20239</v>
      </c>
      <c r="B1078" s="166">
        <f t="shared" si="33"/>
        <v>9</v>
      </c>
      <c r="C1078" s="63" t="s">
        <v>4265</v>
      </c>
      <c r="D1078" s="64" t="s">
        <v>4305</v>
      </c>
      <c r="E1078" s="336">
        <v>5</v>
      </c>
      <c r="F1078" s="336" t="s">
        <v>2766</v>
      </c>
      <c r="G1078" s="349">
        <v>45274</v>
      </c>
      <c r="H1078" s="65" t="s">
        <v>1083</v>
      </c>
      <c r="I1078" s="349" t="s">
        <v>31</v>
      </c>
      <c r="J1078" s="336">
        <f>IFERROR(VLOOKUP(I1078,Jueces!$A$1:$B$11,2,FALSE),"")</f>
        <v>2</v>
      </c>
      <c r="K1078" s="63" t="s">
        <v>811</v>
      </c>
      <c r="L1078" s="63" t="s">
        <v>1956</v>
      </c>
    </row>
    <row r="1079" spans="1:12" ht="30" customHeight="1">
      <c r="A1079" s="172" t="str">
        <f t="shared" si="32"/>
        <v>14/12/202310</v>
      </c>
      <c r="B1079" s="166">
        <f t="shared" si="33"/>
        <v>10</v>
      </c>
      <c r="C1079" s="63" t="s">
        <v>4266</v>
      </c>
      <c r="D1079" s="64" t="s">
        <v>4306</v>
      </c>
      <c r="E1079" s="336">
        <v>5</v>
      </c>
      <c r="F1079" s="336" t="s">
        <v>3323</v>
      </c>
      <c r="G1079" s="349">
        <v>45274</v>
      </c>
      <c r="H1079" s="65" t="s">
        <v>1206</v>
      </c>
      <c r="I1079" s="349" t="s">
        <v>31</v>
      </c>
      <c r="J1079" s="336">
        <v>5</v>
      </c>
      <c r="K1079" s="63" t="s">
        <v>810</v>
      </c>
      <c r="L1079" s="63" t="s">
        <v>2107</v>
      </c>
    </row>
    <row r="1080" spans="1:12" ht="30" customHeight="1">
      <c r="A1080" s="172" t="str">
        <f t="shared" si="32"/>
        <v>14/12/202311</v>
      </c>
      <c r="B1080" s="166">
        <f t="shared" si="33"/>
        <v>11</v>
      </c>
      <c r="C1080" s="63" t="s">
        <v>4293</v>
      </c>
      <c r="D1080" s="64" t="s">
        <v>4294</v>
      </c>
      <c r="E1080" s="336">
        <v>5</v>
      </c>
      <c r="F1080" s="336" t="s">
        <v>2752</v>
      </c>
      <c r="G1080" s="349">
        <v>45274</v>
      </c>
      <c r="H1080" s="65" t="s">
        <v>3171</v>
      </c>
      <c r="I1080" s="349" t="s">
        <v>33</v>
      </c>
      <c r="J1080" s="336">
        <f>IFERROR(VLOOKUP(I1080,Jueces!$A$1:$B$11,2,FALSE),"")</f>
        <v>4</v>
      </c>
      <c r="K1080" s="63" t="s">
        <v>791</v>
      </c>
      <c r="L1080" s="63" t="s">
        <v>2107</v>
      </c>
    </row>
    <row r="1081" spans="1:12" ht="30" customHeight="1">
      <c r="A1081" s="172" t="str">
        <f t="shared" si="32"/>
        <v>14/12/202312</v>
      </c>
      <c r="B1081" s="166">
        <f t="shared" si="33"/>
        <v>12</v>
      </c>
      <c r="C1081" s="63" t="s">
        <v>4332</v>
      </c>
      <c r="D1081" s="64" t="s">
        <v>4333</v>
      </c>
      <c r="E1081" s="336">
        <v>5</v>
      </c>
      <c r="F1081" s="336" t="s">
        <v>3791</v>
      </c>
      <c r="G1081" s="349">
        <v>45274</v>
      </c>
      <c r="H1081" s="65" t="s">
        <v>77</v>
      </c>
      <c r="I1081" s="349" t="s">
        <v>1217</v>
      </c>
      <c r="J1081" s="336">
        <f>IFERROR(VLOOKUP(I1081,Jueces!$A$1:$B$11,2,FALSE),"")</f>
        <v>7</v>
      </c>
      <c r="K1081" s="63" t="s">
        <v>807</v>
      </c>
      <c r="L1081" s="63" t="s">
        <v>2107</v>
      </c>
    </row>
    <row r="1082" spans="1:12" ht="30" customHeight="1">
      <c r="A1082" s="172" t="str">
        <f t="shared" si="32"/>
        <v>15/12/20231</v>
      </c>
      <c r="B1082" s="166">
        <f t="shared" si="33"/>
        <v>1</v>
      </c>
      <c r="C1082" s="63" t="s">
        <v>4314</v>
      </c>
      <c r="D1082" s="64" t="s">
        <v>4326</v>
      </c>
      <c r="E1082" s="336">
        <v>5</v>
      </c>
      <c r="F1082" s="336" t="s">
        <v>2766</v>
      </c>
      <c r="G1082" s="349">
        <v>45275</v>
      </c>
      <c r="H1082" s="65" t="s">
        <v>73</v>
      </c>
      <c r="I1082" s="349" t="s">
        <v>78</v>
      </c>
      <c r="J1082" s="336">
        <f>IFERROR(VLOOKUP(I1082,Jueces!$A$1:$B$11,2,FALSE),"")</f>
        <v>8</v>
      </c>
      <c r="K1082" s="63" t="s">
        <v>2076</v>
      </c>
      <c r="L1082" s="63" t="s">
        <v>1956</v>
      </c>
    </row>
    <row r="1083" spans="1:12" ht="30" customHeight="1">
      <c r="A1083" s="172" t="str">
        <f t="shared" si="32"/>
        <v>15/12/20232</v>
      </c>
      <c r="B1083" s="166">
        <f t="shared" si="33"/>
        <v>2</v>
      </c>
      <c r="C1083" s="63" t="s">
        <v>4315</v>
      </c>
      <c r="D1083" s="64" t="s">
        <v>4325</v>
      </c>
      <c r="E1083" s="336">
        <v>5</v>
      </c>
      <c r="F1083" s="336" t="s">
        <v>3323</v>
      </c>
      <c r="G1083" s="349">
        <v>45275</v>
      </c>
      <c r="H1083" s="65" t="s">
        <v>73</v>
      </c>
      <c r="I1083" s="349" t="s">
        <v>1217</v>
      </c>
      <c r="J1083" s="336">
        <f>IFERROR(VLOOKUP(I1083,Jueces!$A$1:$B$11,2,FALSE),"")</f>
        <v>7</v>
      </c>
      <c r="K1083" s="63" t="s">
        <v>810</v>
      </c>
      <c r="L1083" s="63" t="s">
        <v>2107</v>
      </c>
    </row>
    <row r="1084" spans="1:12" ht="30" customHeight="1">
      <c r="A1084" s="172" t="str">
        <f t="shared" si="32"/>
        <v>15/12/20233</v>
      </c>
      <c r="B1084" s="166">
        <f t="shared" si="33"/>
        <v>3</v>
      </c>
      <c r="C1084" s="63" t="s">
        <v>4318</v>
      </c>
      <c r="D1084" s="64" t="s">
        <v>4327</v>
      </c>
      <c r="E1084" s="336">
        <v>3</v>
      </c>
      <c r="F1084" s="336" t="s">
        <v>1434</v>
      </c>
      <c r="G1084" s="349">
        <v>45275</v>
      </c>
      <c r="H1084" s="65" t="s">
        <v>73</v>
      </c>
      <c r="I1084" s="349" t="s">
        <v>31</v>
      </c>
      <c r="J1084" s="336">
        <f>IFERROR(VLOOKUP(I1084,Jueces!$A$1:$B$11,2,FALSE),"")</f>
        <v>2</v>
      </c>
      <c r="K1084" s="63" t="s">
        <v>797</v>
      </c>
      <c r="L1084" s="63" t="s">
        <v>3755</v>
      </c>
    </row>
    <row r="1085" spans="1:12" ht="30" customHeight="1">
      <c r="A1085" s="172" t="str">
        <f t="shared" si="32"/>
        <v>15/12/20234</v>
      </c>
      <c r="B1085" s="166">
        <f t="shared" si="33"/>
        <v>4</v>
      </c>
      <c r="C1085" s="63" t="s">
        <v>4319</v>
      </c>
      <c r="D1085" s="64" t="s">
        <v>4328</v>
      </c>
      <c r="E1085" s="336">
        <v>4</v>
      </c>
      <c r="F1085" s="336" t="s">
        <v>2815</v>
      </c>
      <c r="G1085" s="349">
        <v>45275</v>
      </c>
      <c r="H1085" s="65" t="s">
        <v>73</v>
      </c>
      <c r="I1085" s="65" t="s">
        <v>1723</v>
      </c>
      <c r="J1085" s="63" t="s">
        <v>1916</v>
      </c>
      <c r="K1085" s="63" t="s">
        <v>805</v>
      </c>
      <c r="L1085" s="63" t="s">
        <v>2368</v>
      </c>
    </row>
    <row r="1086" spans="1:12" ht="30" customHeight="1">
      <c r="A1086" s="172" t="str">
        <f t="shared" si="32"/>
        <v>15/12/20235</v>
      </c>
      <c r="B1086" s="166">
        <f t="shared" si="33"/>
        <v>5</v>
      </c>
      <c r="C1086" s="63" t="s">
        <v>4016</v>
      </c>
      <c r="D1086" s="64" t="s">
        <v>4017</v>
      </c>
      <c r="E1086" s="336">
        <v>4</v>
      </c>
      <c r="F1086" s="336" t="s">
        <v>1433</v>
      </c>
      <c r="G1086" s="349">
        <v>45275</v>
      </c>
      <c r="H1086" s="65" t="s">
        <v>1083</v>
      </c>
      <c r="I1086" s="65" t="s">
        <v>31</v>
      </c>
      <c r="J1086" s="336">
        <f>IFERROR(VLOOKUP(I1086,Jueces!$A$1:$B$11,2,FALSE),"")</f>
        <v>2</v>
      </c>
      <c r="K1086" s="63" t="s">
        <v>812</v>
      </c>
      <c r="L1086" s="63" t="s">
        <v>4674</v>
      </c>
    </row>
    <row r="1087" spans="1:12" ht="30" customHeight="1">
      <c r="A1087" s="172" t="str">
        <f t="shared" si="32"/>
        <v>15/12/20236</v>
      </c>
      <c r="B1087" s="166">
        <f t="shared" si="33"/>
        <v>6</v>
      </c>
      <c r="C1087" s="63" t="s">
        <v>4322</v>
      </c>
      <c r="D1087" s="64" t="s">
        <v>4461</v>
      </c>
      <c r="E1087" s="336">
        <v>5</v>
      </c>
      <c r="F1087" s="336" t="s">
        <v>2752</v>
      </c>
      <c r="G1087" s="349">
        <v>45275</v>
      </c>
      <c r="H1087" s="65" t="s">
        <v>1083</v>
      </c>
      <c r="I1087" s="349" t="s">
        <v>1216</v>
      </c>
      <c r="J1087" s="336">
        <f>IFERROR(VLOOKUP(I1087,Jueces!$A$1:$B$11,2,FALSE),"")</f>
        <v>1</v>
      </c>
      <c r="K1087" s="63" t="s">
        <v>791</v>
      </c>
      <c r="L1087" s="63" t="s">
        <v>1956</v>
      </c>
    </row>
    <row r="1088" spans="1:12" ht="30" customHeight="1">
      <c r="A1088" s="172" t="str">
        <f t="shared" si="32"/>
        <v>15/12/20237</v>
      </c>
      <c r="B1088" s="166">
        <f t="shared" si="33"/>
        <v>7</v>
      </c>
      <c r="C1088" s="63" t="s">
        <v>3696</v>
      </c>
      <c r="D1088" s="355" t="s">
        <v>3697</v>
      </c>
      <c r="E1088" s="336">
        <v>3</v>
      </c>
      <c r="F1088" s="336" t="s">
        <v>29</v>
      </c>
      <c r="G1088" s="349">
        <v>45275</v>
      </c>
      <c r="H1088" s="65" t="s">
        <v>1083</v>
      </c>
      <c r="I1088" s="65" t="s">
        <v>78</v>
      </c>
      <c r="J1088" s="336">
        <v>3</v>
      </c>
      <c r="K1088" s="63" t="s">
        <v>2075</v>
      </c>
      <c r="L1088" s="7" t="s">
        <v>3755</v>
      </c>
    </row>
    <row r="1089" spans="1:12" ht="30" customHeight="1">
      <c r="A1089" s="172" t="str">
        <f t="shared" si="32"/>
        <v>15/12/20238</v>
      </c>
      <c r="B1089" s="166">
        <f t="shared" si="33"/>
        <v>8</v>
      </c>
      <c r="C1089" s="63" t="s">
        <v>4374</v>
      </c>
      <c r="D1089" s="64" t="s">
        <v>4375</v>
      </c>
      <c r="E1089" s="336">
        <v>5</v>
      </c>
      <c r="F1089" s="336" t="s">
        <v>568</v>
      </c>
      <c r="G1089" s="349">
        <v>45275</v>
      </c>
      <c r="H1089" s="65" t="s">
        <v>1083</v>
      </c>
      <c r="I1089" s="349" t="s">
        <v>33</v>
      </c>
      <c r="J1089" s="336">
        <f>IFERROR(VLOOKUP(I1089,Jueces!$A$1:$B$11,2,FALSE),"")</f>
        <v>4</v>
      </c>
      <c r="K1089" s="63" t="s">
        <v>810</v>
      </c>
      <c r="L1089" s="7" t="s">
        <v>2107</v>
      </c>
    </row>
    <row r="1090" spans="1:12" ht="30" customHeight="1">
      <c r="A1090" s="172" t="str">
        <f t="shared" si="32"/>
        <v>15/12/20239</v>
      </c>
      <c r="B1090" s="166">
        <f t="shared" si="33"/>
        <v>9</v>
      </c>
      <c r="C1090" s="7" t="s">
        <v>4562</v>
      </c>
      <c r="D1090" s="40" t="s">
        <v>4563</v>
      </c>
      <c r="E1090" s="328">
        <v>7</v>
      </c>
      <c r="F1090" s="328" t="s">
        <v>3639</v>
      </c>
      <c r="G1090" s="376">
        <v>45275</v>
      </c>
      <c r="H1090" s="19" t="s">
        <v>1083</v>
      </c>
      <c r="I1090" s="376" t="s">
        <v>1217</v>
      </c>
      <c r="J1090" s="328">
        <f>IFERROR(VLOOKUP(I1090,Jueces!$A$1:$B$11,2,FALSE),"")</f>
        <v>7</v>
      </c>
      <c r="K1090" s="7" t="s">
        <v>797</v>
      </c>
      <c r="L1090" s="395" t="s">
        <v>4456</v>
      </c>
    </row>
    <row r="1091" spans="1:12" ht="30" customHeight="1">
      <c r="A1091" s="172" t="str">
        <f t="shared" ref="A1091:A1154" si="34">CONCATENATE(TEXT($G1091,"dd/mm/yyyy"),$B1091)</f>
        <v>15/12/202310</v>
      </c>
      <c r="B1091" s="166">
        <f t="shared" si="33"/>
        <v>10</v>
      </c>
      <c r="C1091" s="63" t="s">
        <v>2501</v>
      </c>
      <c r="D1091" s="64" t="s">
        <v>4300</v>
      </c>
      <c r="E1091" s="336">
        <v>5</v>
      </c>
      <c r="F1091" s="336" t="s">
        <v>283</v>
      </c>
      <c r="G1091" s="349">
        <v>45275</v>
      </c>
      <c r="H1091" s="65" t="s">
        <v>1206</v>
      </c>
      <c r="I1091" s="349" t="s">
        <v>31</v>
      </c>
      <c r="J1091" s="63" t="s">
        <v>1982</v>
      </c>
      <c r="K1091" s="63" t="s">
        <v>569</v>
      </c>
      <c r="L1091" s="335" t="s">
        <v>3763</v>
      </c>
    </row>
    <row r="1092" spans="1:12" ht="30" customHeight="1">
      <c r="A1092" s="172" t="str">
        <f t="shared" si="34"/>
        <v>15/12/202311</v>
      </c>
      <c r="B1092" s="166">
        <f t="shared" ref="B1092:B1155" si="35">IF($G1092=$G1091,$B1091+1,1)</f>
        <v>11</v>
      </c>
      <c r="C1092" s="63" t="s">
        <v>4284</v>
      </c>
      <c r="D1092" s="64" t="s">
        <v>4329</v>
      </c>
      <c r="E1092" s="336">
        <v>4</v>
      </c>
      <c r="F1092" s="336" t="s">
        <v>1435</v>
      </c>
      <c r="G1092" s="349">
        <v>45275</v>
      </c>
      <c r="H1092" s="65" t="s">
        <v>1206</v>
      </c>
      <c r="I1092" s="349" t="s">
        <v>1216</v>
      </c>
      <c r="J1092" s="63" t="s">
        <v>1512</v>
      </c>
      <c r="K1092" s="63" t="s">
        <v>790</v>
      </c>
      <c r="L1092" s="63" t="s">
        <v>1956</v>
      </c>
    </row>
    <row r="1093" spans="1:12" ht="30" customHeight="1">
      <c r="A1093" s="172" t="str">
        <f t="shared" si="34"/>
        <v>15/12/202312</v>
      </c>
      <c r="B1093" s="166">
        <f t="shared" si="35"/>
        <v>12</v>
      </c>
      <c r="C1093" s="63" t="s">
        <v>4316</v>
      </c>
      <c r="D1093" s="64" t="s">
        <v>4317</v>
      </c>
      <c r="E1093" s="336">
        <v>4</v>
      </c>
      <c r="F1093" s="336" t="s">
        <v>3791</v>
      </c>
      <c r="G1093" s="349">
        <v>45275</v>
      </c>
      <c r="H1093" s="65" t="s">
        <v>3171</v>
      </c>
      <c r="I1093" s="349" t="s">
        <v>33</v>
      </c>
      <c r="J1093" s="336">
        <f>IFERROR(VLOOKUP(I1093,Jueces!$A$1:$B$11,2,FALSE),"")</f>
        <v>4</v>
      </c>
      <c r="K1093" s="63" t="s">
        <v>799</v>
      </c>
      <c r="L1093" s="63" t="s">
        <v>1956</v>
      </c>
    </row>
    <row r="1094" spans="1:12" ht="30" customHeight="1">
      <c r="A1094" s="172" t="str">
        <f t="shared" si="34"/>
        <v>18/12/20231</v>
      </c>
      <c r="B1094" s="166">
        <f t="shared" si="35"/>
        <v>1</v>
      </c>
      <c r="C1094" s="63" t="s">
        <v>4259</v>
      </c>
      <c r="D1094" s="64" t="s">
        <v>4417</v>
      </c>
      <c r="E1094" s="336">
        <v>3</v>
      </c>
      <c r="F1094" s="336" t="s">
        <v>3791</v>
      </c>
      <c r="G1094" s="349">
        <v>45278</v>
      </c>
      <c r="H1094" s="65" t="s">
        <v>73</v>
      </c>
      <c r="I1094" s="349" t="s">
        <v>1723</v>
      </c>
      <c r="J1094" s="63" t="s">
        <v>1916</v>
      </c>
      <c r="K1094" s="63" t="s">
        <v>2077</v>
      </c>
      <c r="L1094" s="63" t="s">
        <v>4727</v>
      </c>
    </row>
    <row r="1095" spans="1:12" ht="30" customHeight="1">
      <c r="A1095" s="172" t="str">
        <f t="shared" si="34"/>
        <v>18/12/20232</v>
      </c>
      <c r="B1095" s="166">
        <f t="shared" si="35"/>
        <v>2</v>
      </c>
      <c r="C1095" s="7" t="s">
        <v>4323</v>
      </c>
      <c r="D1095" s="40" t="s">
        <v>4324</v>
      </c>
      <c r="E1095" s="328">
        <v>4</v>
      </c>
      <c r="F1095" s="328" t="s">
        <v>1433</v>
      </c>
      <c r="G1095" s="376">
        <v>45278</v>
      </c>
      <c r="H1095" s="19" t="s">
        <v>73</v>
      </c>
      <c r="I1095" s="376" t="s">
        <v>31</v>
      </c>
      <c r="J1095" s="328">
        <f>IFERROR(VLOOKUP(I1095,Jueces!$A$1:$B$11,2,FALSE),"")</f>
        <v>2</v>
      </c>
      <c r="K1095" s="7" t="s">
        <v>797</v>
      </c>
      <c r="L1095" s="7" t="s">
        <v>4674</v>
      </c>
    </row>
    <row r="1096" spans="1:12" ht="30" customHeight="1">
      <c r="A1096" s="172" t="str">
        <f t="shared" si="34"/>
        <v>18/12/20233</v>
      </c>
      <c r="B1096" s="166">
        <f t="shared" si="35"/>
        <v>3</v>
      </c>
      <c r="C1096" s="63" t="s">
        <v>4373</v>
      </c>
      <c r="D1096" s="64" t="s">
        <v>4500</v>
      </c>
      <c r="E1096" s="336">
        <v>5</v>
      </c>
      <c r="F1096" s="336" t="s">
        <v>568</v>
      </c>
      <c r="G1096" s="349">
        <v>45278</v>
      </c>
      <c r="H1096" s="65" t="s">
        <v>73</v>
      </c>
      <c r="I1096" s="349" t="s">
        <v>78</v>
      </c>
      <c r="J1096" s="336">
        <f>IFERROR(VLOOKUP(I1096,Jueces!$A$1:$B$11,2,FALSE),"")</f>
        <v>8</v>
      </c>
      <c r="K1096" s="63" t="s">
        <v>791</v>
      </c>
      <c r="L1096" s="7" t="s">
        <v>2201</v>
      </c>
    </row>
    <row r="1097" spans="1:12" ht="30" customHeight="1">
      <c r="A1097" s="172" t="str">
        <f t="shared" si="34"/>
        <v>18/12/20234</v>
      </c>
      <c r="B1097" s="166">
        <f t="shared" si="35"/>
        <v>4</v>
      </c>
      <c r="C1097" s="63" t="s">
        <v>4404</v>
      </c>
      <c r="D1097" s="64" t="s">
        <v>4499</v>
      </c>
      <c r="E1097" s="336">
        <v>5</v>
      </c>
      <c r="F1097" s="336" t="s">
        <v>1435</v>
      </c>
      <c r="G1097" s="349">
        <v>45278</v>
      </c>
      <c r="H1097" s="65" t="s">
        <v>73</v>
      </c>
      <c r="I1097" s="349" t="s">
        <v>2922</v>
      </c>
      <c r="J1097" s="336">
        <v>4</v>
      </c>
      <c r="K1097" s="63" t="s">
        <v>1067</v>
      </c>
      <c r="L1097" s="388" t="s">
        <v>1025</v>
      </c>
    </row>
    <row r="1098" spans="1:12" ht="30" customHeight="1">
      <c r="A1098" s="172" t="str">
        <f t="shared" si="34"/>
        <v>18/12/20235</v>
      </c>
      <c r="B1098" s="166">
        <f t="shared" si="35"/>
        <v>5</v>
      </c>
      <c r="C1098" s="63" t="s">
        <v>4425</v>
      </c>
      <c r="D1098" s="64" t="s">
        <v>4426</v>
      </c>
      <c r="E1098" s="336">
        <v>5</v>
      </c>
      <c r="F1098" s="63" t="s">
        <v>3323</v>
      </c>
      <c r="G1098" s="349">
        <v>45278</v>
      </c>
      <c r="H1098" s="65" t="s">
        <v>73</v>
      </c>
      <c r="I1098" s="65" t="s">
        <v>35</v>
      </c>
      <c r="J1098" s="336">
        <f>IFERROR(VLOOKUP(I1098,Jueces!$A$1:$B$11,2,FALSE),"")</f>
        <v>3</v>
      </c>
      <c r="K1098" s="63" t="s">
        <v>810</v>
      </c>
      <c r="L1098" s="63" t="s">
        <v>2353</v>
      </c>
    </row>
    <row r="1099" spans="1:12" ht="30" customHeight="1">
      <c r="A1099" s="172" t="str">
        <f t="shared" si="34"/>
        <v>18/12/20236</v>
      </c>
      <c r="B1099" s="166">
        <f t="shared" si="35"/>
        <v>6</v>
      </c>
      <c r="C1099" s="63" t="s">
        <v>4587</v>
      </c>
      <c r="D1099" s="64" t="s">
        <v>4588</v>
      </c>
      <c r="E1099" s="336">
        <v>3</v>
      </c>
      <c r="F1099" s="336" t="s">
        <v>3871</v>
      </c>
      <c r="G1099" s="349">
        <v>45278</v>
      </c>
      <c r="H1099" s="65" t="s">
        <v>73</v>
      </c>
      <c r="I1099" s="349" t="s">
        <v>33</v>
      </c>
      <c r="J1099" s="63" t="s">
        <v>4733</v>
      </c>
      <c r="K1099" s="63" t="s">
        <v>192</v>
      </c>
      <c r="L1099" s="63" t="s">
        <v>725</v>
      </c>
    </row>
    <row r="1100" spans="1:12" ht="30" customHeight="1">
      <c r="A1100" s="172" t="str">
        <f t="shared" si="34"/>
        <v>18/12/20237</v>
      </c>
      <c r="B1100" s="166">
        <f t="shared" si="35"/>
        <v>7</v>
      </c>
      <c r="C1100" s="63" t="s">
        <v>4330</v>
      </c>
      <c r="D1100" s="64" t="s">
        <v>4331</v>
      </c>
      <c r="E1100" s="336">
        <v>2</v>
      </c>
      <c r="F1100" s="336" t="s">
        <v>283</v>
      </c>
      <c r="G1100" s="349">
        <v>45278</v>
      </c>
      <c r="H1100" s="65" t="s">
        <v>1083</v>
      </c>
      <c r="I1100" s="349" t="s">
        <v>31</v>
      </c>
      <c r="J1100" s="336">
        <f>IFERROR(VLOOKUP(I1100,Jueces!$A$1:$B$11,2,FALSE),"")</f>
        <v>2</v>
      </c>
      <c r="K1100" s="63" t="s">
        <v>809</v>
      </c>
      <c r="L1100" s="63" t="s">
        <v>2201</v>
      </c>
    </row>
    <row r="1101" spans="1:12" ht="30" customHeight="1">
      <c r="A1101" s="172" t="str">
        <f t="shared" si="34"/>
        <v>18/12/20238</v>
      </c>
      <c r="B1101" s="166">
        <f t="shared" si="35"/>
        <v>8</v>
      </c>
      <c r="C1101" s="63" t="s">
        <v>4335</v>
      </c>
      <c r="D1101" s="64" t="s">
        <v>4336</v>
      </c>
      <c r="E1101" s="336">
        <v>5</v>
      </c>
      <c r="F1101" s="63" t="s">
        <v>2766</v>
      </c>
      <c r="G1101" s="349">
        <v>45278</v>
      </c>
      <c r="H1101" s="65" t="s">
        <v>1083</v>
      </c>
      <c r="I1101" s="349" t="s">
        <v>35</v>
      </c>
      <c r="J1101" s="336">
        <f>IFERROR(VLOOKUP(I1101,Jueces!$A$1:$B$11,2,FALSE),"")</f>
        <v>3</v>
      </c>
      <c r="K1101" s="63" t="s">
        <v>812</v>
      </c>
      <c r="L1101" s="63" t="s">
        <v>2107</v>
      </c>
    </row>
    <row r="1102" spans="1:12" ht="30" customHeight="1">
      <c r="A1102" s="172" t="str">
        <f t="shared" si="34"/>
        <v>18/12/20239</v>
      </c>
      <c r="B1102" s="166">
        <f t="shared" si="35"/>
        <v>9</v>
      </c>
      <c r="C1102" s="336" t="s">
        <v>4083</v>
      </c>
      <c r="D1102" s="355" t="s">
        <v>4045</v>
      </c>
      <c r="E1102" s="336">
        <v>5</v>
      </c>
      <c r="F1102" s="336" t="s">
        <v>3324</v>
      </c>
      <c r="G1102" s="383">
        <v>45278</v>
      </c>
      <c r="H1102" s="65" t="s">
        <v>1083</v>
      </c>
      <c r="I1102" s="349" t="s">
        <v>1216</v>
      </c>
      <c r="J1102" s="336">
        <v>1</v>
      </c>
      <c r="K1102" s="63" t="s">
        <v>799</v>
      </c>
      <c r="L1102" s="63" t="s">
        <v>4674</v>
      </c>
    </row>
    <row r="1103" spans="1:12" ht="30" customHeight="1">
      <c r="A1103" s="172" t="str">
        <f t="shared" si="34"/>
        <v>18/12/202310</v>
      </c>
      <c r="B1103" s="166">
        <f t="shared" si="35"/>
        <v>10</v>
      </c>
      <c r="C1103" s="63" t="s">
        <v>4395</v>
      </c>
      <c r="D1103" s="64" t="s">
        <v>4396</v>
      </c>
      <c r="E1103" s="336">
        <v>5</v>
      </c>
      <c r="F1103" s="336" t="s">
        <v>2752</v>
      </c>
      <c r="G1103" s="349">
        <v>45278</v>
      </c>
      <c r="H1103" s="65" t="s">
        <v>1206</v>
      </c>
      <c r="I1103" s="349" t="s">
        <v>1216</v>
      </c>
      <c r="J1103" s="336">
        <v>2</v>
      </c>
      <c r="K1103" s="63" t="s">
        <v>800</v>
      </c>
      <c r="L1103" s="63" t="s">
        <v>2107</v>
      </c>
    </row>
    <row r="1104" spans="1:12" ht="30" customHeight="1">
      <c r="A1104" s="172" t="str">
        <f t="shared" si="34"/>
        <v>18/12/202311</v>
      </c>
      <c r="B1104" s="166">
        <f t="shared" si="35"/>
        <v>11</v>
      </c>
      <c r="C1104" s="63" t="s">
        <v>4427</v>
      </c>
      <c r="D1104" s="64" t="s">
        <v>4428</v>
      </c>
      <c r="E1104" s="336">
        <v>5</v>
      </c>
      <c r="F1104" s="63" t="s">
        <v>29</v>
      </c>
      <c r="G1104" s="349">
        <v>45278</v>
      </c>
      <c r="H1104" s="65" t="s">
        <v>2011</v>
      </c>
      <c r="I1104" s="65" t="s">
        <v>33</v>
      </c>
      <c r="J1104" s="336">
        <f>IFERROR(VLOOKUP(I1104,Jueces!$A$1:$B$11,2,FALSE),"")</f>
        <v>4</v>
      </c>
      <c r="K1104" s="63" t="s">
        <v>582</v>
      </c>
      <c r="L1104" s="63" t="s">
        <v>2107</v>
      </c>
    </row>
    <row r="1105" spans="1:12" ht="30" customHeight="1">
      <c r="A1105" s="172" t="str">
        <f t="shared" si="34"/>
        <v>18/12/202312</v>
      </c>
      <c r="B1105" s="166">
        <f t="shared" si="35"/>
        <v>12</v>
      </c>
      <c r="C1105" s="63" t="s">
        <v>4444</v>
      </c>
      <c r="D1105" s="64" t="s">
        <v>4445</v>
      </c>
      <c r="E1105" s="336">
        <v>6</v>
      </c>
      <c r="F1105" s="336" t="s">
        <v>1434</v>
      </c>
      <c r="G1105" s="349">
        <v>45278</v>
      </c>
      <c r="H1105" s="65" t="s">
        <v>2011</v>
      </c>
      <c r="I1105" s="349" t="s">
        <v>78</v>
      </c>
      <c r="J1105" s="336">
        <f>IFERROR(VLOOKUP(I1105,Jueces!$A$1:$B$11,2,FALSE),"")</f>
        <v>8</v>
      </c>
      <c r="K1105" s="63" t="s">
        <v>809</v>
      </c>
      <c r="L1105" s="7" t="s">
        <v>2201</v>
      </c>
    </row>
    <row r="1106" spans="1:12" ht="30" customHeight="1">
      <c r="A1106" s="172" t="str">
        <f t="shared" si="34"/>
        <v>19/12/20231</v>
      </c>
      <c r="B1106" s="166">
        <f t="shared" si="35"/>
        <v>1</v>
      </c>
      <c r="C1106" s="63" t="s">
        <v>4109</v>
      </c>
      <c r="D1106" s="64" t="s">
        <v>4110</v>
      </c>
      <c r="E1106" s="336">
        <v>4</v>
      </c>
      <c r="F1106" s="336" t="s">
        <v>1433</v>
      </c>
      <c r="G1106" s="349">
        <v>45279</v>
      </c>
      <c r="H1106" s="65" t="s">
        <v>73</v>
      </c>
      <c r="I1106" s="349" t="s">
        <v>31</v>
      </c>
      <c r="J1106" s="336">
        <f>IFERROR(VLOOKUP(I1106,Jueces!$A$1:$B$11,2,FALSE),"")</f>
        <v>2</v>
      </c>
      <c r="K1106" s="63" t="s">
        <v>2077</v>
      </c>
      <c r="L1106" s="365" t="s">
        <v>1956</v>
      </c>
    </row>
    <row r="1107" spans="1:12" ht="30" customHeight="1">
      <c r="A1107" s="172" t="str">
        <f t="shared" si="34"/>
        <v>19/12/20232</v>
      </c>
      <c r="B1107" s="166">
        <f t="shared" si="35"/>
        <v>2</v>
      </c>
      <c r="C1107" s="63" t="s">
        <v>3954</v>
      </c>
      <c r="D1107" s="355" t="s">
        <v>3973</v>
      </c>
      <c r="E1107" s="336">
        <v>3</v>
      </c>
      <c r="F1107" s="336" t="s">
        <v>2766</v>
      </c>
      <c r="G1107" s="349">
        <v>45279</v>
      </c>
      <c r="H1107" s="65" t="s">
        <v>73</v>
      </c>
      <c r="I1107" s="349" t="s">
        <v>1216</v>
      </c>
      <c r="J1107" s="336">
        <f>IFERROR(VLOOKUP(I1107,Jueces!$A$1:$B$11,2,FALSE),"")</f>
        <v>1</v>
      </c>
      <c r="K1107" s="63" t="s">
        <v>811</v>
      </c>
      <c r="L1107" s="63" t="s">
        <v>695</v>
      </c>
    </row>
    <row r="1108" spans="1:12" ht="30" customHeight="1">
      <c r="A1108" s="172" t="str">
        <f t="shared" si="34"/>
        <v>19/12/20233</v>
      </c>
      <c r="B1108" s="166">
        <f t="shared" si="35"/>
        <v>3</v>
      </c>
      <c r="C1108" s="63" t="s">
        <v>4399</v>
      </c>
      <c r="D1108" s="64" t="s">
        <v>4400</v>
      </c>
      <c r="E1108" s="336">
        <v>5</v>
      </c>
      <c r="F1108" s="63" t="s">
        <v>29</v>
      </c>
      <c r="G1108" s="349">
        <v>45279</v>
      </c>
      <c r="H1108" s="65" t="s">
        <v>73</v>
      </c>
      <c r="I1108" s="65" t="s">
        <v>78</v>
      </c>
      <c r="J1108" s="336">
        <f>IFERROR(VLOOKUP(I1108,Jueces!$A$1:$B$11,2,FALSE),"")</f>
        <v>8</v>
      </c>
      <c r="K1108" s="63" t="s">
        <v>812</v>
      </c>
      <c r="L1108" s="356" t="s">
        <v>4418</v>
      </c>
    </row>
    <row r="1109" spans="1:12" ht="30" customHeight="1">
      <c r="A1109" s="172" t="str">
        <f t="shared" si="34"/>
        <v>19/12/20234</v>
      </c>
      <c r="B1109" s="166">
        <f t="shared" si="35"/>
        <v>4</v>
      </c>
      <c r="C1109" s="206" t="s">
        <v>4429</v>
      </c>
      <c r="D1109" s="207" t="s">
        <v>4430</v>
      </c>
      <c r="E1109" s="329">
        <v>5</v>
      </c>
      <c r="F1109" s="206" t="s">
        <v>1434</v>
      </c>
      <c r="G1109" s="351">
        <v>45279</v>
      </c>
      <c r="H1109" s="294" t="s">
        <v>73</v>
      </c>
      <c r="I1109" s="351" t="s">
        <v>2925</v>
      </c>
      <c r="J1109" s="206" t="s">
        <v>1982</v>
      </c>
      <c r="K1109" s="206" t="s">
        <v>790</v>
      </c>
      <c r="L1109" s="206" t="s">
        <v>2107</v>
      </c>
    </row>
    <row r="1110" spans="1:12" ht="30" customHeight="1">
      <c r="A1110" s="172" t="str">
        <f t="shared" si="34"/>
        <v>19/12/20235</v>
      </c>
      <c r="B1110" s="166">
        <f t="shared" si="35"/>
        <v>5</v>
      </c>
      <c r="C1110" s="63" t="s">
        <v>4431</v>
      </c>
      <c r="D1110" s="64" t="s">
        <v>4432</v>
      </c>
      <c r="E1110" s="336">
        <v>3</v>
      </c>
      <c r="F1110" s="336" t="s">
        <v>568</v>
      </c>
      <c r="G1110" s="349">
        <v>45279</v>
      </c>
      <c r="H1110" s="65" t="s">
        <v>73</v>
      </c>
      <c r="I1110" s="349" t="s">
        <v>35</v>
      </c>
      <c r="J1110" s="336">
        <f>IFERROR(VLOOKUP(I1110,Jueces!$A$1:$B$11,2,FALSE),"")</f>
        <v>3</v>
      </c>
      <c r="K1110" s="63" t="s">
        <v>2075</v>
      </c>
      <c r="L1110" s="63" t="s">
        <v>694</v>
      </c>
    </row>
    <row r="1111" spans="1:12" ht="30" customHeight="1">
      <c r="A1111" s="172" t="str">
        <f t="shared" si="34"/>
        <v>19/12/20236</v>
      </c>
      <c r="B1111" s="166">
        <f t="shared" si="35"/>
        <v>6</v>
      </c>
      <c r="C1111" s="63" t="s">
        <v>4442</v>
      </c>
      <c r="D1111" s="64" t="s">
        <v>4443</v>
      </c>
      <c r="E1111" s="336">
        <v>6</v>
      </c>
      <c r="F1111" s="336" t="s">
        <v>3791</v>
      </c>
      <c r="G1111" s="349">
        <v>45279</v>
      </c>
      <c r="H1111" s="65" t="s">
        <v>73</v>
      </c>
      <c r="I1111" s="349" t="s">
        <v>33</v>
      </c>
      <c r="J1111" s="336">
        <f>IFERROR(VLOOKUP(I1111,Jueces!$A$1:$B$11,2,FALSE),"")</f>
        <v>4</v>
      </c>
      <c r="K1111" s="63" t="s">
        <v>809</v>
      </c>
      <c r="L1111" s="63" t="s">
        <v>2201</v>
      </c>
    </row>
    <row r="1112" spans="1:12" ht="30" customHeight="1">
      <c r="A1112" s="172" t="str">
        <f t="shared" si="34"/>
        <v>19/12/20237</v>
      </c>
      <c r="B1112" s="166">
        <f t="shared" si="35"/>
        <v>7</v>
      </c>
      <c r="C1112" s="63" t="s">
        <v>4311</v>
      </c>
      <c r="D1112" s="64" t="s">
        <v>4419</v>
      </c>
      <c r="E1112" s="336">
        <v>4</v>
      </c>
      <c r="F1112" s="336" t="s">
        <v>3324</v>
      </c>
      <c r="G1112" s="349">
        <v>45279</v>
      </c>
      <c r="H1112" s="65" t="s">
        <v>1083</v>
      </c>
      <c r="I1112" s="349" t="s">
        <v>1216</v>
      </c>
      <c r="J1112" s="336">
        <f>IFERROR(VLOOKUP(I1112,Jueces!$A$1:$B$11,2,FALSE),"")</f>
        <v>1</v>
      </c>
      <c r="K1112" s="63" t="s">
        <v>811</v>
      </c>
      <c r="L1112" s="63" t="s">
        <v>711</v>
      </c>
    </row>
    <row r="1113" spans="1:12" ht="30" customHeight="1">
      <c r="A1113" s="172" t="str">
        <f t="shared" si="34"/>
        <v>19/12/20238</v>
      </c>
      <c r="B1113" s="166">
        <f t="shared" si="35"/>
        <v>8</v>
      </c>
      <c r="C1113" s="63" t="s">
        <v>4433</v>
      </c>
      <c r="D1113" s="64" t="s">
        <v>4434</v>
      </c>
      <c r="E1113" s="336">
        <v>3</v>
      </c>
      <c r="F1113" s="63" t="s">
        <v>2752</v>
      </c>
      <c r="G1113" s="349">
        <v>45279</v>
      </c>
      <c r="H1113" s="65" t="s">
        <v>1083</v>
      </c>
      <c r="I1113" s="349" t="s">
        <v>1723</v>
      </c>
      <c r="J1113" s="63" t="s">
        <v>1982</v>
      </c>
      <c r="K1113" s="63" t="s">
        <v>812</v>
      </c>
      <c r="L1113" s="63" t="s">
        <v>3755</v>
      </c>
    </row>
    <row r="1114" spans="1:12" ht="30" customHeight="1">
      <c r="A1114" s="172" t="str">
        <f t="shared" si="34"/>
        <v>19/12/20239</v>
      </c>
      <c r="B1114" s="166">
        <f t="shared" si="35"/>
        <v>9</v>
      </c>
      <c r="C1114" s="63" t="s">
        <v>4495</v>
      </c>
      <c r="D1114" s="64" t="s">
        <v>4496</v>
      </c>
      <c r="E1114" s="336">
        <v>6</v>
      </c>
      <c r="F1114" s="63" t="s">
        <v>2815</v>
      </c>
      <c r="G1114" s="349">
        <v>45279</v>
      </c>
      <c r="H1114" s="65" t="s">
        <v>1083</v>
      </c>
      <c r="I1114" s="65" t="s">
        <v>78</v>
      </c>
      <c r="J1114" s="336">
        <f>IFERROR(VLOOKUP(I1114,Jueces!$A$1:$B$11,2,FALSE),"")</f>
        <v>8</v>
      </c>
      <c r="K1114" s="63" t="s">
        <v>807</v>
      </c>
      <c r="L1114" s="7" t="s">
        <v>2201</v>
      </c>
    </row>
    <row r="1115" spans="1:12" ht="30" customHeight="1">
      <c r="A1115" s="172" t="str">
        <f t="shared" si="34"/>
        <v>19/12/202310</v>
      </c>
      <c r="B1115" s="166">
        <f t="shared" si="35"/>
        <v>10</v>
      </c>
      <c r="C1115" s="63" t="s">
        <v>4507</v>
      </c>
      <c r="D1115" s="64" t="s">
        <v>4589</v>
      </c>
      <c r="E1115" s="336">
        <v>5</v>
      </c>
      <c r="F1115" s="63" t="s">
        <v>3323</v>
      </c>
      <c r="G1115" s="349">
        <v>45279</v>
      </c>
      <c r="H1115" s="65" t="s">
        <v>1083</v>
      </c>
      <c r="I1115" s="65" t="s">
        <v>33</v>
      </c>
      <c r="J1115" s="336">
        <v>4</v>
      </c>
      <c r="K1115" s="63" t="s">
        <v>791</v>
      </c>
      <c r="L1115" s="63" t="s">
        <v>2107</v>
      </c>
    </row>
    <row r="1116" spans="1:12" ht="30" customHeight="1">
      <c r="A1116" s="172" t="str">
        <f t="shared" si="34"/>
        <v>20/12/20231</v>
      </c>
      <c r="B1116" s="166">
        <f t="shared" si="35"/>
        <v>1</v>
      </c>
      <c r="C1116" s="325" t="s">
        <v>4440</v>
      </c>
      <c r="D1116" s="64" t="s">
        <v>4441</v>
      </c>
      <c r="E1116" s="336">
        <v>1</v>
      </c>
      <c r="F1116" s="63" t="s">
        <v>3324</v>
      </c>
      <c r="G1116" s="349">
        <v>45280</v>
      </c>
      <c r="H1116" s="65" t="s">
        <v>1083</v>
      </c>
      <c r="I1116" s="65" t="s">
        <v>31</v>
      </c>
      <c r="J1116" s="336">
        <f>IFERROR(VLOOKUP(I1116,Jueces!$A$1:$B$11,2,FALSE),"")</f>
        <v>2</v>
      </c>
      <c r="K1116" s="63" t="s">
        <v>569</v>
      </c>
      <c r="L1116" s="356" t="s">
        <v>4512</v>
      </c>
    </row>
    <row r="1117" spans="1:12" ht="30" customHeight="1">
      <c r="A1117" s="172" t="str">
        <f t="shared" si="34"/>
        <v>20/12/20232</v>
      </c>
      <c r="B1117" s="166">
        <f t="shared" si="35"/>
        <v>2</v>
      </c>
      <c r="C1117" s="336" t="s">
        <v>4215</v>
      </c>
      <c r="D1117" s="355" t="s">
        <v>4216</v>
      </c>
      <c r="E1117" s="336">
        <v>4</v>
      </c>
      <c r="F1117" s="336" t="s">
        <v>1434</v>
      </c>
      <c r="G1117" s="383">
        <v>45280</v>
      </c>
      <c r="H1117" s="65" t="s">
        <v>1083</v>
      </c>
      <c r="I1117" s="349" t="s">
        <v>2925</v>
      </c>
      <c r="J1117" s="63" t="s">
        <v>1321</v>
      </c>
      <c r="K1117" s="63" t="s">
        <v>569</v>
      </c>
      <c r="L1117" s="63" t="s">
        <v>4116</v>
      </c>
    </row>
    <row r="1118" spans="1:12" ht="30" customHeight="1">
      <c r="A1118" s="172" t="str">
        <f t="shared" si="34"/>
        <v>20/12/20233</v>
      </c>
      <c r="B1118" s="166">
        <f t="shared" si="35"/>
        <v>3</v>
      </c>
      <c r="C1118" s="63" t="s">
        <v>4212</v>
      </c>
      <c r="D1118" s="64" t="s">
        <v>4424</v>
      </c>
      <c r="E1118" s="336">
        <v>4</v>
      </c>
      <c r="F1118" s="63" t="s">
        <v>3791</v>
      </c>
      <c r="G1118" s="349">
        <v>45280</v>
      </c>
      <c r="H1118" s="65" t="s">
        <v>1206</v>
      </c>
      <c r="I1118" s="349" t="s">
        <v>1216</v>
      </c>
      <c r="J1118" s="63" t="s">
        <v>1916</v>
      </c>
      <c r="K1118" s="63" t="s">
        <v>808</v>
      </c>
      <c r="L1118" s="63" t="s">
        <v>2201</v>
      </c>
    </row>
    <row r="1119" spans="1:12" ht="30" customHeight="1">
      <c r="A1119" s="172" t="str">
        <f t="shared" si="34"/>
        <v>20/12/20234</v>
      </c>
      <c r="B1119" s="166">
        <f t="shared" si="35"/>
        <v>4</v>
      </c>
      <c r="C1119" s="63" t="s">
        <v>4447</v>
      </c>
      <c r="D1119" s="64" t="s">
        <v>4448</v>
      </c>
      <c r="E1119" s="336">
        <v>6</v>
      </c>
      <c r="F1119" s="63" t="s">
        <v>1433</v>
      </c>
      <c r="G1119" s="349">
        <v>45280</v>
      </c>
      <c r="H1119" s="65" t="s">
        <v>1206</v>
      </c>
      <c r="I1119" s="349" t="s">
        <v>78</v>
      </c>
      <c r="J1119" s="336">
        <f>IFERROR(VLOOKUP(I1119,Jueces!$A$1:$B$11,2,FALSE),"")</f>
        <v>8</v>
      </c>
      <c r="K1119" s="63" t="s">
        <v>811</v>
      </c>
      <c r="L1119" s="63" t="s">
        <v>1984</v>
      </c>
    </row>
    <row r="1120" spans="1:12" ht="30" customHeight="1">
      <c r="A1120" s="172" t="str">
        <f t="shared" si="34"/>
        <v>20/12/20235</v>
      </c>
      <c r="B1120" s="166">
        <f t="shared" si="35"/>
        <v>5</v>
      </c>
      <c r="C1120" s="336" t="s">
        <v>4312</v>
      </c>
      <c r="D1120" s="355" t="s">
        <v>4313</v>
      </c>
      <c r="E1120" s="336">
        <v>5</v>
      </c>
      <c r="F1120" s="63" t="s">
        <v>29</v>
      </c>
      <c r="G1120" s="383">
        <v>45280</v>
      </c>
      <c r="H1120" s="65" t="s">
        <v>1206</v>
      </c>
      <c r="I1120" s="65" t="s">
        <v>35</v>
      </c>
      <c r="J1120" s="63" t="s">
        <v>4604</v>
      </c>
      <c r="K1120" s="63" t="s">
        <v>812</v>
      </c>
      <c r="L1120" s="63" t="s">
        <v>1956</v>
      </c>
    </row>
    <row r="1121" spans="1:12" ht="30" customHeight="1">
      <c r="A1121" s="172" t="str">
        <f t="shared" si="34"/>
        <v>20/12/20236</v>
      </c>
      <c r="B1121" s="166">
        <f t="shared" si="35"/>
        <v>6</v>
      </c>
      <c r="C1121" s="63" t="s">
        <v>4497</v>
      </c>
      <c r="D1121" s="64" t="s">
        <v>4498</v>
      </c>
      <c r="E1121" s="336">
        <v>6</v>
      </c>
      <c r="F1121" s="336" t="s">
        <v>283</v>
      </c>
      <c r="G1121" s="349">
        <v>45280</v>
      </c>
      <c r="H1121" s="65" t="s">
        <v>3171</v>
      </c>
      <c r="I1121" s="349" t="s">
        <v>33</v>
      </c>
      <c r="J1121" s="336">
        <f>IFERROR(VLOOKUP(I1121,Jueces!$A$1:$B$11,2,FALSE),"")</f>
        <v>4</v>
      </c>
      <c r="K1121" s="63" t="s">
        <v>805</v>
      </c>
      <c r="L1121" s="63" t="s">
        <v>2201</v>
      </c>
    </row>
    <row r="1122" spans="1:12" ht="30" customHeight="1">
      <c r="A1122" s="172" t="str">
        <f t="shared" si="34"/>
        <v>21/12/20231</v>
      </c>
      <c r="B1122" s="166">
        <f t="shared" si="35"/>
        <v>1</v>
      </c>
      <c r="C1122" s="63" t="s">
        <v>4397</v>
      </c>
      <c r="D1122" s="64" t="s">
        <v>4398</v>
      </c>
      <c r="E1122" s="336">
        <v>5</v>
      </c>
      <c r="F1122" s="336" t="s">
        <v>1433</v>
      </c>
      <c r="G1122" s="349">
        <v>45281</v>
      </c>
      <c r="H1122" s="65" t="s">
        <v>73</v>
      </c>
      <c r="I1122" s="349" t="s">
        <v>2925</v>
      </c>
      <c r="J1122" s="63" t="s">
        <v>1341</v>
      </c>
      <c r="K1122" s="63" t="s">
        <v>808</v>
      </c>
      <c r="L1122" s="7" t="s">
        <v>3755</v>
      </c>
    </row>
    <row r="1123" spans="1:12" ht="30" customHeight="1">
      <c r="A1123" s="172" t="str">
        <f t="shared" si="34"/>
        <v>21/12/20232</v>
      </c>
      <c r="B1123" s="166">
        <f t="shared" si="35"/>
        <v>2</v>
      </c>
      <c r="C1123" s="63" t="s">
        <v>4457</v>
      </c>
      <c r="D1123" s="64" t="s">
        <v>4458</v>
      </c>
      <c r="E1123" s="336">
        <v>7</v>
      </c>
      <c r="F1123" s="336" t="s">
        <v>3791</v>
      </c>
      <c r="G1123" s="349">
        <v>45281</v>
      </c>
      <c r="H1123" s="65" t="s">
        <v>73</v>
      </c>
      <c r="I1123" s="349" t="s">
        <v>33</v>
      </c>
      <c r="J1123" s="336">
        <v>4</v>
      </c>
      <c r="K1123" s="63" t="s">
        <v>1067</v>
      </c>
      <c r="L1123" s="335" t="s">
        <v>2247</v>
      </c>
    </row>
    <row r="1124" spans="1:12" ht="30" customHeight="1">
      <c r="A1124" s="172" t="str">
        <f t="shared" si="34"/>
        <v>21/12/20233</v>
      </c>
      <c r="B1124" s="166">
        <f t="shared" si="35"/>
        <v>3</v>
      </c>
      <c r="C1124" s="63" t="s">
        <v>4459</v>
      </c>
      <c r="D1124" s="64" t="s">
        <v>4631</v>
      </c>
      <c r="E1124" s="336">
        <v>5</v>
      </c>
      <c r="F1124" s="336" t="s">
        <v>2766</v>
      </c>
      <c r="G1124" s="349">
        <v>45281</v>
      </c>
      <c r="H1124" s="65" t="s">
        <v>73</v>
      </c>
      <c r="I1124" s="349" t="s">
        <v>35</v>
      </c>
      <c r="J1124" s="336">
        <f>IFERROR(VLOOKUP(I1124,Jueces!$A$1:$B$11,2,FALSE),"")</f>
        <v>3</v>
      </c>
      <c r="K1124" s="63" t="s">
        <v>791</v>
      </c>
      <c r="L1124" s="356" t="s">
        <v>4460</v>
      </c>
    </row>
    <row r="1125" spans="1:12" ht="30" customHeight="1">
      <c r="A1125" s="172" t="str">
        <f t="shared" si="34"/>
        <v>21/12/20234</v>
      </c>
      <c r="B1125" s="166">
        <f t="shared" si="35"/>
        <v>4</v>
      </c>
      <c r="C1125" s="375" t="s">
        <v>3606</v>
      </c>
      <c r="D1125" s="64" t="s">
        <v>4548</v>
      </c>
      <c r="E1125" s="336">
        <v>3</v>
      </c>
      <c r="F1125" s="63" t="s">
        <v>283</v>
      </c>
      <c r="G1125" s="383">
        <v>45281</v>
      </c>
      <c r="H1125" s="65" t="s">
        <v>73</v>
      </c>
      <c r="I1125" s="349" t="s">
        <v>2922</v>
      </c>
      <c r="J1125" s="63" t="s">
        <v>1982</v>
      </c>
      <c r="K1125" s="63" t="s">
        <v>809</v>
      </c>
      <c r="L1125" s="63" t="s">
        <v>694</v>
      </c>
    </row>
    <row r="1126" spans="1:12" ht="30" customHeight="1">
      <c r="A1126" s="172" t="str">
        <f t="shared" si="34"/>
        <v>21/12/20235</v>
      </c>
      <c r="B1126" s="166">
        <f t="shared" si="35"/>
        <v>5</v>
      </c>
      <c r="C1126" s="63" t="s">
        <v>4610</v>
      </c>
      <c r="D1126" s="64" t="s">
        <v>4668</v>
      </c>
      <c r="E1126" s="336">
        <v>5</v>
      </c>
      <c r="F1126" s="63" t="s">
        <v>3323</v>
      </c>
      <c r="G1126" s="349">
        <v>45281</v>
      </c>
      <c r="H1126" s="65" t="s">
        <v>73</v>
      </c>
      <c r="I1126" s="65" t="s">
        <v>31</v>
      </c>
      <c r="J1126" s="336">
        <f>IFERROR(VLOOKUP(I1126,Jueces!$A$1:$B$11,2,FALSE),"")</f>
        <v>2</v>
      </c>
      <c r="K1126" s="63" t="s">
        <v>811</v>
      </c>
      <c r="L1126" s="335" t="s">
        <v>1281</v>
      </c>
    </row>
    <row r="1127" spans="1:12" ht="30" customHeight="1">
      <c r="A1127" s="172" t="str">
        <f t="shared" si="34"/>
        <v>21/12/20236</v>
      </c>
      <c r="B1127" s="166">
        <f t="shared" si="35"/>
        <v>6</v>
      </c>
      <c r="C1127" s="63" t="s">
        <v>4454</v>
      </c>
      <c r="D1127" s="64" t="s">
        <v>4455</v>
      </c>
      <c r="E1127" s="336">
        <v>7</v>
      </c>
      <c r="F1127" s="63" t="s">
        <v>3324</v>
      </c>
      <c r="G1127" s="349">
        <v>45281</v>
      </c>
      <c r="H1127" s="65" t="s">
        <v>1083</v>
      </c>
      <c r="I1127" s="349" t="s">
        <v>78</v>
      </c>
      <c r="J1127" s="336">
        <f>IFERROR(VLOOKUP(I1127,Jueces!$A$1:$B$11,2,FALSE),"")</f>
        <v>8</v>
      </c>
      <c r="K1127" s="63" t="s">
        <v>582</v>
      </c>
      <c r="L1127" s="335" t="s">
        <v>4456</v>
      </c>
    </row>
    <row r="1128" spans="1:12" ht="30" customHeight="1">
      <c r="A1128" s="172" t="str">
        <f t="shared" si="34"/>
        <v>21/12/20237</v>
      </c>
      <c r="B1128" s="166">
        <f t="shared" si="35"/>
        <v>7</v>
      </c>
      <c r="C1128" s="63" t="s">
        <v>4493</v>
      </c>
      <c r="D1128" s="64" t="s">
        <v>4494</v>
      </c>
      <c r="E1128" s="336">
        <v>6</v>
      </c>
      <c r="F1128" s="63" t="s">
        <v>2815</v>
      </c>
      <c r="G1128" s="349">
        <v>45281</v>
      </c>
      <c r="H1128" s="65" t="s">
        <v>1083</v>
      </c>
      <c r="I1128" s="349" t="s">
        <v>2925</v>
      </c>
      <c r="J1128" s="63" t="s">
        <v>1341</v>
      </c>
      <c r="K1128" s="63" t="s">
        <v>802</v>
      </c>
      <c r="L1128" s="63" t="s">
        <v>725</v>
      </c>
    </row>
    <row r="1129" spans="1:12" ht="30" customHeight="1">
      <c r="A1129" s="172" t="str">
        <f t="shared" si="34"/>
        <v>21/12/20238</v>
      </c>
      <c r="B1129" s="166">
        <f t="shared" si="35"/>
        <v>8</v>
      </c>
      <c r="C1129" s="63" t="s">
        <v>4513</v>
      </c>
      <c r="D1129" s="64" t="s">
        <v>4514</v>
      </c>
      <c r="E1129" s="336">
        <v>5</v>
      </c>
      <c r="F1129" s="63" t="s">
        <v>29</v>
      </c>
      <c r="G1129" s="349">
        <v>45281</v>
      </c>
      <c r="H1129" s="65" t="s">
        <v>547</v>
      </c>
      <c r="I1129" s="65" t="s">
        <v>35</v>
      </c>
      <c r="J1129" s="336">
        <f>IFERROR(VLOOKUP(I1129,Jueces!$A$1:$B$11,2,FALSE),"")</f>
        <v>3</v>
      </c>
      <c r="K1129" s="63" t="s">
        <v>805</v>
      </c>
      <c r="L1129" s="63" t="s">
        <v>2201</v>
      </c>
    </row>
    <row r="1130" spans="1:12" ht="30" customHeight="1">
      <c r="A1130" s="172" t="str">
        <f t="shared" si="34"/>
        <v>22/12/20231</v>
      </c>
      <c r="B1130" s="166">
        <f t="shared" si="35"/>
        <v>1</v>
      </c>
      <c r="C1130" s="63" t="s">
        <v>4540</v>
      </c>
      <c r="D1130" s="64" t="s">
        <v>4546</v>
      </c>
      <c r="E1130" s="336">
        <v>5</v>
      </c>
      <c r="F1130" s="63" t="s">
        <v>2752</v>
      </c>
      <c r="G1130" s="349">
        <v>45282</v>
      </c>
      <c r="H1130" s="65" t="s">
        <v>73</v>
      </c>
      <c r="I1130" s="65" t="s">
        <v>33</v>
      </c>
      <c r="J1130" s="336">
        <f>IFERROR(VLOOKUP(I1130,Jueces!$A$1:$B$11,2,FALSE),"")</f>
        <v>4</v>
      </c>
      <c r="K1130" s="63" t="s">
        <v>807</v>
      </c>
      <c r="L1130" s="63" t="s">
        <v>2201</v>
      </c>
    </row>
    <row r="1131" spans="1:12" ht="30" customHeight="1">
      <c r="A1131" s="172" t="str">
        <f t="shared" si="34"/>
        <v>22/12/20232</v>
      </c>
      <c r="B1131" s="166">
        <f t="shared" si="35"/>
        <v>2</v>
      </c>
      <c r="C1131" s="63" t="s">
        <v>4542</v>
      </c>
      <c r="D1131" s="64" t="s">
        <v>4740</v>
      </c>
      <c r="E1131" s="336">
        <v>5</v>
      </c>
      <c r="F1131" s="63" t="s">
        <v>29</v>
      </c>
      <c r="G1131" s="349">
        <v>45282</v>
      </c>
      <c r="H1131" s="65" t="s">
        <v>73</v>
      </c>
      <c r="I1131" s="65" t="s">
        <v>78</v>
      </c>
      <c r="J1131" s="336">
        <f>IFERROR(VLOOKUP(I1131,Jueces!$A$1:$B$11,2,FALSE),"")</f>
        <v>8</v>
      </c>
      <c r="K1131" s="63" t="s">
        <v>791</v>
      </c>
      <c r="L1131" s="63" t="s">
        <v>1956</v>
      </c>
    </row>
    <row r="1132" spans="1:12" ht="30" customHeight="1">
      <c r="A1132" s="172" t="str">
        <f t="shared" si="34"/>
        <v>22/12/20233</v>
      </c>
      <c r="B1132" s="166">
        <f t="shared" si="35"/>
        <v>3</v>
      </c>
      <c r="C1132" s="63" t="s">
        <v>4549</v>
      </c>
      <c r="D1132" s="64" t="s">
        <v>4550</v>
      </c>
      <c r="E1132" s="336">
        <v>5</v>
      </c>
      <c r="F1132" s="63" t="s">
        <v>283</v>
      </c>
      <c r="G1132" s="349">
        <v>45282</v>
      </c>
      <c r="H1132" s="65" t="s">
        <v>73</v>
      </c>
      <c r="I1132" s="65" t="s">
        <v>35</v>
      </c>
      <c r="J1132" s="336">
        <f>IFERROR(VLOOKUP(I1132,Jueces!$A$1:$B$11,2,FALSE),"")</f>
        <v>3</v>
      </c>
      <c r="K1132" s="63" t="s">
        <v>2077</v>
      </c>
      <c r="L1132" s="335" t="s">
        <v>2247</v>
      </c>
    </row>
    <row r="1133" spans="1:12" ht="30" customHeight="1">
      <c r="A1133" s="172" t="str">
        <f t="shared" si="34"/>
        <v>22/12/20234</v>
      </c>
      <c r="B1133" s="166">
        <f t="shared" si="35"/>
        <v>4</v>
      </c>
      <c r="C1133" s="63" t="s">
        <v>4555</v>
      </c>
      <c r="D1133" s="64" t="s">
        <v>4556</v>
      </c>
      <c r="E1133" s="336">
        <v>6</v>
      </c>
      <c r="F1133" s="63" t="s">
        <v>1434</v>
      </c>
      <c r="G1133" s="349">
        <v>45282</v>
      </c>
      <c r="H1133" s="65" t="s">
        <v>749</v>
      </c>
      <c r="I1133" s="349" t="s">
        <v>1221</v>
      </c>
      <c r="J1133" s="63">
        <v>6</v>
      </c>
      <c r="K1133" s="63" t="s">
        <v>805</v>
      </c>
      <c r="L1133" s="63" t="s">
        <v>725</v>
      </c>
    </row>
    <row r="1134" spans="1:12" ht="30" customHeight="1">
      <c r="A1134" s="172" t="str">
        <f t="shared" si="34"/>
        <v>22/12/20235</v>
      </c>
      <c r="B1134" s="166">
        <f t="shared" si="35"/>
        <v>5</v>
      </c>
      <c r="C1134" s="63" t="s">
        <v>4505</v>
      </c>
      <c r="D1134" s="64" t="s">
        <v>4506</v>
      </c>
      <c r="E1134" s="336">
        <v>2</v>
      </c>
      <c r="F1134" s="63" t="s">
        <v>3324</v>
      </c>
      <c r="G1134" s="349">
        <v>45282</v>
      </c>
      <c r="H1134" s="65" t="s">
        <v>1083</v>
      </c>
      <c r="I1134" s="65" t="s">
        <v>78</v>
      </c>
      <c r="J1134" s="336">
        <f>IFERROR(VLOOKUP(I1134,Jueces!$A$1:$B$11,2,FALSE),"")</f>
        <v>8</v>
      </c>
      <c r="K1134" s="63" t="s">
        <v>800</v>
      </c>
      <c r="L1134" s="356" t="s">
        <v>4515</v>
      </c>
    </row>
    <row r="1135" spans="1:12" ht="30" customHeight="1">
      <c r="A1135" s="172" t="str">
        <f t="shared" si="34"/>
        <v>22/12/20236</v>
      </c>
      <c r="B1135" s="166">
        <f t="shared" si="35"/>
        <v>6</v>
      </c>
      <c r="C1135" s="63" t="s">
        <v>4541</v>
      </c>
      <c r="D1135" s="64" t="s">
        <v>4547</v>
      </c>
      <c r="E1135" s="336">
        <v>6</v>
      </c>
      <c r="F1135" s="63" t="s">
        <v>2815</v>
      </c>
      <c r="G1135" s="349">
        <v>45282</v>
      </c>
      <c r="H1135" s="65" t="s">
        <v>1083</v>
      </c>
      <c r="I1135" s="65" t="s">
        <v>1216</v>
      </c>
      <c r="J1135" s="336">
        <f>IFERROR(VLOOKUP(I1135,Jueces!$A$1:$B$11,2,FALSE),"")</f>
        <v>1</v>
      </c>
      <c r="K1135" s="63" t="s">
        <v>798</v>
      </c>
      <c r="L1135" s="63" t="s">
        <v>2201</v>
      </c>
    </row>
    <row r="1136" spans="1:12" ht="30" customHeight="1">
      <c r="A1136" s="172" t="str">
        <f t="shared" si="34"/>
        <v>22/12/20237</v>
      </c>
      <c r="B1136" s="166">
        <f t="shared" si="35"/>
        <v>7</v>
      </c>
      <c r="C1136" s="63" t="s">
        <v>4559</v>
      </c>
      <c r="D1136" s="64" t="s">
        <v>4554</v>
      </c>
      <c r="E1136" s="336">
        <v>6</v>
      </c>
      <c r="F1136" s="63" t="s">
        <v>1433</v>
      </c>
      <c r="G1136" s="349">
        <v>45282</v>
      </c>
      <c r="H1136" s="65" t="s">
        <v>1083</v>
      </c>
      <c r="I1136" s="65" t="s">
        <v>33</v>
      </c>
      <c r="J1136" s="336">
        <f>IFERROR(VLOOKUP(I1136,Jueces!$A$1:$B$11,2,FALSE),"")</f>
        <v>4</v>
      </c>
      <c r="K1136" s="63" t="s">
        <v>789</v>
      </c>
      <c r="L1136" s="63" t="s">
        <v>725</v>
      </c>
    </row>
    <row r="1137" spans="1:12" ht="30" customHeight="1">
      <c r="A1137" s="172" t="str">
        <f t="shared" si="34"/>
        <v>22/12/20238</v>
      </c>
      <c r="B1137" s="166">
        <f t="shared" si="35"/>
        <v>8</v>
      </c>
      <c r="C1137" s="63" t="s">
        <v>4438</v>
      </c>
      <c r="D1137" s="64" t="s">
        <v>4439</v>
      </c>
      <c r="E1137" s="336">
        <v>5</v>
      </c>
      <c r="F1137" s="336" t="s">
        <v>3323</v>
      </c>
      <c r="G1137" s="349">
        <v>45282</v>
      </c>
      <c r="H1137" s="65" t="s">
        <v>1206</v>
      </c>
      <c r="I1137" s="349" t="s">
        <v>35</v>
      </c>
      <c r="J1137" s="336">
        <f>IFERROR(VLOOKUP(I1137,Jueces!$A$1:$B$11,2,FALSE),"")</f>
        <v>3</v>
      </c>
      <c r="K1137" s="63" t="s">
        <v>799</v>
      </c>
      <c r="L1137" s="335" t="s">
        <v>3209</v>
      </c>
    </row>
    <row r="1138" spans="1:12" ht="30" customHeight="1">
      <c r="A1138" s="172" t="str">
        <f t="shared" si="34"/>
        <v>22/12/20239</v>
      </c>
      <c r="B1138" s="166">
        <f t="shared" si="35"/>
        <v>9</v>
      </c>
      <c r="C1138" s="336" t="s">
        <v>2901</v>
      </c>
      <c r="D1138" s="355" t="s">
        <v>4377</v>
      </c>
      <c r="E1138" s="336">
        <v>1</v>
      </c>
      <c r="F1138" s="336" t="s">
        <v>43</v>
      </c>
      <c r="G1138" s="383">
        <v>45282</v>
      </c>
      <c r="H1138" s="65" t="s">
        <v>1206</v>
      </c>
      <c r="I1138" s="65" t="s">
        <v>1216</v>
      </c>
      <c r="J1138" s="63" t="s">
        <v>4057</v>
      </c>
      <c r="K1138" s="63" t="s">
        <v>582</v>
      </c>
      <c r="L1138" s="63" t="s">
        <v>711</v>
      </c>
    </row>
    <row r="1139" spans="1:12" ht="30" customHeight="1">
      <c r="A1139" s="172" t="str">
        <f t="shared" si="34"/>
        <v>22/12/202310</v>
      </c>
      <c r="B1139" s="166">
        <f t="shared" si="35"/>
        <v>10</v>
      </c>
      <c r="C1139" s="336" t="s">
        <v>3954</v>
      </c>
      <c r="D1139" s="355" t="s">
        <v>3973</v>
      </c>
      <c r="E1139" s="336">
        <v>3</v>
      </c>
      <c r="F1139" s="336" t="s">
        <v>2766</v>
      </c>
      <c r="G1139" s="383">
        <v>45282</v>
      </c>
      <c r="H1139" s="65" t="s">
        <v>77</v>
      </c>
      <c r="I1139" s="349" t="s">
        <v>1216</v>
      </c>
      <c r="J1139" s="63" t="s">
        <v>4851</v>
      </c>
      <c r="K1139" s="63" t="s">
        <v>811</v>
      </c>
      <c r="L1139" s="63" t="s">
        <v>695</v>
      </c>
    </row>
    <row r="1140" spans="1:12" ht="30" customHeight="1">
      <c r="A1140" s="172" t="str">
        <f t="shared" si="34"/>
        <v>26/12/20231</v>
      </c>
      <c r="B1140" s="166">
        <f t="shared" si="35"/>
        <v>1</v>
      </c>
      <c r="C1140" s="63" t="s">
        <v>4405</v>
      </c>
      <c r="D1140" s="64" t="s">
        <v>4406</v>
      </c>
      <c r="E1140" s="336">
        <v>4</v>
      </c>
      <c r="F1140" s="336" t="s">
        <v>3791</v>
      </c>
      <c r="G1140" s="349">
        <v>45286</v>
      </c>
      <c r="H1140" s="65" t="s">
        <v>73</v>
      </c>
      <c r="I1140" s="349" t="s">
        <v>33</v>
      </c>
      <c r="J1140" s="336">
        <f>IFERROR(VLOOKUP(I1140,Jueces!$A$1:$B$11,2,FALSE),"")</f>
        <v>4</v>
      </c>
      <c r="K1140" s="63" t="s">
        <v>2077</v>
      </c>
      <c r="L1140" s="63" t="s">
        <v>4966</v>
      </c>
    </row>
    <row r="1141" spans="1:12" ht="30" customHeight="1">
      <c r="A1141" s="172" t="str">
        <f t="shared" si="34"/>
        <v>26/12/20232</v>
      </c>
      <c r="B1141" s="166">
        <f t="shared" si="35"/>
        <v>2</v>
      </c>
      <c r="C1141" s="63" t="s">
        <v>4452</v>
      </c>
      <c r="D1141" s="64" t="s">
        <v>4453</v>
      </c>
      <c r="E1141" s="336">
        <v>5</v>
      </c>
      <c r="F1141" s="336" t="s">
        <v>29</v>
      </c>
      <c r="G1141" s="349">
        <v>45286</v>
      </c>
      <c r="H1141" s="65" t="s">
        <v>73</v>
      </c>
      <c r="I1141" s="349" t="s">
        <v>78</v>
      </c>
      <c r="J1141" s="336">
        <f>IFERROR(VLOOKUP(I1141,Jueces!$A$1:$B$11,2,FALSE),"")</f>
        <v>8</v>
      </c>
      <c r="K1141" s="63" t="s">
        <v>808</v>
      </c>
      <c r="L1141" s="63" t="s">
        <v>2353</v>
      </c>
    </row>
    <row r="1142" spans="1:12" ht="30" customHeight="1">
      <c r="A1142" s="172" t="str">
        <f t="shared" si="34"/>
        <v>26/12/20233</v>
      </c>
      <c r="B1142" s="166">
        <f t="shared" si="35"/>
        <v>3</v>
      </c>
      <c r="C1142" s="63" t="s">
        <v>4508</v>
      </c>
      <c r="D1142" s="64" t="s">
        <v>4586</v>
      </c>
      <c r="E1142" s="336">
        <v>5</v>
      </c>
      <c r="F1142" s="336" t="s">
        <v>3324</v>
      </c>
      <c r="G1142" s="349">
        <v>45286</v>
      </c>
      <c r="H1142" s="65" t="s">
        <v>73</v>
      </c>
      <c r="I1142" s="349" t="s">
        <v>31</v>
      </c>
      <c r="J1142" s="336">
        <f>IFERROR(VLOOKUP(I1142,Jueces!$A$1:$B$11,2,FALSE),"")</f>
        <v>2</v>
      </c>
      <c r="K1142" s="63" t="s">
        <v>806</v>
      </c>
      <c r="L1142" s="335" t="s">
        <v>1639</v>
      </c>
    </row>
    <row r="1143" spans="1:12" ht="30" customHeight="1">
      <c r="A1143" s="172" t="str">
        <f t="shared" si="34"/>
        <v>26/12/20234</v>
      </c>
      <c r="B1143" s="166">
        <f t="shared" si="35"/>
        <v>4</v>
      </c>
      <c r="C1143" s="63" t="s">
        <v>4538</v>
      </c>
      <c r="D1143" s="64" t="s">
        <v>4539</v>
      </c>
      <c r="E1143" s="336">
        <v>4</v>
      </c>
      <c r="F1143" s="63" t="s">
        <v>3323</v>
      </c>
      <c r="G1143" s="349">
        <v>45286</v>
      </c>
      <c r="H1143" s="65" t="s">
        <v>73</v>
      </c>
      <c r="I1143" s="349" t="s">
        <v>35</v>
      </c>
      <c r="J1143" s="336">
        <f>IFERROR(VLOOKUP(I1143,Jueces!$A$1:$B$11,2,FALSE),"")</f>
        <v>3</v>
      </c>
      <c r="K1143" s="63" t="s">
        <v>805</v>
      </c>
      <c r="L1143" s="63" t="s">
        <v>2549</v>
      </c>
    </row>
    <row r="1144" spans="1:12" ht="30" customHeight="1">
      <c r="A1144" s="172" t="str">
        <f t="shared" si="34"/>
        <v>26/12/20235</v>
      </c>
      <c r="B1144" s="166">
        <f t="shared" si="35"/>
        <v>5</v>
      </c>
      <c r="C1144" s="63" t="s">
        <v>4402</v>
      </c>
      <c r="D1144" s="64" t="s">
        <v>4403</v>
      </c>
      <c r="E1144" s="336">
        <v>5</v>
      </c>
      <c r="F1144" s="63" t="s">
        <v>1433</v>
      </c>
      <c r="G1144" s="349">
        <v>45286</v>
      </c>
      <c r="H1144" s="65" t="s">
        <v>1083</v>
      </c>
      <c r="I1144" s="65" t="s">
        <v>31</v>
      </c>
      <c r="J1144" s="336">
        <f>IFERROR(VLOOKUP(I1144,Jueces!$A$1:$B$11,2,FALSE),"")</f>
        <v>2</v>
      </c>
      <c r="K1144" s="63" t="s">
        <v>2077</v>
      </c>
      <c r="L1144" s="7" t="s">
        <v>2107</v>
      </c>
    </row>
    <row r="1145" spans="1:12" ht="30" customHeight="1">
      <c r="A1145" s="172" t="str">
        <f t="shared" si="34"/>
        <v>26/12/20236</v>
      </c>
      <c r="B1145" s="166">
        <f t="shared" si="35"/>
        <v>6</v>
      </c>
      <c r="C1145" s="63" t="s">
        <v>4509</v>
      </c>
      <c r="D1145" s="64" t="s">
        <v>4510</v>
      </c>
      <c r="E1145" s="336">
        <v>5</v>
      </c>
      <c r="F1145" s="336" t="s">
        <v>2752</v>
      </c>
      <c r="G1145" s="349">
        <v>45286</v>
      </c>
      <c r="H1145" s="65" t="s">
        <v>1083</v>
      </c>
      <c r="I1145" s="349" t="s">
        <v>78</v>
      </c>
      <c r="J1145" s="336">
        <f>IFERROR(VLOOKUP(I1145,Jueces!$A$1:$B$11,2,FALSE),"")</f>
        <v>8</v>
      </c>
      <c r="K1145" s="63" t="s">
        <v>802</v>
      </c>
      <c r="L1145" s="63" t="s">
        <v>4972</v>
      </c>
    </row>
    <row r="1146" spans="1:12" ht="30" customHeight="1">
      <c r="A1146" s="172" t="str">
        <f t="shared" si="34"/>
        <v>26/12/20237</v>
      </c>
      <c r="B1146" s="166">
        <f t="shared" si="35"/>
        <v>7</v>
      </c>
      <c r="C1146" s="336" t="s">
        <v>3945</v>
      </c>
      <c r="D1146" s="355" t="s">
        <v>3946</v>
      </c>
      <c r="E1146" s="336">
        <v>2</v>
      </c>
      <c r="F1146" s="336" t="s">
        <v>568</v>
      </c>
      <c r="G1146" s="383">
        <v>45286</v>
      </c>
      <c r="H1146" s="65" t="s">
        <v>1083</v>
      </c>
      <c r="I1146" s="349" t="s">
        <v>35</v>
      </c>
      <c r="J1146" s="336">
        <f>IFERROR(VLOOKUP(I1146,Jueces!$A$1:$B$11,2,FALSE),"")</f>
        <v>3</v>
      </c>
      <c r="K1146" s="63" t="s">
        <v>2092</v>
      </c>
      <c r="L1146" s="63" t="s">
        <v>3977</v>
      </c>
    </row>
    <row r="1147" spans="1:12" ht="30" customHeight="1">
      <c r="A1147" s="172" t="str">
        <f t="shared" si="34"/>
        <v>26/12/20238</v>
      </c>
      <c r="B1147" s="166">
        <f t="shared" si="35"/>
        <v>8</v>
      </c>
      <c r="C1147" s="325" t="s">
        <v>4597</v>
      </c>
      <c r="D1147" s="64" t="s">
        <v>4598</v>
      </c>
      <c r="E1147" s="336">
        <v>6</v>
      </c>
      <c r="F1147" s="336" t="s">
        <v>2815</v>
      </c>
      <c r="G1147" s="349">
        <v>45286</v>
      </c>
      <c r="H1147" s="65" t="s">
        <v>1083</v>
      </c>
      <c r="I1147" s="65" t="s">
        <v>1216</v>
      </c>
      <c r="J1147" s="336">
        <v>7</v>
      </c>
      <c r="K1147" s="63" t="s">
        <v>2076</v>
      </c>
      <c r="L1147" s="335" t="s">
        <v>4621</v>
      </c>
    </row>
    <row r="1148" spans="1:12" ht="30" customHeight="1">
      <c r="A1148" s="172" t="str">
        <f t="shared" si="34"/>
        <v>26/12/20239</v>
      </c>
      <c r="B1148" s="166">
        <f t="shared" si="35"/>
        <v>9</v>
      </c>
      <c r="C1148" s="336" t="s">
        <v>4135</v>
      </c>
      <c r="D1148" s="355" t="s">
        <v>4136</v>
      </c>
      <c r="E1148" s="336">
        <v>4</v>
      </c>
      <c r="F1148" s="336" t="s">
        <v>1435</v>
      </c>
      <c r="G1148" s="383">
        <v>45286</v>
      </c>
      <c r="H1148" s="65" t="s">
        <v>1442</v>
      </c>
      <c r="I1148" s="349" t="s">
        <v>33</v>
      </c>
      <c r="J1148" s="336">
        <f>IFERROR(VLOOKUP(I1148,Jueces!$A$1:$B$11,2,FALSE),"")</f>
        <v>4</v>
      </c>
      <c r="K1148" s="63" t="s">
        <v>2092</v>
      </c>
      <c r="L1148" s="63" t="s">
        <v>4674</v>
      </c>
    </row>
    <row r="1149" spans="1:12" ht="30" customHeight="1">
      <c r="A1149" s="172" t="str">
        <f t="shared" si="34"/>
        <v>27/12/20231</v>
      </c>
      <c r="B1149" s="166">
        <f t="shared" si="35"/>
        <v>1</v>
      </c>
      <c r="C1149" s="63" t="s">
        <v>4516</v>
      </c>
      <c r="D1149" s="64" t="s">
        <v>4517</v>
      </c>
      <c r="E1149" s="336">
        <v>6</v>
      </c>
      <c r="F1149" s="63" t="s">
        <v>1433</v>
      </c>
      <c r="G1149" s="349">
        <v>45287</v>
      </c>
      <c r="H1149" s="65" t="s">
        <v>73</v>
      </c>
      <c r="I1149" s="65" t="s">
        <v>35</v>
      </c>
      <c r="J1149" s="336">
        <f>IFERROR(VLOOKUP(I1149,Jueces!$A$1:$B$11,2,FALSE),"")</f>
        <v>3</v>
      </c>
      <c r="K1149" s="63" t="s">
        <v>2092</v>
      </c>
      <c r="L1149" s="389" t="s">
        <v>2124</v>
      </c>
    </row>
    <row r="1150" spans="1:12" ht="30" customHeight="1">
      <c r="A1150" s="172" t="str">
        <f t="shared" si="34"/>
        <v>27/12/20232</v>
      </c>
      <c r="B1150" s="166">
        <f t="shared" si="35"/>
        <v>2</v>
      </c>
      <c r="C1150" s="63" t="s">
        <v>4599</v>
      </c>
      <c r="D1150" s="64" t="s">
        <v>4600</v>
      </c>
      <c r="E1150" s="336">
        <v>6</v>
      </c>
      <c r="F1150" s="336" t="s">
        <v>3791</v>
      </c>
      <c r="G1150" s="349">
        <v>45287</v>
      </c>
      <c r="H1150" s="65" t="s">
        <v>73</v>
      </c>
      <c r="I1150" s="349" t="s">
        <v>31</v>
      </c>
      <c r="J1150" s="336">
        <v>2</v>
      </c>
      <c r="K1150" s="63" t="s">
        <v>798</v>
      </c>
      <c r="L1150" s="63" t="s">
        <v>725</v>
      </c>
    </row>
    <row r="1151" spans="1:12" ht="30" customHeight="1">
      <c r="A1151" s="172" t="str">
        <f t="shared" si="34"/>
        <v>27/12/20233</v>
      </c>
      <c r="B1151" s="166">
        <f t="shared" si="35"/>
        <v>3</v>
      </c>
      <c r="C1151" s="336" t="s">
        <v>4188</v>
      </c>
      <c r="D1151" s="64" t="s">
        <v>4699</v>
      </c>
      <c r="E1151" s="336">
        <v>3</v>
      </c>
      <c r="F1151" s="336" t="s">
        <v>1435</v>
      </c>
      <c r="G1151" s="383">
        <v>45287</v>
      </c>
      <c r="H1151" s="65" t="s">
        <v>73</v>
      </c>
      <c r="I1151" s="349" t="s">
        <v>33</v>
      </c>
      <c r="J1151" s="336">
        <f>IFERROR(VLOOKUP(I1151,Jueces!$A$1:$B$11,2,FALSE),"")</f>
        <v>4</v>
      </c>
      <c r="K1151" s="63" t="s">
        <v>688</v>
      </c>
      <c r="L1151" s="63" t="s">
        <v>723</v>
      </c>
    </row>
    <row r="1152" spans="1:12" ht="30" customHeight="1">
      <c r="A1152" s="172" t="str">
        <f t="shared" si="34"/>
        <v>27/12/20234</v>
      </c>
      <c r="B1152" s="166">
        <f t="shared" si="35"/>
        <v>4</v>
      </c>
      <c r="C1152" s="63" t="s">
        <v>3106</v>
      </c>
      <c r="D1152" s="64" t="s">
        <v>3107</v>
      </c>
      <c r="E1152" s="63">
        <v>1</v>
      </c>
      <c r="F1152" s="63" t="s">
        <v>43</v>
      </c>
      <c r="G1152" s="65">
        <v>45287</v>
      </c>
      <c r="H1152" s="65" t="s">
        <v>73</v>
      </c>
      <c r="I1152" s="65" t="s">
        <v>1216</v>
      </c>
      <c r="J1152" s="63">
        <v>1</v>
      </c>
      <c r="K1152" s="63" t="s">
        <v>810</v>
      </c>
      <c r="L1152" s="63" t="s">
        <v>712</v>
      </c>
    </row>
    <row r="1153" spans="1:12" ht="30" customHeight="1">
      <c r="A1153" s="172" t="str">
        <f t="shared" si="34"/>
        <v>27/12/20235</v>
      </c>
      <c r="B1153" s="166">
        <f t="shared" si="35"/>
        <v>5</v>
      </c>
      <c r="C1153" s="336" t="s">
        <v>3690</v>
      </c>
      <c r="D1153" s="355" t="s">
        <v>3691</v>
      </c>
      <c r="E1153" s="336">
        <v>3</v>
      </c>
      <c r="F1153" s="336" t="s">
        <v>3323</v>
      </c>
      <c r="G1153" s="383">
        <v>45287</v>
      </c>
      <c r="H1153" s="65" t="s">
        <v>749</v>
      </c>
      <c r="I1153" s="349" t="s">
        <v>1221</v>
      </c>
      <c r="J1153" s="336">
        <f>IFERROR(VLOOKUP(I1153,Jueces!$A$1:$B$11,2,FALSE),"")</f>
        <v>6</v>
      </c>
      <c r="K1153" s="63" t="s">
        <v>1647</v>
      </c>
      <c r="L1153" s="63" t="s">
        <v>3725</v>
      </c>
    </row>
    <row r="1154" spans="1:12" ht="30" customHeight="1">
      <c r="A1154" s="172" t="str">
        <f t="shared" si="34"/>
        <v>27/12/20236</v>
      </c>
      <c r="B1154" s="166">
        <f t="shared" si="35"/>
        <v>6</v>
      </c>
      <c r="C1154" s="63" t="s">
        <v>4552</v>
      </c>
      <c r="D1154" s="64" t="s">
        <v>4553</v>
      </c>
      <c r="E1154" s="336">
        <v>5</v>
      </c>
      <c r="F1154" s="63" t="s">
        <v>3324</v>
      </c>
      <c r="G1154" s="349">
        <v>45287</v>
      </c>
      <c r="H1154" s="65" t="s">
        <v>1083</v>
      </c>
      <c r="I1154" s="65" t="s">
        <v>78</v>
      </c>
      <c r="J1154" s="336">
        <f>IFERROR(VLOOKUP(I1154,Jueces!$A$1:$B$11,2,FALSE),"")</f>
        <v>8</v>
      </c>
      <c r="K1154" s="63" t="s">
        <v>808</v>
      </c>
      <c r="L1154" s="63" t="s">
        <v>2107</v>
      </c>
    </row>
    <row r="1155" spans="1:12" ht="30" customHeight="1">
      <c r="A1155" s="172" t="str">
        <f t="shared" ref="A1155:A1218" si="36">CONCATENATE(TEXT($G1155,"dd/mm/yyyy"),$B1155)</f>
        <v>27/12/20237</v>
      </c>
      <c r="B1155" s="166">
        <f t="shared" si="35"/>
        <v>7</v>
      </c>
      <c r="C1155" s="63" t="s">
        <v>4593</v>
      </c>
      <c r="D1155" s="64" t="s">
        <v>4594</v>
      </c>
      <c r="E1155" s="336">
        <v>6</v>
      </c>
      <c r="F1155" s="336" t="s">
        <v>568</v>
      </c>
      <c r="G1155" s="349">
        <v>45287</v>
      </c>
      <c r="H1155" s="65" t="s">
        <v>1083</v>
      </c>
      <c r="I1155" s="349" t="s">
        <v>1216</v>
      </c>
      <c r="J1155" s="336">
        <f>IFERROR(VLOOKUP(I1155,Jueces!$A$1:$B$11,2,FALSE),"")</f>
        <v>1</v>
      </c>
      <c r="K1155" s="63" t="s">
        <v>809</v>
      </c>
      <c r="L1155" s="63" t="s">
        <v>725</v>
      </c>
    </row>
    <row r="1156" spans="1:12" ht="30" customHeight="1">
      <c r="A1156" s="172" t="str">
        <f t="shared" si="36"/>
        <v>27/12/20238</v>
      </c>
      <c r="B1156" s="166">
        <f t="shared" ref="B1156:B1219" si="37">IF($G1156=$G1155,$B1155+1,1)</f>
        <v>8</v>
      </c>
      <c r="C1156" s="63">
        <v>187666</v>
      </c>
      <c r="D1156" s="64" t="s">
        <v>4551</v>
      </c>
      <c r="E1156" s="336">
        <v>5</v>
      </c>
      <c r="F1156" s="336" t="s">
        <v>2766</v>
      </c>
      <c r="G1156" s="349">
        <v>45287</v>
      </c>
      <c r="H1156" s="65" t="s">
        <v>1206</v>
      </c>
      <c r="I1156" s="349" t="s">
        <v>1216</v>
      </c>
      <c r="J1156" s="336">
        <f>IFERROR(VLOOKUP(I1156,Jueces!$A$1:$B$11,2,FALSE),"")</f>
        <v>1</v>
      </c>
      <c r="K1156" s="63" t="s">
        <v>508</v>
      </c>
      <c r="L1156" s="335" t="s">
        <v>1426</v>
      </c>
    </row>
    <row r="1157" spans="1:12" ht="30" customHeight="1">
      <c r="A1157" s="172" t="str">
        <f t="shared" si="36"/>
        <v>27/12/20239</v>
      </c>
      <c r="B1157" s="166">
        <f t="shared" si="37"/>
        <v>9</v>
      </c>
      <c r="C1157" s="63" t="s">
        <v>4601</v>
      </c>
      <c r="D1157" s="64" t="s">
        <v>4602</v>
      </c>
      <c r="E1157" s="336">
        <v>6</v>
      </c>
      <c r="F1157" s="336" t="s">
        <v>2752</v>
      </c>
      <c r="G1157" s="349">
        <v>45287</v>
      </c>
      <c r="H1157" s="65" t="s">
        <v>1206</v>
      </c>
      <c r="I1157" s="349" t="s">
        <v>33</v>
      </c>
      <c r="J1157" s="336">
        <v>4</v>
      </c>
      <c r="K1157" s="63" t="s">
        <v>811</v>
      </c>
      <c r="L1157" s="63" t="s">
        <v>725</v>
      </c>
    </row>
    <row r="1158" spans="1:12" ht="30" customHeight="1">
      <c r="A1158" s="172" t="str">
        <f t="shared" si="36"/>
        <v>27/12/202310</v>
      </c>
      <c r="B1158" s="166">
        <f t="shared" si="37"/>
        <v>10</v>
      </c>
      <c r="C1158" s="336" t="s">
        <v>4194</v>
      </c>
      <c r="D1158" s="355" t="s">
        <v>4543</v>
      </c>
      <c r="E1158" s="336">
        <v>4</v>
      </c>
      <c r="F1158" s="63" t="s">
        <v>2815</v>
      </c>
      <c r="G1158" s="383">
        <v>45287</v>
      </c>
      <c r="H1158" s="65" t="s">
        <v>77</v>
      </c>
      <c r="I1158" s="65" t="s">
        <v>31</v>
      </c>
      <c r="J1158" s="336">
        <f>IFERROR(VLOOKUP(I1158,Jueces!$A$1:$B$11,2,FALSE),"")</f>
        <v>2</v>
      </c>
      <c r="K1158" s="63" t="s">
        <v>806</v>
      </c>
      <c r="L1158" s="63" t="s">
        <v>1866</v>
      </c>
    </row>
    <row r="1159" spans="1:12" ht="30" customHeight="1">
      <c r="A1159" s="172" t="str">
        <f t="shared" si="36"/>
        <v>28/12/20231</v>
      </c>
      <c r="B1159" s="166">
        <f t="shared" si="37"/>
        <v>1</v>
      </c>
      <c r="C1159" s="63" t="s">
        <v>4564</v>
      </c>
      <c r="D1159" s="64" t="s">
        <v>4565</v>
      </c>
      <c r="E1159" s="336">
        <v>5</v>
      </c>
      <c r="F1159" s="336" t="s">
        <v>3791</v>
      </c>
      <c r="G1159" s="349">
        <v>45288</v>
      </c>
      <c r="H1159" s="65" t="s">
        <v>73</v>
      </c>
      <c r="I1159" s="349" t="s">
        <v>78</v>
      </c>
      <c r="J1159" s="336">
        <f>IFERROR(VLOOKUP(I1159,Jueces!$A$1:$B$11,2,FALSE),"")</f>
        <v>8</v>
      </c>
      <c r="K1159" s="63" t="s">
        <v>806</v>
      </c>
      <c r="L1159" s="63" t="s">
        <v>4958</v>
      </c>
    </row>
    <row r="1160" spans="1:12" ht="30" customHeight="1">
      <c r="A1160" s="172" t="str">
        <f t="shared" si="36"/>
        <v>28/12/20232</v>
      </c>
      <c r="B1160" s="166">
        <f t="shared" si="37"/>
        <v>2</v>
      </c>
      <c r="C1160" s="63" t="s">
        <v>4590</v>
      </c>
      <c r="D1160" s="64" t="s">
        <v>4591</v>
      </c>
      <c r="E1160" s="336">
        <v>5</v>
      </c>
      <c r="F1160" s="336" t="s">
        <v>1435</v>
      </c>
      <c r="G1160" s="349">
        <v>45288</v>
      </c>
      <c r="H1160" s="65" t="s">
        <v>73</v>
      </c>
      <c r="I1160" s="349" t="s">
        <v>4931</v>
      </c>
      <c r="J1160" s="63" t="s">
        <v>2285</v>
      </c>
      <c r="K1160" s="63" t="s">
        <v>508</v>
      </c>
      <c r="L1160" s="373" t="s">
        <v>4592</v>
      </c>
    </row>
    <row r="1161" spans="1:12" ht="30" customHeight="1">
      <c r="A1161" s="172" t="str">
        <f t="shared" si="36"/>
        <v>28/12/20233</v>
      </c>
      <c r="B1161" s="166">
        <f t="shared" si="37"/>
        <v>3</v>
      </c>
      <c r="C1161" s="63" t="s">
        <v>4595</v>
      </c>
      <c r="D1161" s="64" t="s">
        <v>4596</v>
      </c>
      <c r="E1161" s="336">
        <v>6</v>
      </c>
      <c r="F1161" s="336" t="s">
        <v>3324</v>
      </c>
      <c r="G1161" s="349">
        <v>45288</v>
      </c>
      <c r="H1161" s="65" t="s">
        <v>73</v>
      </c>
      <c r="I1161" s="349" t="s">
        <v>35</v>
      </c>
      <c r="J1161" s="336">
        <f>IFERROR(VLOOKUP(I1161,Jueces!$A$1:$B$11,2,FALSE),"")</f>
        <v>3</v>
      </c>
      <c r="K1161" s="63" t="s">
        <v>807</v>
      </c>
      <c r="L1161" s="63" t="s">
        <v>725</v>
      </c>
    </row>
    <row r="1162" spans="1:12" ht="30" customHeight="1">
      <c r="A1162" s="172" t="str">
        <f t="shared" si="36"/>
        <v>28/12/20234</v>
      </c>
      <c r="B1162" s="166">
        <f t="shared" si="37"/>
        <v>4</v>
      </c>
      <c r="C1162" s="336" t="s">
        <v>3419</v>
      </c>
      <c r="D1162" s="64" t="s">
        <v>4603</v>
      </c>
      <c r="E1162" s="336">
        <v>1</v>
      </c>
      <c r="F1162" s="336" t="s">
        <v>1433</v>
      </c>
      <c r="G1162" s="383">
        <v>45288</v>
      </c>
      <c r="H1162" s="65" t="s">
        <v>73</v>
      </c>
      <c r="I1162" s="349" t="s">
        <v>31</v>
      </c>
      <c r="J1162" s="336">
        <f>IFERROR(VLOOKUP(I1162,Jueces!$A$1:$B$11,2,FALSE),"")</f>
        <v>2</v>
      </c>
      <c r="K1162" s="63" t="s">
        <v>810</v>
      </c>
      <c r="L1162" s="63" t="s">
        <v>783</v>
      </c>
    </row>
    <row r="1163" spans="1:12" ht="30" customHeight="1">
      <c r="A1163" s="172" t="str">
        <f t="shared" si="36"/>
        <v>28/12/20235</v>
      </c>
      <c r="B1163" s="166">
        <f t="shared" si="37"/>
        <v>5</v>
      </c>
      <c r="C1163" s="63" t="s">
        <v>4612</v>
      </c>
      <c r="D1163" s="64" t="s">
        <v>4618</v>
      </c>
      <c r="E1163" s="336">
        <v>6</v>
      </c>
      <c r="F1163" s="336" t="s">
        <v>2752</v>
      </c>
      <c r="G1163" s="349">
        <v>45288</v>
      </c>
      <c r="H1163" s="65" t="s">
        <v>1083</v>
      </c>
      <c r="I1163" s="349" t="s">
        <v>1216</v>
      </c>
      <c r="J1163" s="336">
        <f>IFERROR(VLOOKUP(I1163,Jueces!$A$1:$B$11,2,FALSE),"")</f>
        <v>1</v>
      </c>
      <c r="K1163" s="63" t="s">
        <v>811</v>
      </c>
      <c r="L1163" s="63" t="s">
        <v>723</v>
      </c>
    </row>
    <row r="1164" spans="1:12" ht="30" customHeight="1">
      <c r="A1164" s="172" t="str">
        <f t="shared" si="36"/>
        <v>28/12/20236</v>
      </c>
      <c r="B1164" s="166">
        <f t="shared" si="37"/>
        <v>6</v>
      </c>
      <c r="C1164" s="63" t="s">
        <v>4906</v>
      </c>
      <c r="D1164" s="64" t="s">
        <v>4907</v>
      </c>
      <c r="E1164" s="336">
        <v>6</v>
      </c>
      <c r="F1164" s="336" t="s">
        <v>1433</v>
      </c>
      <c r="G1164" s="349">
        <v>45288</v>
      </c>
      <c r="H1164" s="65" t="s">
        <v>4930</v>
      </c>
      <c r="I1164" s="349" t="s">
        <v>1216</v>
      </c>
      <c r="J1164" s="336">
        <f>IFERROR(VLOOKUP(I1164,Jueces!$A$1:$B$11,2,FALSE),"")</f>
        <v>1</v>
      </c>
      <c r="K1164" s="63" t="s">
        <v>4795</v>
      </c>
      <c r="L1164" s="411" t="s">
        <v>2103</v>
      </c>
    </row>
    <row r="1165" spans="1:12" ht="30" customHeight="1">
      <c r="A1165" s="172" t="str">
        <f t="shared" si="36"/>
        <v>29/12/20231</v>
      </c>
      <c r="B1165" s="166">
        <f t="shared" si="37"/>
        <v>1</v>
      </c>
      <c r="C1165" s="336" t="s">
        <v>3924</v>
      </c>
      <c r="D1165" s="355" t="s">
        <v>3925</v>
      </c>
      <c r="E1165" s="336">
        <v>1</v>
      </c>
      <c r="F1165" s="336" t="s">
        <v>3323</v>
      </c>
      <c r="G1165" s="383">
        <v>45289</v>
      </c>
      <c r="H1165" s="65" t="s">
        <v>73</v>
      </c>
      <c r="I1165" s="65" t="s">
        <v>33</v>
      </c>
      <c r="J1165" s="336">
        <f>IFERROR(VLOOKUP(I1165,Jueces!$A$1:$B$11,2,FALSE),"")</f>
        <v>4</v>
      </c>
      <c r="K1165" s="63" t="s">
        <v>1067</v>
      </c>
      <c r="L1165" s="63" t="s">
        <v>3381</v>
      </c>
    </row>
    <row r="1166" spans="1:12" ht="30" customHeight="1">
      <c r="A1166" s="172" t="str">
        <f t="shared" si="36"/>
        <v>29/12/20232</v>
      </c>
      <c r="B1166" s="166">
        <f t="shared" si="37"/>
        <v>2</v>
      </c>
      <c r="C1166" s="63" t="s">
        <v>3944</v>
      </c>
      <c r="D1166" s="64" t="s">
        <v>4560</v>
      </c>
      <c r="E1166" s="336">
        <v>1</v>
      </c>
      <c r="F1166" s="336" t="s">
        <v>3791</v>
      </c>
      <c r="G1166" s="349">
        <v>45289</v>
      </c>
      <c r="H1166" s="65" t="s">
        <v>73</v>
      </c>
      <c r="I1166" s="349" t="s">
        <v>31</v>
      </c>
      <c r="J1166" s="336">
        <f>IFERROR(VLOOKUP(I1166,Jueces!$A$1:$B$11,2,FALSE),"")</f>
        <v>2</v>
      </c>
      <c r="K1166" s="63" t="s">
        <v>569</v>
      </c>
      <c r="L1166" s="335" t="s">
        <v>3729</v>
      </c>
    </row>
    <row r="1167" spans="1:12" ht="30" customHeight="1">
      <c r="A1167" s="172" t="str">
        <f t="shared" si="36"/>
        <v>29/12/20233</v>
      </c>
      <c r="B1167" s="166">
        <f t="shared" si="37"/>
        <v>3</v>
      </c>
      <c r="C1167" s="63" t="s">
        <v>4614</v>
      </c>
      <c r="D1167" s="64" t="s">
        <v>4615</v>
      </c>
      <c r="E1167" s="336">
        <v>6</v>
      </c>
      <c r="F1167" s="336" t="s">
        <v>2752</v>
      </c>
      <c r="G1167" s="349">
        <v>45289</v>
      </c>
      <c r="H1167" s="65" t="s">
        <v>749</v>
      </c>
      <c r="I1167" s="349" t="s">
        <v>1221</v>
      </c>
      <c r="J1167" s="336">
        <f>IFERROR(VLOOKUP(I1167,Jueces!$A$1:$B$11,2,FALSE),"")</f>
        <v>6</v>
      </c>
      <c r="K1167" s="63" t="s">
        <v>807</v>
      </c>
      <c r="L1167" s="63" t="s">
        <v>723</v>
      </c>
    </row>
    <row r="1168" spans="1:12" ht="30" customHeight="1">
      <c r="A1168" s="172" t="str">
        <f t="shared" si="36"/>
        <v>29/12/20234</v>
      </c>
      <c r="B1168" s="166">
        <f t="shared" si="37"/>
        <v>4</v>
      </c>
      <c r="C1168" s="63" t="s">
        <v>4613</v>
      </c>
      <c r="D1168" s="64" t="s">
        <v>4619</v>
      </c>
      <c r="E1168" s="336">
        <v>6</v>
      </c>
      <c r="F1168" s="336" t="s">
        <v>3324</v>
      </c>
      <c r="G1168" s="349">
        <v>45289</v>
      </c>
      <c r="H1168" s="65" t="s">
        <v>1083</v>
      </c>
      <c r="I1168" s="349" t="s">
        <v>1216</v>
      </c>
      <c r="J1168" s="336">
        <f>IFERROR(VLOOKUP(I1168,Jueces!$A$1:$B$11,2,FALSE),"")</f>
        <v>1</v>
      </c>
      <c r="K1168" s="63" t="s">
        <v>810</v>
      </c>
      <c r="L1168" s="63" t="s">
        <v>723</v>
      </c>
    </row>
    <row r="1169" spans="1:12" ht="30" customHeight="1">
      <c r="A1169" s="172" t="str">
        <f t="shared" si="36"/>
        <v>29/12/20235</v>
      </c>
      <c r="B1169" s="166">
        <f t="shared" si="37"/>
        <v>5</v>
      </c>
      <c r="C1169" s="63" t="s">
        <v>4616</v>
      </c>
      <c r="D1169" s="64" t="s">
        <v>4617</v>
      </c>
      <c r="E1169" s="336">
        <v>5</v>
      </c>
      <c r="F1169" s="336" t="s">
        <v>1433</v>
      </c>
      <c r="G1169" s="349">
        <v>45289</v>
      </c>
      <c r="H1169" s="65" t="s">
        <v>1083</v>
      </c>
      <c r="I1169" s="349" t="s">
        <v>35</v>
      </c>
      <c r="J1169" s="336">
        <v>3</v>
      </c>
      <c r="K1169" s="63" t="s">
        <v>1067</v>
      </c>
      <c r="L1169" s="373" t="s">
        <v>4620</v>
      </c>
    </row>
    <row r="1170" spans="1:12" ht="30" customHeight="1">
      <c r="A1170" s="172" t="str">
        <f t="shared" si="36"/>
        <v>29/12/20236</v>
      </c>
      <c r="B1170" s="166">
        <f t="shared" si="37"/>
        <v>6</v>
      </c>
      <c r="C1170" s="63" t="s">
        <v>4812</v>
      </c>
      <c r="D1170" s="64" t="s">
        <v>4813</v>
      </c>
      <c r="E1170" s="336">
        <v>6</v>
      </c>
      <c r="F1170" s="63" t="s">
        <v>3639</v>
      </c>
      <c r="G1170" s="349">
        <v>45289</v>
      </c>
      <c r="H1170" s="65" t="s">
        <v>1083</v>
      </c>
      <c r="I1170" s="65" t="s">
        <v>78</v>
      </c>
      <c r="J1170" s="336">
        <f>IFERROR(VLOOKUP(I1170,Jueces!$A$1:$B$11,2,FALSE),"")</f>
        <v>8</v>
      </c>
      <c r="K1170" s="63" t="s">
        <v>4778</v>
      </c>
      <c r="L1170" s="335" t="s">
        <v>1283</v>
      </c>
    </row>
    <row r="1171" spans="1:12" ht="30" customHeight="1">
      <c r="A1171" s="172" t="str">
        <f t="shared" si="36"/>
        <v>29/12/20237</v>
      </c>
      <c r="B1171" s="166">
        <f t="shared" si="37"/>
        <v>7</v>
      </c>
      <c r="C1171" s="63" t="s">
        <v>4503</v>
      </c>
      <c r="D1171" s="64" t="s">
        <v>4504</v>
      </c>
      <c r="E1171" s="336">
        <v>5</v>
      </c>
      <c r="F1171" s="336" t="s">
        <v>1435</v>
      </c>
      <c r="G1171" s="349">
        <v>45289</v>
      </c>
      <c r="H1171" s="65" t="s">
        <v>1442</v>
      </c>
      <c r="I1171" s="349" t="s">
        <v>78</v>
      </c>
      <c r="J1171" s="336">
        <f>IFERROR(VLOOKUP(I1171,Jueces!$A$1:$B$11,2,FALSE),"")</f>
        <v>8</v>
      </c>
      <c r="K1171" s="63" t="s">
        <v>810</v>
      </c>
      <c r="L1171" s="63" t="s">
        <v>2201</v>
      </c>
    </row>
    <row r="1172" spans="1:12" ht="30" customHeight="1">
      <c r="A1172" s="172" t="str">
        <f t="shared" si="36"/>
        <v>29/12/20238</v>
      </c>
      <c r="B1172" s="166">
        <f t="shared" si="37"/>
        <v>8</v>
      </c>
      <c r="C1172" s="63" t="s">
        <v>4823</v>
      </c>
      <c r="D1172" s="413" t="s">
        <v>4824</v>
      </c>
      <c r="E1172" s="336">
        <v>2</v>
      </c>
      <c r="F1172" s="63" t="s">
        <v>43</v>
      </c>
      <c r="G1172" s="349">
        <v>45289</v>
      </c>
      <c r="H1172" s="65" t="s">
        <v>547</v>
      </c>
      <c r="I1172" s="65" t="s">
        <v>33</v>
      </c>
      <c r="J1172" s="63">
        <v>4</v>
      </c>
      <c r="K1172" s="63" t="s">
        <v>4778</v>
      </c>
      <c r="L1172" s="335" t="s">
        <v>3876</v>
      </c>
    </row>
    <row r="1173" spans="1:12" ht="30" customHeight="1">
      <c r="A1173" s="172" t="str">
        <f t="shared" si="36"/>
        <v>02/01/20241</v>
      </c>
      <c r="B1173" s="166">
        <f t="shared" si="37"/>
        <v>1</v>
      </c>
      <c r="C1173" s="387" t="s">
        <v>4567</v>
      </c>
      <c r="D1173" s="417" t="s">
        <v>4627</v>
      </c>
      <c r="E1173" s="387">
        <v>5</v>
      </c>
      <c r="F1173" s="387" t="s">
        <v>2815</v>
      </c>
      <c r="G1173" s="415">
        <v>45293</v>
      </c>
      <c r="H1173" s="415" t="s">
        <v>76</v>
      </c>
      <c r="I1173" s="415" t="s">
        <v>78</v>
      </c>
      <c r="J1173" s="387">
        <f>IFERROR(VLOOKUP(I1173,Jueces!$A$1:$B$11,2,FALSE),"")</f>
        <v>8</v>
      </c>
      <c r="K1173" s="387" t="s">
        <v>1067</v>
      </c>
      <c r="L1173" s="387" t="s">
        <v>2201</v>
      </c>
    </row>
    <row r="1174" spans="1:12" ht="30" customHeight="1">
      <c r="A1174" s="172" t="str">
        <f t="shared" si="36"/>
        <v>02/01/20242</v>
      </c>
      <c r="B1174" s="166">
        <f t="shared" si="37"/>
        <v>2</v>
      </c>
      <c r="C1174" s="63" t="s">
        <v>4657</v>
      </c>
      <c r="D1174" s="64" t="s">
        <v>4658</v>
      </c>
      <c r="E1174" s="336">
        <v>6</v>
      </c>
      <c r="F1174" s="63" t="s">
        <v>2752</v>
      </c>
      <c r="G1174" s="349">
        <v>45293</v>
      </c>
      <c r="H1174" s="65" t="s">
        <v>76</v>
      </c>
      <c r="I1174" s="65" t="s">
        <v>1680</v>
      </c>
      <c r="J1174" s="63" t="s">
        <v>1982</v>
      </c>
      <c r="K1174" s="63" t="s">
        <v>792</v>
      </c>
      <c r="L1174" s="335" t="s">
        <v>4710</v>
      </c>
    </row>
    <row r="1175" spans="1:12" ht="30" customHeight="1">
      <c r="A1175" s="172" t="str">
        <f t="shared" si="36"/>
        <v>02/01/20243</v>
      </c>
      <c r="B1175" s="166">
        <f t="shared" si="37"/>
        <v>3</v>
      </c>
      <c r="C1175" s="63" t="s">
        <v>4624</v>
      </c>
      <c r="D1175" s="64" t="s">
        <v>4625</v>
      </c>
      <c r="E1175" s="336">
        <v>5</v>
      </c>
      <c r="F1175" s="63" t="s">
        <v>2753</v>
      </c>
      <c r="G1175" s="349">
        <v>45293</v>
      </c>
      <c r="H1175" s="65" t="s">
        <v>75</v>
      </c>
      <c r="I1175" s="65" t="s">
        <v>4746</v>
      </c>
      <c r="J1175" s="63" t="s">
        <v>3776</v>
      </c>
      <c r="K1175" s="63" t="s">
        <v>798</v>
      </c>
      <c r="L1175" s="63" t="s">
        <v>2107</v>
      </c>
    </row>
    <row r="1176" spans="1:12" ht="30" customHeight="1">
      <c r="A1176" s="172" t="str">
        <f t="shared" si="36"/>
        <v>02/01/20244</v>
      </c>
      <c r="B1176" s="166">
        <f t="shared" si="37"/>
        <v>4</v>
      </c>
      <c r="C1176" s="63" t="s">
        <v>4664</v>
      </c>
      <c r="D1176" s="64" t="s">
        <v>5023</v>
      </c>
      <c r="E1176" s="336">
        <v>6</v>
      </c>
      <c r="F1176" s="63" t="s">
        <v>568</v>
      </c>
      <c r="G1176" s="349">
        <v>45293</v>
      </c>
      <c r="H1176" s="65" t="s">
        <v>75</v>
      </c>
      <c r="I1176" s="65" t="s">
        <v>1680</v>
      </c>
      <c r="J1176" s="63" t="s">
        <v>1982</v>
      </c>
      <c r="K1176" s="63" t="s">
        <v>791</v>
      </c>
      <c r="L1176" s="63" t="s">
        <v>723</v>
      </c>
    </row>
    <row r="1177" spans="1:12" ht="30" customHeight="1">
      <c r="A1177" s="172" t="str">
        <f t="shared" si="36"/>
        <v>02/01/20245</v>
      </c>
      <c r="B1177" s="166">
        <f t="shared" si="37"/>
        <v>5</v>
      </c>
      <c r="C1177" s="63" t="s">
        <v>4711</v>
      </c>
      <c r="D1177" s="64" t="s">
        <v>5029</v>
      </c>
      <c r="E1177" s="336">
        <v>6</v>
      </c>
      <c r="F1177" s="63" t="s">
        <v>29</v>
      </c>
      <c r="G1177" s="349">
        <v>45293</v>
      </c>
      <c r="H1177" s="65" t="s">
        <v>75</v>
      </c>
      <c r="I1177" s="65" t="s">
        <v>78</v>
      </c>
      <c r="J1177" s="336">
        <f>IFERROR(VLOOKUP(I1177,Jueces!$A$1:$B$11,2,FALSE),"")</f>
        <v>8</v>
      </c>
      <c r="K1177" s="63" t="s">
        <v>809</v>
      </c>
      <c r="L1177" s="63" t="s">
        <v>725</v>
      </c>
    </row>
    <row r="1178" spans="1:12" ht="30" customHeight="1">
      <c r="A1178" s="172" t="str">
        <f t="shared" si="36"/>
        <v>02/01/20246</v>
      </c>
      <c r="B1178" s="166">
        <f t="shared" si="37"/>
        <v>6</v>
      </c>
      <c r="C1178" s="63" t="s">
        <v>4669</v>
      </c>
      <c r="D1178" s="64" t="s">
        <v>4705</v>
      </c>
      <c r="E1178" s="336">
        <v>6</v>
      </c>
      <c r="F1178" s="63" t="s">
        <v>4749</v>
      </c>
      <c r="G1178" s="349">
        <v>45293</v>
      </c>
      <c r="H1178" s="65" t="s">
        <v>77</v>
      </c>
      <c r="I1178" s="65" t="s">
        <v>1680</v>
      </c>
      <c r="J1178" s="63" t="s">
        <v>1982</v>
      </c>
      <c r="K1178" s="63" t="s">
        <v>798</v>
      </c>
      <c r="L1178" s="63" t="s">
        <v>723</v>
      </c>
    </row>
    <row r="1179" spans="1:12" ht="30" customHeight="1">
      <c r="A1179" s="172" t="str">
        <f t="shared" si="36"/>
        <v>02/01/20247</v>
      </c>
      <c r="B1179" s="166">
        <f t="shared" si="37"/>
        <v>7</v>
      </c>
      <c r="C1179" s="63" t="s">
        <v>4606</v>
      </c>
      <c r="D1179" s="64" t="s">
        <v>4607</v>
      </c>
      <c r="E1179" s="336">
        <v>5</v>
      </c>
      <c r="F1179" s="63" t="s">
        <v>2751</v>
      </c>
      <c r="G1179" s="349">
        <v>45293</v>
      </c>
      <c r="H1179" s="65" t="s">
        <v>228</v>
      </c>
      <c r="I1179" s="65" t="s">
        <v>78</v>
      </c>
      <c r="J1179" s="63">
        <v>8</v>
      </c>
      <c r="K1179" s="63" t="s">
        <v>805</v>
      </c>
      <c r="L1179" s="63" t="s">
        <v>2368</v>
      </c>
    </row>
    <row r="1180" spans="1:12" ht="30" customHeight="1">
      <c r="A1180" s="172" t="str">
        <f t="shared" si="36"/>
        <v>02/01/20248</v>
      </c>
      <c r="B1180" s="166">
        <f t="shared" si="37"/>
        <v>8</v>
      </c>
      <c r="C1180" s="63" t="s">
        <v>4628</v>
      </c>
      <c r="D1180" s="64" t="s">
        <v>4633</v>
      </c>
      <c r="E1180" s="336">
        <v>6</v>
      </c>
      <c r="F1180" s="63" t="s">
        <v>3324</v>
      </c>
      <c r="G1180" s="349">
        <v>45293</v>
      </c>
      <c r="H1180" s="65" t="s">
        <v>228</v>
      </c>
      <c r="I1180" s="65" t="s">
        <v>4746</v>
      </c>
      <c r="J1180" s="63" t="s">
        <v>3776</v>
      </c>
      <c r="K1180" s="63" t="s">
        <v>4790</v>
      </c>
      <c r="L1180" s="63" t="s">
        <v>723</v>
      </c>
    </row>
    <row r="1181" spans="1:12" ht="30" customHeight="1">
      <c r="A1181" s="172" t="str">
        <f t="shared" si="36"/>
        <v>03/01/20241</v>
      </c>
      <c r="B1181" s="166">
        <f t="shared" si="37"/>
        <v>1</v>
      </c>
      <c r="C1181" s="7" t="s">
        <v>4652</v>
      </c>
      <c r="D1181" s="40" t="s">
        <v>4653</v>
      </c>
      <c r="E1181" s="328">
        <v>6</v>
      </c>
      <c r="F1181" s="7" t="s">
        <v>3323</v>
      </c>
      <c r="G1181" s="376">
        <v>45294</v>
      </c>
      <c r="H1181" s="19" t="s">
        <v>76</v>
      </c>
      <c r="I1181" s="19" t="s">
        <v>78</v>
      </c>
      <c r="J1181" s="328">
        <f>IFERROR(VLOOKUP(I1181,Jueces!$A$1:$B$11,2,FALSE),"")</f>
        <v>8</v>
      </c>
      <c r="K1181" s="7" t="s">
        <v>806</v>
      </c>
      <c r="L1181" s="7" t="s">
        <v>723</v>
      </c>
    </row>
    <row r="1182" spans="1:12" ht="30" customHeight="1">
      <c r="A1182" s="172" t="str">
        <f t="shared" si="36"/>
        <v>03/01/20242</v>
      </c>
      <c r="B1182" s="166">
        <f t="shared" si="37"/>
        <v>2</v>
      </c>
      <c r="C1182" s="107" t="s">
        <v>4702</v>
      </c>
      <c r="D1182" s="108" t="s">
        <v>5091</v>
      </c>
      <c r="E1182" s="384">
        <v>5</v>
      </c>
      <c r="F1182" s="107" t="s">
        <v>29</v>
      </c>
      <c r="G1182" s="385">
        <v>45294</v>
      </c>
      <c r="H1182" s="253" t="s">
        <v>76</v>
      </c>
      <c r="I1182" s="253" t="s">
        <v>1680</v>
      </c>
      <c r="J1182" s="107" t="s">
        <v>1982</v>
      </c>
      <c r="K1182" s="107" t="s">
        <v>582</v>
      </c>
      <c r="L1182" s="419" t="s">
        <v>2107</v>
      </c>
    </row>
    <row r="1183" spans="1:12" ht="30" customHeight="1">
      <c r="A1183" s="172" t="str">
        <f t="shared" si="36"/>
        <v>03/01/20243</v>
      </c>
      <c r="B1183" s="166">
        <f t="shared" si="37"/>
        <v>3</v>
      </c>
      <c r="C1183" s="63" t="s">
        <v>4712</v>
      </c>
      <c r="D1183" s="64" t="s">
        <v>4713</v>
      </c>
      <c r="E1183" s="336">
        <v>7</v>
      </c>
      <c r="F1183" s="63" t="s">
        <v>3324</v>
      </c>
      <c r="G1183" s="349">
        <v>45294</v>
      </c>
      <c r="H1183" s="65" t="s">
        <v>76</v>
      </c>
      <c r="I1183" s="65" t="s">
        <v>4746</v>
      </c>
      <c r="J1183" s="63" t="s">
        <v>1341</v>
      </c>
      <c r="K1183" s="63" t="s">
        <v>805</v>
      </c>
      <c r="L1183" s="335" t="s">
        <v>783</v>
      </c>
    </row>
    <row r="1184" spans="1:12" ht="30" customHeight="1">
      <c r="A1184" s="172" t="str">
        <f t="shared" si="36"/>
        <v>03/01/20244</v>
      </c>
      <c r="B1184" s="166">
        <f t="shared" si="37"/>
        <v>4</v>
      </c>
      <c r="C1184" s="63" t="s">
        <v>4656</v>
      </c>
      <c r="D1184" s="64" t="s">
        <v>5062</v>
      </c>
      <c r="E1184" s="336">
        <v>5</v>
      </c>
      <c r="F1184" s="63" t="s">
        <v>568</v>
      </c>
      <c r="G1184" s="349">
        <v>45294</v>
      </c>
      <c r="H1184" s="65" t="s">
        <v>75</v>
      </c>
      <c r="I1184" s="65" t="s">
        <v>78</v>
      </c>
      <c r="J1184" s="63">
        <v>8</v>
      </c>
      <c r="K1184" s="63" t="s">
        <v>797</v>
      </c>
      <c r="L1184" s="7" t="s">
        <v>692</v>
      </c>
    </row>
    <row r="1185" spans="1:12" ht="30" customHeight="1">
      <c r="A1185" s="172" t="str">
        <f t="shared" si="36"/>
        <v>03/01/20245</v>
      </c>
      <c r="B1185" s="166">
        <f t="shared" si="37"/>
        <v>5</v>
      </c>
      <c r="C1185" s="325" t="s">
        <v>4663</v>
      </c>
      <c r="D1185" s="64" t="s">
        <v>4750</v>
      </c>
      <c r="E1185" s="336">
        <v>6</v>
      </c>
      <c r="F1185" s="63" t="s">
        <v>2753</v>
      </c>
      <c r="G1185" s="349">
        <v>45294</v>
      </c>
      <c r="H1185" s="65" t="s">
        <v>75</v>
      </c>
      <c r="I1185" s="65" t="s">
        <v>1680</v>
      </c>
      <c r="J1185" s="63" t="s">
        <v>1982</v>
      </c>
      <c r="K1185" s="63" t="s">
        <v>806</v>
      </c>
      <c r="L1185" s="63" t="s">
        <v>725</v>
      </c>
    </row>
    <row r="1186" spans="1:12" ht="30" customHeight="1">
      <c r="A1186" s="172" t="str">
        <f t="shared" si="36"/>
        <v>03/01/20246</v>
      </c>
      <c r="B1186" s="166">
        <f t="shared" si="37"/>
        <v>6</v>
      </c>
      <c r="C1186" s="63" t="s">
        <v>4667</v>
      </c>
      <c r="D1186" s="355" t="s">
        <v>4666</v>
      </c>
      <c r="E1186" s="336">
        <v>1</v>
      </c>
      <c r="F1186" s="63" t="s">
        <v>2815</v>
      </c>
      <c r="G1186" s="349">
        <v>45294</v>
      </c>
      <c r="H1186" s="65" t="s">
        <v>75</v>
      </c>
      <c r="I1186" s="65" t="s">
        <v>4746</v>
      </c>
      <c r="J1186" s="63" t="s">
        <v>3776</v>
      </c>
      <c r="K1186" s="63" t="s">
        <v>2076</v>
      </c>
      <c r="L1186" s="63" t="s">
        <v>1084</v>
      </c>
    </row>
    <row r="1187" spans="1:12" ht="30" customHeight="1">
      <c r="A1187" s="172" t="str">
        <f t="shared" si="36"/>
        <v>03/01/20247</v>
      </c>
      <c r="B1187" s="166">
        <f t="shared" si="37"/>
        <v>7</v>
      </c>
      <c r="C1187" s="63" t="s">
        <v>4741</v>
      </c>
      <c r="D1187" s="64" t="s">
        <v>4742</v>
      </c>
      <c r="E1187" s="336">
        <v>5</v>
      </c>
      <c r="F1187" s="63" t="s">
        <v>2752</v>
      </c>
      <c r="G1187" s="349">
        <v>45294</v>
      </c>
      <c r="H1187" s="65" t="s">
        <v>77</v>
      </c>
      <c r="I1187" s="65" t="s">
        <v>1680</v>
      </c>
      <c r="J1187" s="63" t="s">
        <v>1982</v>
      </c>
      <c r="K1187" s="63" t="s">
        <v>810</v>
      </c>
      <c r="L1187" s="63" t="s">
        <v>2107</v>
      </c>
    </row>
    <row r="1188" spans="1:12" ht="30" customHeight="1">
      <c r="A1188" s="172" t="str">
        <f t="shared" si="36"/>
        <v>03/01/20248</v>
      </c>
      <c r="B1188" s="166">
        <f t="shared" si="37"/>
        <v>8</v>
      </c>
      <c r="C1188" s="336" t="s">
        <v>4314</v>
      </c>
      <c r="D1188" s="355" t="s">
        <v>4326</v>
      </c>
      <c r="E1188" s="336">
        <v>5</v>
      </c>
      <c r="F1188" s="63" t="s">
        <v>2751</v>
      </c>
      <c r="G1188" s="383">
        <v>45294</v>
      </c>
      <c r="H1188" s="65" t="s">
        <v>77</v>
      </c>
      <c r="I1188" s="65" t="s">
        <v>78</v>
      </c>
      <c r="J1188" s="336">
        <f>IFERROR(VLOOKUP(I1188,Jueces!$A$1:$B$11,2,FALSE),"")</f>
        <v>8</v>
      </c>
      <c r="K1188" s="63" t="s">
        <v>2076</v>
      </c>
      <c r="L1188" s="63" t="s">
        <v>1956</v>
      </c>
    </row>
    <row r="1189" spans="1:12" ht="30" customHeight="1">
      <c r="A1189" s="172" t="str">
        <f t="shared" si="36"/>
        <v>03/01/20249</v>
      </c>
      <c r="B1189" s="166">
        <f t="shared" si="37"/>
        <v>9</v>
      </c>
      <c r="C1189" s="63" t="s">
        <v>4626</v>
      </c>
      <c r="D1189" s="64" t="s">
        <v>4634</v>
      </c>
      <c r="E1189" s="336">
        <v>6</v>
      </c>
      <c r="F1189" s="63" t="s">
        <v>4749</v>
      </c>
      <c r="G1189" s="349">
        <v>45294</v>
      </c>
      <c r="H1189" s="65" t="s">
        <v>1146</v>
      </c>
      <c r="I1189" s="65" t="s">
        <v>4746</v>
      </c>
      <c r="J1189" s="63" t="s">
        <v>3776</v>
      </c>
      <c r="K1189" s="63" t="s">
        <v>809</v>
      </c>
      <c r="L1189" s="63" t="s">
        <v>725</v>
      </c>
    </row>
    <row r="1190" spans="1:12" ht="30" customHeight="1">
      <c r="A1190" s="172" t="str">
        <f t="shared" si="36"/>
        <v>03/01/202410</v>
      </c>
      <c r="B1190" s="166">
        <f t="shared" si="37"/>
        <v>10</v>
      </c>
      <c r="C1190" s="336" t="s">
        <v>3924</v>
      </c>
      <c r="D1190" s="355" t="s">
        <v>3925</v>
      </c>
      <c r="E1190" s="336">
        <v>1</v>
      </c>
      <c r="F1190" s="336" t="s">
        <v>3323</v>
      </c>
      <c r="G1190" s="383">
        <v>45294</v>
      </c>
      <c r="H1190" s="349" t="s">
        <v>228</v>
      </c>
      <c r="I1190" s="349" t="s">
        <v>31</v>
      </c>
      <c r="J1190" s="336" t="s">
        <v>5022</v>
      </c>
      <c r="K1190" s="63" t="s">
        <v>1067</v>
      </c>
      <c r="L1190" s="63" t="s">
        <v>3381</v>
      </c>
    </row>
    <row r="1191" spans="1:12" ht="30" customHeight="1">
      <c r="A1191" s="172" t="str">
        <f t="shared" si="36"/>
        <v>04/01/20241</v>
      </c>
      <c r="B1191" s="166">
        <f t="shared" si="37"/>
        <v>1</v>
      </c>
      <c r="C1191" s="63" t="s">
        <v>4608</v>
      </c>
      <c r="D1191" s="64" t="s">
        <v>4609</v>
      </c>
      <c r="E1191" s="336">
        <v>5</v>
      </c>
      <c r="F1191" s="63" t="s">
        <v>2751</v>
      </c>
      <c r="G1191" s="65">
        <v>45295</v>
      </c>
      <c r="H1191" s="65" t="s">
        <v>76</v>
      </c>
      <c r="I1191" s="65" t="s">
        <v>1680</v>
      </c>
      <c r="J1191" s="63" t="s">
        <v>1982</v>
      </c>
      <c r="K1191" s="63" t="s">
        <v>811</v>
      </c>
      <c r="L1191" s="63" t="s">
        <v>2107</v>
      </c>
    </row>
    <row r="1192" spans="1:12" ht="30" customHeight="1">
      <c r="A1192" s="172" t="str">
        <f t="shared" si="36"/>
        <v>04/01/20242</v>
      </c>
      <c r="B1192" s="166">
        <f t="shared" si="37"/>
        <v>2</v>
      </c>
      <c r="C1192" s="63" t="s">
        <v>4650</v>
      </c>
      <c r="D1192" s="64" t="s">
        <v>4651</v>
      </c>
      <c r="E1192" s="336">
        <v>5</v>
      </c>
      <c r="F1192" s="63" t="s">
        <v>2753</v>
      </c>
      <c r="G1192" s="349">
        <v>45295</v>
      </c>
      <c r="H1192" s="65" t="s">
        <v>76</v>
      </c>
      <c r="I1192" s="65" t="s">
        <v>4746</v>
      </c>
      <c r="J1192" s="63" t="s">
        <v>3776</v>
      </c>
      <c r="K1192" s="63" t="s">
        <v>807</v>
      </c>
      <c r="L1192" s="63" t="s">
        <v>725</v>
      </c>
    </row>
    <row r="1193" spans="1:12" ht="30" customHeight="1">
      <c r="A1193" s="172" t="str">
        <f t="shared" si="36"/>
        <v>04/01/20243</v>
      </c>
      <c r="B1193" s="166">
        <f t="shared" si="37"/>
        <v>3</v>
      </c>
      <c r="C1193" s="63" t="s">
        <v>4659</v>
      </c>
      <c r="D1193" s="64" t="s">
        <v>4660</v>
      </c>
      <c r="E1193" s="336">
        <v>6</v>
      </c>
      <c r="F1193" s="63" t="s">
        <v>2752</v>
      </c>
      <c r="G1193" s="65">
        <v>45295</v>
      </c>
      <c r="H1193" s="65" t="s">
        <v>76</v>
      </c>
      <c r="I1193" s="65" t="s">
        <v>78</v>
      </c>
      <c r="J1193" s="336">
        <f>IFERROR(VLOOKUP(I1193,Jueces!$A$1:$B$11,2,FALSE),"")</f>
        <v>8</v>
      </c>
      <c r="K1193" s="63" t="s">
        <v>808</v>
      </c>
      <c r="L1193" s="63" t="s">
        <v>2201</v>
      </c>
    </row>
    <row r="1194" spans="1:12" ht="30" customHeight="1">
      <c r="A1194" s="172" t="str">
        <f t="shared" si="36"/>
        <v>04/01/20244</v>
      </c>
      <c r="B1194" s="166">
        <f t="shared" si="37"/>
        <v>4</v>
      </c>
      <c r="C1194" s="325" t="s">
        <v>4654</v>
      </c>
      <c r="D1194" s="64" t="s">
        <v>4655</v>
      </c>
      <c r="E1194" s="336">
        <v>6</v>
      </c>
      <c r="F1194" s="63" t="s">
        <v>4749</v>
      </c>
      <c r="G1194" s="349">
        <v>45295</v>
      </c>
      <c r="H1194" s="65" t="s">
        <v>75</v>
      </c>
      <c r="I1194" s="65" t="s">
        <v>4746</v>
      </c>
      <c r="J1194" s="63" t="s">
        <v>3776</v>
      </c>
      <c r="K1194" s="63" t="s">
        <v>806</v>
      </c>
      <c r="L1194" s="63" t="s">
        <v>2201</v>
      </c>
    </row>
    <row r="1195" spans="1:12" ht="30" customHeight="1">
      <c r="A1195" s="172" t="str">
        <f t="shared" si="36"/>
        <v>04/01/20245</v>
      </c>
      <c r="B1195" s="166">
        <f t="shared" si="37"/>
        <v>5</v>
      </c>
      <c r="C1195" s="63" t="s">
        <v>4703</v>
      </c>
      <c r="D1195" s="355" t="s">
        <v>4704</v>
      </c>
      <c r="E1195" s="336">
        <v>6</v>
      </c>
      <c r="F1195" s="63" t="s">
        <v>3323</v>
      </c>
      <c r="G1195" s="349">
        <v>45295</v>
      </c>
      <c r="H1195" s="65" t="s">
        <v>75</v>
      </c>
      <c r="I1195" s="65" t="s">
        <v>1680</v>
      </c>
      <c r="J1195" s="63" t="s">
        <v>1982</v>
      </c>
      <c r="K1195" s="63" t="s">
        <v>790</v>
      </c>
      <c r="L1195" s="63" t="s">
        <v>725</v>
      </c>
    </row>
    <row r="1196" spans="1:12" ht="30" customHeight="1">
      <c r="A1196" s="172" t="str">
        <f t="shared" si="36"/>
        <v>04/01/20246</v>
      </c>
      <c r="B1196" s="166">
        <f t="shared" si="37"/>
        <v>6</v>
      </c>
      <c r="C1196" s="325" t="s">
        <v>4665</v>
      </c>
      <c r="D1196" s="64" t="s">
        <v>4757</v>
      </c>
      <c r="E1196" s="336">
        <v>6</v>
      </c>
      <c r="F1196" s="63" t="s">
        <v>2815</v>
      </c>
      <c r="G1196" s="349">
        <v>45295</v>
      </c>
      <c r="H1196" s="65" t="s">
        <v>77</v>
      </c>
      <c r="I1196" s="65" t="s">
        <v>4746</v>
      </c>
      <c r="J1196" s="63" t="s">
        <v>3776</v>
      </c>
      <c r="K1196" s="63" t="s">
        <v>806</v>
      </c>
      <c r="L1196" s="63" t="s">
        <v>725</v>
      </c>
    </row>
    <row r="1197" spans="1:12" ht="30" customHeight="1">
      <c r="A1197" s="172" t="str">
        <f t="shared" si="36"/>
        <v>04/01/20247</v>
      </c>
      <c r="B1197" s="166">
        <f t="shared" si="37"/>
        <v>7</v>
      </c>
      <c r="C1197" s="63" t="s">
        <v>4714</v>
      </c>
      <c r="D1197" s="64" t="s">
        <v>5127</v>
      </c>
      <c r="E1197" s="336">
        <v>5</v>
      </c>
      <c r="F1197" s="63" t="s">
        <v>29</v>
      </c>
      <c r="G1197" s="65">
        <v>45295</v>
      </c>
      <c r="H1197" s="65" t="s">
        <v>77</v>
      </c>
      <c r="I1197" s="65" t="s">
        <v>78</v>
      </c>
      <c r="J1197" s="336">
        <f>IFERROR(VLOOKUP(I1197,Jueces!$A$1:$B$11,2,FALSE),"")</f>
        <v>8</v>
      </c>
      <c r="K1197" s="63" t="s">
        <v>797</v>
      </c>
      <c r="L1197" s="63" t="s">
        <v>2201</v>
      </c>
    </row>
    <row r="1198" spans="1:12" ht="30" customHeight="1">
      <c r="A1198" s="172" t="str">
        <f t="shared" si="36"/>
        <v>04/01/20248</v>
      </c>
      <c r="B1198" s="166">
        <f t="shared" si="37"/>
        <v>8</v>
      </c>
      <c r="C1198" s="63" t="s">
        <v>4753</v>
      </c>
      <c r="D1198" s="64" t="s">
        <v>4754</v>
      </c>
      <c r="E1198" s="336">
        <v>6</v>
      </c>
      <c r="F1198" s="336" t="s">
        <v>3324</v>
      </c>
      <c r="G1198" s="65">
        <v>45295</v>
      </c>
      <c r="H1198" s="65" t="s">
        <v>77</v>
      </c>
      <c r="I1198" s="349" t="s">
        <v>1680</v>
      </c>
      <c r="J1198" s="63" t="s">
        <v>1916</v>
      </c>
      <c r="K1198" s="63" t="s">
        <v>569</v>
      </c>
      <c r="L1198" s="335" t="s">
        <v>2266</v>
      </c>
    </row>
    <row r="1199" spans="1:12" ht="30" customHeight="1">
      <c r="A1199" s="172" t="str">
        <f t="shared" si="36"/>
        <v>04/01/20249</v>
      </c>
      <c r="B1199" s="166">
        <f t="shared" si="37"/>
        <v>9</v>
      </c>
      <c r="C1199" s="63" t="s">
        <v>4708</v>
      </c>
      <c r="D1199" s="64" t="s">
        <v>4709</v>
      </c>
      <c r="E1199" s="336">
        <v>3</v>
      </c>
      <c r="F1199" s="63" t="s">
        <v>568</v>
      </c>
      <c r="G1199" s="349">
        <v>45295</v>
      </c>
      <c r="H1199" s="65" t="s">
        <v>228</v>
      </c>
      <c r="I1199" s="65" t="s">
        <v>78</v>
      </c>
      <c r="J1199" s="63">
        <v>8</v>
      </c>
      <c r="K1199" s="63" t="s">
        <v>569</v>
      </c>
      <c r="L1199" s="335" t="s">
        <v>3763</v>
      </c>
    </row>
    <row r="1200" spans="1:12" ht="30" customHeight="1">
      <c r="A1200" s="172" t="str">
        <f t="shared" si="36"/>
        <v>04/01/202410</v>
      </c>
      <c r="B1200" s="166">
        <f t="shared" si="37"/>
        <v>10</v>
      </c>
      <c r="C1200" s="63" t="s">
        <v>5030</v>
      </c>
      <c r="D1200" s="64" t="s">
        <v>5031</v>
      </c>
      <c r="E1200" s="336">
        <v>6</v>
      </c>
      <c r="F1200" s="336" t="s">
        <v>2753</v>
      </c>
      <c r="G1200" s="349">
        <v>45295</v>
      </c>
      <c r="H1200" s="65" t="s">
        <v>228</v>
      </c>
      <c r="I1200" s="349" t="s">
        <v>31</v>
      </c>
      <c r="J1200" s="336">
        <f>IFERROR(VLOOKUP(I1200,Jueces!$A$1:$B$11,2,FALSE),"")</f>
        <v>2</v>
      </c>
      <c r="K1200" s="63" t="s">
        <v>4786</v>
      </c>
      <c r="L1200" s="356" t="s">
        <v>4515</v>
      </c>
    </row>
    <row r="1201" spans="1:12" ht="30" customHeight="1">
      <c r="A1201" s="172" t="str">
        <f t="shared" si="36"/>
        <v>05/01/20241</v>
      </c>
      <c r="B1201" s="166">
        <f t="shared" si="37"/>
        <v>1</v>
      </c>
      <c r="C1201" s="63" t="s">
        <v>2280</v>
      </c>
      <c r="D1201" s="64" t="s">
        <v>4611</v>
      </c>
      <c r="E1201" s="336">
        <v>7</v>
      </c>
      <c r="F1201" s="63" t="s">
        <v>4749</v>
      </c>
      <c r="G1201" s="383">
        <v>45296</v>
      </c>
      <c r="H1201" s="65" t="s">
        <v>76</v>
      </c>
      <c r="I1201" s="65" t="s">
        <v>4746</v>
      </c>
      <c r="J1201" s="63" t="s">
        <v>3776</v>
      </c>
      <c r="K1201" s="63" t="s">
        <v>795</v>
      </c>
      <c r="L1201" s="356" t="s">
        <v>3381</v>
      </c>
    </row>
    <row r="1202" spans="1:12" ht="30" customHeight="1">
      <c r="A1202" s="172" t="str">
        <f t="shared" si="36"/>
        <v>05/01/20242</v>
      </c>
      <c r="B1202" s="166">
        <f t="shared" si="37"/>
        <v>2</v>
      </c>
      <c r="C1202" s="63" t="s">
        <v>4700</v>
      </c>
      <c r="D1202" s="355" t="s">
        <v>4701</v>
      </c>
      <c r="E1202" s="336">
        <v>6</v>
      </c>
      <c r="F1202" s="63" t="s">
        <v>3324</v>
      </c>
      <c r="G1202" s="349">
        <v>45296</v>
      </c>
      <c r="H1202" s="65" t="s">
        <v>76</v>
      </c>
      <c r="I1202" s="65" t="s">
        <v>78</v>
      </c>
      <c r="J1202" s="336">
        <f>IFERROR(VLOOKUP(I1202,Jueces!$A$1:$B$11,2,FALSE),"")</f>
        <v>8</v>
      </c>
      <c r="K1202" s="63" t="s">
        <v>2092</v>
      </c>
      <c r="L1202" s="63" t="s">
        <v>725</v>
      </c>
    </row>
    <row r="1203" spans="1:12" ht="30" customHeight="1">
      <c r="A1203" s="172" t="str">
        <f t="shared" si="36"/>
        <v>05/01/20243</v>
      </c>
      <c r="B1203" s="166">
        <f t="shared" si="37"/>
        <v>3</v>
      </c>
      <c r="C1203" s="63" t="s">
        <v>4743</v>
      </c>
      <c r="D1203" s="64" t="s">
        <v>4744</v>
      </c>
      <c r="E1203" s="336">
        <v>5</v>
      </c>
      <c r="F1203" s="63" t="s">
        <v>2815</v>
      </c>
      <c r="G1203" s="349">
        <v>45296</v>
      </c>
      <c r="H1203" s="65" t="s">
        <v>76</v>
      </c>
      <c r="I1203" s="65" t="s">
        <v>1680</v>
      </c>
      <c r="J1203" s="63" t="s">
        <v>1982</v>
      </c>
      <c r="K1203" s="63" t="s">
        <v>811</v>
      </c>
      <c r="L1203" s="63" t="s">
        <v>2107</v>
      </c>
    </row>
    <row r="1204" spans="1:12" ht="30" customHeight="1">
      <c r="A1204" s="172" t="str">
        <f t="shared" si="36"/>
        <v>05/01/20244</v>
      </c>
      <c r="B1204" s="166">
        <f t="shared" si="37"/>
        <v>4</v>
      </c>
      <c r="C1204" s="63" t="s">
        <v>4622</v>
      </c>
      <c r="D1204" s="64" t="s">
        <v>4623</v>
      </c>
      <c r="E1204" s="336">
        <v>4</v>
      </c>
      <c r="F1204" s="63" t="s">
        <v>3323</v>
      </c>
      <c r="G1204" s="349">
        <v>45296</v>
      </c>
      <c r="H1204" s="65" t="s">
        <v>75</v>
      </c>
      <c r="I1204" s="65" t="s">
        <v>4746</v>
      </c>
      <c r="J1204" s="63" t="s">
        <v>3776</v>
      </c>
      <c r="K1204" s="63" t="s">
        <v>569</v>
      </c>
      <c r="L1204" s="63" t="s">
        <v>725</v>
      </c>
    </row>
    <row r="1205" spans="1:12" ht="30" customHeight="1">
      <c r="A1205" s="172" t="str">
        <f t="shared" si="36"/>
        <v>05/01/20245</v>
      </c>
      <c r="B1205" s="166">
        <f t="shared" si="37"/>
        <v>5</v>
      </c>
      <c r="C1205" s="63" t="s">
        <v>4706</v>
      </c>
      <c r="D1205" s="64" t="s">
        <v>4707</v>
      </c>
      <c r="E1205" s="336">
        <v>4</v>
      </c>
      <c r="F1205" s="63" t="s">
        <v>2753</v>
      </c>
      <c r="G1205" s="349">
        <v>45296</v>
      </c>
      <c r="H1205" s="65" t="s">
        <v>75</v>
      </c>
      <c r="I1205" s="65" t="s">
        <v>78</v>
      </c>
      <c r="J1205" s="63">
        <v>8</v>
      </c>
      <c r="K1205" s="63" t="s">
        <v>809</v>
      </c>
      <c r="L1205" s="63" t="s">
        <v>5145</v>
      </c>
    </row>
    <row r="1206" spans="1:12" ht="30" customHeight="1">
      <c r="A1206" s="172" t="str">
        <f t="shared" si="36"/>
        <v>05/01/20246</v>
      </c>
      <c r="B1206" s="166">
        <f t="shared" si="37"/>
        <v>6</v>
      </c>
      <c r="C1206" s="63" t="s">
        <v>4751</v>
      </c>
      <c r="D1206" s="64" t="s">
        <v>4752</v>
      </c>
      <c r="E1206" s="336">
        <v>6</v>
      </c>
      <c r="F1206" s="336" t="s">
        <v>568</v>
      </c>
      <c r="G1206" s="349">
        <v>45296</v>
      </c>
      <c r="H1206" s="65" t="s">
        <v>77</v>
      </c>
      <c r="I1206" s="349" t="s">
        <v>1680</v>
      </c>
      <c r="J1206" s="63" t="s">
        <v>1916</v>
      </c>
      <c r="K1206" s="63" t="s">
        <v>806</v>
      </c>
      <c r="L1206" s="63" t="s">
        <v>725</v>
      </c>
    </row>
    <row r="1207" spans="1:12" ht="30" customHeight="1">
      <c r="A1207" s="172" t="str">
        <f t="shared" si="36"/>
        <v>05/01/20247</v>
      </c>
      <c r="B1207" s="166">
        <f t="shared" si="37"/>
        <v>7</v>
      </c>
      <c r="C1207" s="63" t="s">
        <v>4841</v>
      </c>
      <c r="D1207" s="64" t="s">
        <v>4842</v>
      </c>
      <c r="E1207" s="336">
        <v>5</v>
      </c>
      <c r="F1207" s="63" t="s">
        <v>2752</v>
      </c>
      <c r="G1207" s="349">
        <v>45296</v>
      </c>
      <c r="H1207" s="65" t="s">
        <v>77</v>
      </c>
      <c r="I1207" s="349" t="s">
        <v>4746</v>
      </c>
      <c r="J1207" s="63" t="s">
        <v>3776</v>
      </c>
      <c r="K1207" s="63" t="s">
        <v>4790</v>
      </c>
      <c r="L1207" s="339" t="s">
        <v>2201</v>
      </c>
    </row>
    <row r="1208" spans="1:12" ht="30" customHeight="1">
      <c r="A1208" s="172" t="str">
        <f t="shared" si="36"/>
        <v>05/01/20248</v>
      </c>
      <c r="B1208" s="166">
        <f t="shared" si="37"/>
        <v>8</v>
      </c>
      <c r="C1208" s="336" t="s">
        <v>4564</v>
      </c>
      <c r="D1208" s="355" t="s">
        <v>4565</v>
      </c>
      <c r="E1208" s="336">
        <v>5</v>
      </c>
      <c r="F1208" s="336" t="s">
        <v>29</v>
      </c>
      <c r="G1208" s="383">
        <v>45296</v>
      </c>
      <c r="H1208" s="65" t="s">
        <v>228</v>
      </c>
      <c r="I1208" s="349" t="s">
        <v>1680</v>
      </c>
      <c r="J1208" s="63" t="s">
        <v>4118</v>
      </c>
      <c r="K1208" s="63" t="s">
        <v>806</v>
      </c>
      <c r="L1208" s="63" t="s">
        <v>4958</v>
      </c>
    </row>
    <row r="1209" spans="1:12" ht="30" customHeight="1">
      <c r="A1209" s="172" t="str">
        <f t="shared" si="36"/>
        <v>05/01/20249</v>
      </c>
      <c r="B1209" s="166">
        <f t="shared" si="37"/>
        <v>9</v>
      </c>
      <c r="C1209" s="63" t="s">
        <v>4816</v>
      </c>
      <c r="D1209" s="64" t="s">
        <v>5115</v>
      </c>
      <c r="E1209" s="336">
        <v>6</v>
      </c>
      <c r="F1209" s="63" t="s">
        <v>2751</v>
      </c>
      <c r="G1209" s="349">
        <v>45296</v>
      </c>
      <c r="H1209" s="65" t="s">
        <v>2011</v>
      </c>
      <c r="I1209" s="65" t="s">
        <v>78</v>
      </c>
      <c r="J1209" s="336">
        <f>IFERROR(VLOOKUP(I1209,Jueces!$A$1:$B$11,2,FALSE),"")</f>
        <v>8</v>
      </c>
      <c r="K1209" s="63" t="s">
        <v>4791</v>
      </c>
      <c r="L1209" s="356" t="s">
        <v>4817</v>
      </c>
    </row>
    <row r="1210" spans="1:12" ht="30" customHeight="1">
      <c r="A1210" s="172" t="str">
        <f t="shared" si="36"/>
        <v>08/01/20241</v>
      </c>
      <c r="B1210" s="166">
        <f t="shared" si="37"/>
        <v>1</v>
      </c>
      <c r="C1210" s="63" t="s">
        <v>4758</v>
      </c>
      <c r="D1210" s="64" t="s">
        <v>4759</v>
      </c>
      <c r="E1210" s="336">
        <v>6</v>
      </c>
      <c r="F1210" s="63" t="s">
        <v>2815</v>
      </c>
      <c r="G1210" s="65">
        <v>45299</v>
      </c>
      <c r="H1210" s="65" t="s">
        <v>76</v>
      </c>
      <c r="I1210" s="65" t="s">
        <v>4746</v>
      </c>
      <c r="J1210" s="63" t="s">
        <v>3776</v>
      </c>
      <c r="K1210" s="63" t="s">
        <v>2092</v>
      </c>
      <c r="L1210" s="7" t="s">
        <v>725</v>
      </c>
    </row>
    <row r="1211" spans="1:12" ht="30" customHeight="1">
      <c r="A1211" s="172" t="str">
        <f t="shared" si="36"/>
        <v>08/01/20242</v>
      </c>
      <c r="B1211" s="166">
        <f t="shared" si="37"/>
        <v>2</v>
      </c>
      <c r="C1211" s="63" t="s">
        <v>5084</v>
      </c>
      <c r="D1211" s="64" t="s">
        <v>5033</v>
      </c>
      <c r="E1211" s="336">
        <v>7</v>
      </c>
      <c r="F1211" s="63" t="s">
        <v>2752</v>
      </c>
      <c r="G1211" s="349">
        <v>45299</v>
      </c>
      <c r="H1211" s="65" t="s">
        <v>76</v>
      </c>
      <c r="I1211" s="65" t="s">
        <v>78</v>
      </c>
      <c r="J1211" s="336">
        <f>IFERROR(VLOOKUP(I1211,Jueces!$A$1:$B$11,2,FALSE),"")</f>
        <v>8</v>
      </c>
      <c r="K1211" s="63" t="s">
        <v>4784</v>
      </c>
      <c r="L1211" s="63" t="s">
        <v>5034</v>
      </c>
    </row>
    <row r="1212" spans="1:12" ht="30" customHeight="1">
      <c r="A1212" s="172" t="str">
        <f t="shared" si="36"/>
        <v>08/01/20243</v>
      </c>
      <c r="B1212" s="166">
        <f t="shared" si="37"/>
        <v>3</v>
      </c>
      <c r="C1212" s="63" t="s">
        <v>4629</v>
      </c>
      <c r="D1212" s="64" t="s">
        <v>4630</v>
      </c>
      <c r="E1212" s="336">
        <v>6</v>
      </c>
      <c r="F1212" s="63" t="s">
        <v>568</v>
      </c>
      <c r="G1212" s="349">
        <v>45299</v>
      </c>
      <c r="H1212" s="65" t="s">
        <v>75</v>
      </c>
      <c r="I1212" s="65" t="s">
        <v>4746</v>
      </c>
      <c r="J1212" s="63" t="s">
        <v>4057</v>
      </c>
      <c r="K1212" s="63" t="s">
        <v>809</v>
      </c>
      <c r="L1212" s="63" t="s">
        <v>725</v>
      </c>
    </row>
    <row r="1213" spans="1:12" ht="30" customHeight="1">
      <c r="A1213" s="172" t="str">
        <f t="shared" si="36"/>
        <v>08/01/20244</v>
      </c>
      <c r="B1213" s="166">
        <f t="shared" si="37"/>
        <v>4</v>
      </c>
      <c r="C1213" s="63" t="s">
        <v>4760</v>
      </c>
      <c r="D1213" s="64" t="s">
        <v>4761</v>
      </c>
      <c r="E1213" s="336">
        <v>6</v>
      </c>
      <c r="F1213" s="63" t="s">
        <v>4749</v>
      </c>
      <c r="G1213" s="349">
        <v>45299</v>
      </c>
      <c r="H1213" s="65" t="s">
        <v>75</v>
      </c>
      <c r="I1213" s="65" t="s">
        <v>1680</v>
      </c>
      <c r="J1213" s="63" t="s">
        <v>1982</v>
      </c>
      <c r="K1213" s="63" t="s">
        <v>806</v>
      </c>
      <c r="L1213" s="63" t="s">
        <v>725</v>
      </c>
    </row>
    <row r="1214" spans="1:12" ht="30" customHeight="1">
      <c r="A1214" s="172" t="str">
        <f t="shared" si="36"/>
        <v>08/01/20245</v>
      </c>
      <c r="B1214" s="166">
        <f t="shared" si="37"/>
        <v>5</v>
      </c>
      <c r="C1214" s="63" t="s">
        <v>4762</v>
      </c>
      <c r="D1214" s="64" t="s">
        <v>4763</v>
      </c>
      <c r="E1214" s="336">
        <v>7</v>
      </c>
      <c r="F1214" s="336" t="s">
        <v>2751</v>
      </c>
      <c r="G1214" s="349">
        <v>45299</v>
      </c>
      <c r="H1214" s="65" t="s">
        <v>75</v>
      </c>
      <c r="I1214" s="349" t="s">
        <v>78</v>
      </c>
      <c r="J1214" s="336">
        <f>IFERROR(VLOOKUP(I1214,Jueces!$A$1:$B$11,2,FALSE),"")</f>
        <v>8</v>
      </c>
      <c r="K1214" s="63" t="s">
        <v>807</v>
      </c>
      <c r="L1214" s="63" t="s">
        <v>767</v>
      </c>
    </row>
    <row r="1215" spans="1:12" ht="30" customHeight="1">
      <c r="A1215" s="172" t="str">
        <f t="shared" si="36"/>
        <v>08/01/20246</v>
      </c>
      <c r="B1215" s="166">
        <f t="shared" si="37"/>
        <v>6</v>
      </c>
      <c r="C1215" s="325" t="s">
        <v>4755</v>
      </c>
      <c r="D1215" s="64" t="s">
        <v>4756</v>
      </c>
      <c r="E1215" s="336">
        <v>6</v>
      </c>
      <c r="F1215" s="336" t="s">
        <v>3323</v>
      </c>
      <c r="G1215" s="65">
        <v>45299</v>
      </c>
      <c r="H1215" s="65" t="s">
        <v>77</v>
      </c>
      <c r="I1215" s="349" t="s">
        <v>4746</v>
      </c>
      <c r="J1215" s="63" t="s">
        <v>1341</v>
      </c>
      <c r="K1215" s="63" t="s">
        <v>792</v>
      </c>
      <c r="L1215" s="63" t="s">
        <v>725</v>
      </c>
    </row>
    <row r="1216" spans="1:12" ht="30" customHeight="1">
      <c r="A1216" s="172" t="str">
        <f t="shared" si="36"/>
        <v>08/01/20247</v>
      </c>
      <c r="B1216" s="166">
        <f t="shared" si="37"/>
        <v>7</v>
      </c>
      <c r="C1216" s="63" t="s">
        <v>4808</v>
      </c>
      <c r="D1216" s="64" t="s">
        <v>4809</v>
      </c>
      <c r="E1216" s="336">
        <v>6</v>
      </c>
      <c r="F1216" s="63" t="s">
        <v>2753</v>
      </c>
      <c r="G1216" s="65">
        <v>45299</v>
      </c>
      <c r="H1216" s="65" t="s">
        <v>77</v>
      </c>
      <c r="I1216" s="65" t="s">
        <v>1680</v>
      </c>
      <c r="J1216" s="63" t="s">
        <v>1982</v>
      </c>
      <c r="K1216" s="63" t="s">
        <v>4789</v>
      </c>
      <c r="L1216" s="63" t="s">
        <v>723</v>
      </c>
    </row>
    <row r="1217" spans="1:12" ht="30" customHeight="1">
      <c r="A1217" s="172" t="str">
        <f t="shared" si="36"/>
        <v>08/01/20248</v>
      </c>
      <c r="B1217" s="166">
        <f t="shared" si="37"/>
        <v>8</v>
      </c>
      <c r="C1217" s="63" t="s">
        <v>4804</v>
      </c>
      <c r="D1217" s="64" t="s">
        <v>4805</v>
      </c>
      <c r="E1217" s="336">
        <v>6</v>
      </c>
      <c r="F1217" s="63" t="s">
        <v>3324</v>
      </c>
      <c r="G1217" s="349">
        <v>45299</v>
      </c>
      <c r="H1217" s="65" t="s">
        <v>228</v>
      </c>
      <c r="I1217" s="65" t="s">
        <v>78</v>
      </c>
      <c r="J1217" s="336">
        <f>IFERROR(VLOOKUP(I1217,Jueces!$A$1:$B$11,2,FALSE),"")</f>
        <v>8</v>
      </c>
      <c r="K1217" s="63" t="s">
        <v>4786</v>
      </c>
      <c r="L1217" s="63" t="s">
        <v>725</v>
      </c>
    </row>
    <row r="1218" spans="1:12" ht="30" customHeight="1">
      <c r="A1218" s="172" t="str">
        <f t="shared" si="36"/>
        <v>09/01/20241</v>
      </c>
      <c r="B1218" s="166">
        <f t="shared" si="37"/>
        <v>1</v>
      </c>
      <c r="C1218" s="63" t="s">
        <v>4806</v>
      </c>
      <c r="D1218" s="64" t="s">
        <v>4807</v>
      </c>
      <c r="E1218" s="336">
        <v>6</v>
      </c>
      <c r="F1218" s="63" t="s">
        <v>568</v>
      </c>
      <c r="G1218" s="349">
        <v>45300</v>
      </c>
      <c r="H1218" s="65" t="s">
        <v>76</v>
      </c>
      <c r="I1218" s="65" t="s">
        <v>1220</v>
      </c>
      <c r="J1218" s="63" t="s">
        <v>4057</v>
      </c>
      <c r="K1218" s="63" t="s">
        <v>4788</v>
      </c>
      <c r="L1218" s="63" t="s">
        <v>723</v>
      </c>
    </row>
    <row r="1219" spans="1:12" ht="30" customHeight="1">
      <c r="A1219" s="172" t="str">
        <f t="shared" ref="A1219:A1282" si="38">CONCATENATE(TEXT($G1219,"dd/mm/yyyy"),$B1219)</f>
        <v>09/01/20242</v>
      </c>
      <c r="B1219" s="166">
        <f t="shared" si="37"/>
        <v>2</v>
      </c>
      <c r="C1219" s="336" t="s">
        <v>4093</v>
      </c>
      <c r="D1219" s="355" t="s">
        <v>4094</v>
      </c>
      <c r="E1219" s="336">
        <v>4</v>
      </c>
      <c r="F1219" s="63" t="s">
        <v>2752</v>
      </c>
      <c r="G1219" s="383">
        <v>45300</v>
      </c>
      <c r="H1219" s="65" t="s">
        <v>76</v>
      </c>
      <c r="I1219" s="65" t="s">
        <v>78</v>
      </c>
      <c r="J1219" s="336">
        <f>IFERROR(VLOOKUP(I1219,Jueces!$A$1:$B$11,2,FALSE),"")</f>
        <v>8</v>
      </c>
      <c r="K1219" s="63" t="s">
        <v>811</v>
      </c>
      <c r="L1219" s="63" t="s">
        <v>1956</v>
      </c>
    </row>
    <row r="1220" spans="1:12" ht="30" customHeight="1">
      <c r="A1220" s="172" t="str">
        <f t="shared" si="38"/>
        <v>09/01/20243</v>
      </c>
      <c r="B1220" s="166">
        <f t="shared" ref="B1220:B1283" si="39">IF($G1220=$G1219,$B1219+1,1)</f>
        <v>3</v>
      </c>
      <c r="C1220" s="63" t="s">
        <v>4810</v>
      </c>
      <c r="D1220" s="64" t="s">
        <v>4811</v>
      </c>
      <c r="E1220" s="336">
        <v>6</v>
      </c>
      <c r="F1220" s="63" t="s">
        <v>2753</v>
      </c>
      <c r="G1220" s="349">
        <v>45300</v>
      </c>
      <c r="H1220" s="65" t="s">
        <v>75</v>
      </c>
      <c r="I1220" s="65" t="s">
        <v>78</v>
      </c>
      <c r="J1220" s="336">
        <f>IFERROR(VLOOKUP(I1220,Jueces!$A$1:$B$11,2,FALSE),"")</f>
        <v>8</v>
      </c>
      <c r="K1220" s="63" t="s">
        <v>4778</v>
      </c>
      <c r="L1220" s="63" t="s">
        <v>725</v>
      </c>
    </row>
    <row r="1221" spans="1:12" ht="30" customHeight="1">
      <c r="A1221" s="172" t="str">
        <f t="shared" si="38"/>
        <v>09/01/20244</v>
      </c>
      <c r="B1221" s="166">
        <f t="shared" si="39"/>
        <v>4</v>
      </c>
      <c r="C1221" s="7" t="s">
        <v>4919</v>
      </c>
      <c r="D1221" s="420" t="s">
        <v>4918</v>
      </c>
      <c r="E1221" s="328">
        <v>7</v>
      </c>
      <c r="F1221" s="328" t="s">
        <v>2815</v>
      </c>
      <c r="G1221" s="19">
        <v>45300</v>
      </c>
      <c r="H1221" s="19" t="s">
        <v>75</v>
      </c>
      <c r="I1221" s="376" t="s">
        <v>4746</v>
      </c>
      <c r="J1221" s="7" t="s">
        <v>1341</v>
      </c>
      <c r="K1221" s="7" t="s">
        <v>4788</v>
      </c>
      <c r="L1221" s="7" t="s">
        <v>723</v>
      </c>
    </row>
    <row r="1222" spans="1:12" ht="30" customHeight="1">
      <c r="A1222" s="172" t="str">
        <f t="shared" si="38"/>
        <v>09/01/20245</v>
      </c>
      <c r="B1222" s="166">
        <f t="shared" si="39"/>
        <v>5</v>
      </c>
      <c r="C1222" s="63" t="s">
        <v>2093</v>
      </c>
      <c r="D1222" s="64" t="s">
        <v>4868</v>
      </c>
      <c r="E1222" s="336">
        <v>1</v>
      </c>
      <c r="F1222" s="336" t="s">
        <v>4749</v>
      </c>
      <c r="G1222" s="383">
        <v>45300</v>
      </c>
      <c r="H1222" s="65" t="s">
        <v>77</v>
      </c>
      <c r="I1222" s="349" t="s">
        <v>4746</v>
      </c>
      <c r="J1222" s="63" t="s">
        <v>1341</v>
      </c>
      <c r="K1222" s="63" t="s">
        <v>192</v>
      </c>
      <c r="L1222" s="335" t="s">
        <v>3394</v>
      </c>
    </row>
    <row r="1223" spans="1:12" ht="30" customHeight="1">
      <c r="A1223" s="172" t="str">
        <f t="shared" si="38"/>
        <v>09/01/20246</v>
      </c>
      <c r="B1223" s="166">
        <f t="shared" si="39"/>
        <v>6</v>
      </c>
      <c r="C1223" s="63" t="s">
        <v>4822</v>
      </c>
      <c r="D1223" s="64" t="s">
        <v>4827</v>
      </c>
      <c r="E1223" s="336">
        <v>5</v>
      </c>
      <c r="F1223" s="63" t="s">
        <v>2751</v>
      </c>
      <c r="G1223" s="349">
        <v>45300</v>
      </c>
      <c r="H1223" s="65" t="s">
        <v>77</v>
      </c>
      <c r="I1223" s="65" t="s">
        <v>78</v>
      </c>
      <c r="J1223" s="336">
        <f>IFERROR(VLOOKUP(I1223,Jueces!$A$1:$B$11,2,FALSE),"")</f>
        <v>8</v>
      </c>
      <c r="K1223" s="63" t="s">
        <v>806</v>
      </c>
      <c r="L1223" s="63" t="s">
        <v>2107</v>
      </c>
    </row>
    <row r="1224" spans="1:12" ht="30" customHeight="1">
      <c r="A1224" s="172" t="str">
        <f t="shared" si="38"/>
        <v>09/01/20247</v>
      </c>
      <c r="B1224" s="166">
        <f t="shared" si="39"/>
        <v>7</v>
      </c>
      <c r="C1224" s="7" t="s">
        <v>4850</v>
      </c>
      <c r="D1224" s="40" t="s">
        <v>5158</v>
      </c>
      <c r="E1224" s="328">
        <v>6</v>
      </c>
      <c r="F1224" s="328" t="s">
        <v>2752</v>
      </c>
      <c r="G1224" s="376">
        <v>45300</v>
      </c>
      <c r="H1224" s="19" t="s">
        <v>77</v>
      </c>
      <c r="I1224" s="376" t="s">
        <v>1220</v>
      </c>
      <c r="J1224" s="7" t="s">
        <v>4118</v>
      </c>
      <c r="K1224" s="7" t="s">
        <v>4780</v>
      </c>
      <c r="L1224" s="7" t="s">
        <v>723</v>
      </c>
    </row>
    <row r="1225" spans="1:12" ht="30" customHeight="1">
      <c r="A1225" s="172" t="str">
        <f t="shared" si="38"/>
        <v>09/01/20248</v>
      </c>
      <c r="B1225" s="166">
        <f t="shared" si="39"/>
        <v>8</v>
      </c>
      <c r="C1225" s="421" t="s">
        <v>4825</v>
      </c>
      <c r="D1225" s="108" t="s">
        <v>4826</v>
      </c>
      <c r="E1225" s="384">
        <v>5</v>
      </c>
      <c r="F1225" s="107" t="s">
        <v>3324</v>
      </c>
      <c r="G1225" s="385">
        <v>45300</v>
      </c>
      <c r="H1225" s="253" t="s">
        <v>2011</v>
      </c>
      <c r="I1225" s="253" t="s">
        <v>1220</v>
      </c>
      <c r="J1225" s="107" t="s">
        <v>4057</v>
      </c>
      <c r="K1225" s="107" t="s">
        <v>4782</v>
      </c>
      <c r="L1225" s="107" t="s">
        <v>695</v>
      </c>
    </row>
    <row r="1226" spans="1:12" ht="30" customHeight="1">
      <c r="A1226" s="172" t="str">
        <f t="shared" si="38"/>
        <v>09/01/20249</v>
      </c>
      <c r="B1226" s="166">
        <f t="shared" si="39"/>
        <v>9</v>
      </c>
      <c r="C1226" s="63" t="s">
        <v>4839</v>
      </c>
      <c r="D1226" s="64" t="s">
        <v>4840</v>
      </c>
      <c r="E1226" s="336">
        <v>5</v>
      </c>
      <c r="F1226" s="63" t="s">
        <v>3871</v>
      </c>
      <c r="G1226" s="349">
        <v>45300</v>
      </c>
      <c r="H1226" s="65" t="s">
        <v>2011</v>
      </c>
      <c r="I1226" s="65" t="s">
        <v>1217</v>
      </c>
      <c r="J1226" s="63">
        <v>7</v>
      </c>
      <c r="K1226" s="63" t="s">
        <v>569</v>
      </c>
      <c r="L1226" s="63" t="s">
        <v>3381</v>
      </c>
    </row>
    <row r="1227" spans="1:12" ht="30" customHeight="1">
      <c r="A1227" s="172" t="str">
        <f t="shared" si="38"/>
        <v>10/01/20241</v>
      </c>
      <c r="B1227" s="166">
        <f t="shared" si="39"/>
        <v>1</v>
      </c>
      <c r="C1227" s="336" t="s">
        <v>4764</v>
      </c>
      <c r="D1227" s="355" t="s">
        <v>4765</v>
      </c>
      <c r="E1227" s="336">
        <v>5</v>
      </c>
      <c r="F1227" s="63" t="s">
        <v>2751</v>
      </c>
      <c r="G1227" s="349">
        <v>45301</v>
      </c>
      <c r="H1227" s="65" t="s">
        <v>76</v>
      </c>
      <c r="I1227" s="65" t="s">
        <v>1220</v>
      </c>
      <c r="J1227" s="63" t="s">
        <v>4057</v>
      </c>
      <c r="K1227" s="63" t="s">
        <v>827</v>
      </c>
      <c r="L1227" s="335" t="s">
        <v>3381</v>
      </c>
    </row>
    <row r="1228" spans="1:12" ht="30" customHeight="1">
      <c r="A1228" s="172" t="str">
        <f t="shared" si="38"/>
        <v>10/01/20242</v>
      </c>
      <c r="B1228" s="166">
        <f t="shared" si="39"/>
        <v>2</v>
      </c>
      <c r="C1228" s="63" t="s">
        <v>4828</v>
      </c>
      <c r="D1228" s="64" t="s">
        <v>4829</v>
      </c>
      <c r="E1228" s="336">
        <v>5</v>
      </c>
      <c r="F1228" s="63" t="s">
        <v>2753</v>
      </c>
      <c r="G1228" s="349">
        <v>45301</v>
      </c>
      <c r="H1228" s="65" t="s">
        <v>76</v>
      </c>
      <c r="I1228" s="65" t="s">
        <v>78</v>
      </c>
      <c r="J1228" s="336">
        <f>IFERROR(VLOOKUP(I1228,Jueces!$A$1:$B$11,2,FALSE),"")</f>
        <v>8</v>
      </c>
      <c r="K1228" s="63" t="s">
        <v>4792</v>
      </c>
      <c r="L1228" s="63" t="s">
        <v>2201</v>
      </c>
    </row>
    <row r="1229" spans="1:12" ht="30" customHeight="1">
      <c r="A1229" s="172" t="str">
        <f t="shared" si="38"/>
        <v>10/01/20243</v>
      </c>
      <c r="B1229" s="166">
        <f t="shared" si="39"/>
        <v>3</v>
      </c>
      <c r="C1229" s="63" t="s">
        <v>4846</v>
      </c>
      <c r="D1229" s="64" t="s">
        <v>4852</v>
      </c>
      <c r="E1229" s="336">
        <v>6</v>
      </c>
      <c r="F1229" s="63" t="s">
        <v>3324</v>
      </c>
      <c r="G1229" s="349">
        <v>45301</v>
      </c>
      <c r="H1229" s="65" t="s">
        <v>76</v>
      </c>
      <c r="I1229" s="65" t="s">
        <v>4746</v>
      </c>
      <c r="J1229" s="63" t="s">
        <v>3776</v>
      </c>
      <c r="K1229" s="63" t="s">
        <v>806</v>
      </c>
      <c r="L1229" s="63" t="s">
        <v>723</v>
      </c>
    </row>
    <row r="1230" spans="1:12" ht="30" customHeight="1">
      <c r="A1230" s="172" t="str">
        <f t="shared" si="38"/>
        <v>10/01/20244</v>
      </c>
      <c r="B1230" s="166">
        <f t="shared" si="39"/>
        <v>4</v>
      </c>
      <c r="C1230" s="63" t="s">
        <v>4830</v>
      </c>
      <c r="D1230" s="355" t="s">
        <v>4831</v>
      </c>
      <c r="E1230" s="336">
        <v>5</v>
      </c>
      <c r="F1230" s="63" t="s">
        <v>2815</v>
      </c>
      <c r="G1230" s="349">
        <v>45301</v>
      </c>
      <c r="H1230" s="65" t="s">
        <v>75</v>
      </c>
      <c r="I1230" s="65" t="s">
        <v>4746</v>
      </c>
      <c r="J1230" s="63" t="s">
        <v>3776</v>
      </c>
      <c r="K1230" s="63" t="s">
        <v>4786</v>
      </c>
      <c r="L1230" s="335" t="s">
        <v>4832</v>
      </c>
    </row>
    <row r="1231" spans="1:12" ht="30" customHeight="1">
      <c r="A1231" s="172" t="str">
        <f t="shared" si="38"/>
        <v>10/01/20245</v>
      </c>
      <c r="B1231" s="166">
        <f t="shared" si="39"/>
        <v>5</v>
      </c>
      <c r="C1231" s="63" t="s">
        <v>4835</v>
      </c>
      <c r="D1231" s="355" t="s">
        <v>4836</v>
      </c>
      <c r="E1231" s="336">
        <v>5</v>
      </c>
      <c r="F1231" s="63" t="s">
        <v>3323</v>
      </c>
      <c r="G1231" s="349">
        <v>45301</v>
      </c>
      <c r="H1231" s="65" t="s">
        <v>75</v>
      </c>
      <c r="I1231" s="65" t="s">
        <v>78</v>
      </c>
      <c r="J1231" s="336">
        <f>IFERROR(VLOOKUP(I1231,Jueces!$A$1:$B$11,2,FALSE),"")</f>
        <v>8</v>
      </c>
      <c r="K1231" s="63" t="s">
        <v>4790</v>
      </c>
      <c r="L1231" s="63" t="s">
        <v>2107</v>
      </c>
    </row>
    <row r="1232" spans="1:12" ht="30" customHeight="1">
      <c r="A1232" s="172" t="str">
        <f t="shared" si="38"/>
        <v>10/01/20246</v>
      </c>
      <c r="B1232" s="166">
        <f t="shared" si="39"/>
        <v>6</v>
      </c>
      <c r="C1232" s="63" t="s">
        <v>4844</v>
      </c>
      <c r="D1232" s="355" t="s">
        <v>4843</v>
      </c>
      <c r="E1232" s="336">
        <v>7</v>
      </c>
      <c r="F1232" s="63" t="s">
        <v>2752</v>
      </c>
      <c r="G1232" s="349">
        <v>45301</v>
      </c>
      <c r="H1232" s="65" t="s">
        <v>75</v>
      </c>
      <c r="I1232" s="65" t="s">
        <v>1220</v>
      </c>
      <c r="J1232" s="63" t="s">
        <v>4057</v>
      </c>
      <c r="K1232" s="63" t="s">
        <v>805</v>
      </c>
      <c r="L1232" s="63" t="s">
        <v>767</v>
      </c>
    </row>
    <row r="1233" spans="1:12" ht="30" customHeight="1">
      <c r="A1233" s="172" t="str">
        <f t="shared" si="38"/>
        <v>10/01/20247</v>
      </c>
      <c r="B1233" s="166">
        <f t="shared" si="39"/>
        <v>7</v>
      </c>
      <c r="C1233" s="336" t="s">
        <v>3447</v>
      </c>
      <c r="D1233" s="355" t="s">
        <v>3453</v>
      </c>
      <c r="E1233" s="336">
        <v>2</v>
      </c>
      <c r="F1233" s="63" t="s">
        <v>4749</v>
      </c>
      <c r="G1233" s="383">
        <v>45301</v>
      </c>
      <c r="H1233" s="65" t="s">
        <v>77</v>
      </c>
      <c r="I1233" s="349" t="s">
        <v>4746</v>
      </c>
      <c r="J1233" s="63" t="s">
        <v>3776</v>
      </c>
      <c r="K1233" s="63" t="s">
        <v>812</v>
      </c>
      <c r="L1233" s="63" t="s">
        <v>2680</v>
      </c>
    </row>
    <row r="1234" spans="1:12" ht="30" customHeight="1">
      <c r="A1234" s="172" t="str">
        <f t="shared" si="38"/>
        <v>10/01/20248</v>
      </c>
      <c r="B1234" s="166">
        <f t="shared" si="39"/>
        <v>8</v>
      </c>
      <c r="C1234" s="63" t="s">
        <v>4866</v>
      </c>
      <c r="D1234" s="64" t="s">
        <v>4867</v>
      </c>
      <c r="E1234" s="336">
        <v>7</v>
      </c>
      <c r="F1234" s="63" t="s">
        <v>2751</v>
      </c>
      <c r="G1234" s="349">
        <v>45301</v>
      </c>
      <c r="H1234" s="65" t="s">
        <v>77</v>
      </c>
      <c r="I1234" s="65" t="s">
        <v>1220</v>
      </c>
      <c r="J1234" s="63" t="s">
        <v>4057</v>
      </c>
      <c r="K1234" s="63" t="s">
        <v>4781</v>
      </c>
      <c r="L1234" s="7" t="s">
        <v>723</v>
      </c>
    </row>
    <row r="1235" spans="1:12" ht="30" customHeight="1">
      <c r="A1235" s="172" t="str">
        <f t="shared" si="38"/>
        <v>10/01/20249</v>
      </c>
      <c r="B1235" s="166">
        <f t="shared" si="39"/>
        <v>9</v>
      </c>
      <c r="C1235" s="63" t="s">
        <v>4820</v>
      </c>
      <c r="D1235" s="64" t="s">
        <v>4821</v>
      </c>
      <c r="E1235" s="336">
        <v>7</v>
      </c>
      <c r="F1235" s="336" t="s">
        <v>4749</v>
      </c>
      <c r="G1235" s="349">
        <v>45301</v>
      </c>
      <c r="H1235" s="65" t="s">
        <v>2011</v>
      </c>
      <c r="I1235" s="349" t="s">
        <v>4746</v>
      </c>
      <c r="J1235" s="63" t="s">
        <v>1341</v>
      </c>
      <c r="K1235" s="63" t="s">
        <v>4766</v>
      </c>
      <c r="L1235" s="63" t="s">
        <v>723</v>
      </c>
    </row>
    <row r="1236" spans="1:12" ht="30" customHeight="1">
      <c r="A1236" s="172" t="str">
        <f t="shared" si="38"/>
        <v>11/01/20241</v>
      </c>
      <c r="B1236" s="166">
        <f t="shared" si="39"/>
        <v>1</v>
      </c>
      <c r="C1236" s="336" t="s">
        <v>3676</v>
      </c>
      <c r="D1236" s="355" t="s">
        <v>3688</v>
      </c>
      <c r="E1236" s="336">
        <v>3</v>
      </c>
      <c r="F1236" s="63" t="s">
        <v>4749</v>
      </c>
      <c r="G1236" s="383">
        <v>45302</v>
      </c>
      <c r="H1236" s="65" t="s">
        <v>76</v>
      </c>
      <c r="I1236" s="65" t="s">
        <v>1220</v>
      </c>
      <c r="J1236" s="63" t="s">
        <v>4057</v>
      </c>
      <c r="K1236" s="63" t="s">
        <v>805</v>
      </c>
      <c r="L1236" s="63" t="s">
        <v>1025</v>
      </c>
    </row>
    <row r="1237" spans="1:12" ht="30" customHeight="1">
      <c r="A1237" s="172" t="str">
        <f t="shared" si="38"/>
        <v>11/01/20242</v>
      </c>
      <c r="B1237" s="166">
        <f t="shared" si="39"/>
        <v>2</v>
      </c>
      <c r="C1237" s="63" t="s">
        <v>4849</v>
      </c>
      <c r="D1237" s="355" t="s">
        <v>4848</v>
      </c>
      <c r="E1237" s="336">
        <v>6</v>
      </c>
      <c r="F1237" s="63" t="s">
        <v>3323</v>
      </c>
      <c r="G1237" s="349">
        <v>45302</v>
      </c>
      <c r="H1237" s="65" t="s">
        <v>76</v>
      </c>
      <c r="I1237" s="65" t="s">
        <v>78</v>
      </c>
      <c r="J1237" s="336">
        <f>IFERROR(VLOOKUP(I1237,Jueces!$A$1:$B$11,2,FALSE),"")</f>
        <v>8</v>
      </c>
      <c r="K1237" s="63" t="s">
        <v>582</v>
      </c>
      <c r="L1237" s="339" t="s">
        <v>3381</v>
      </c>
    </row>
    <row r="1238" spans="1:12" ht="30" customHeight="1">
      <c r="A1238" s="172" t="str">
        <f t="shared" si="38"/>
        <v>11/01/20243</v>
      </c>
      <c r="B1238" s="166">
        <f t="shared" si="39"/>
        <v>3</v>
      </c>
      <c r="C1238" s="63" t="s">
        <v>4853</v>
      </c>
      <c r="D1238" s="64" t="s">
        <v>4854</v>
      </c>
      <c r="E1238" s="336">
        <v>6</v>
      </c>
      <c r="F1238" s="63" t="s">
        <v>2752</v>
      </c>
      <c r="G1238" s="349">
        <v>45302</v>
      </c>
      <c r="H1238" s="65" t="s">
        <v>76</v>
      </c>
      <c r="I1238" s="65" t="s">
        <v>4746</v>
      </c>
      <c r="J1238" s="63" t="s">
        <v>3776</v>
      </c>
      <c r="K1238" s="63" t="s">
        <v>4790</v>
      </c>
      <c r="L1238" s="63" t="s">
        <v>725</v>
      </c>
    </row>
    <row r="1239" spans="1:12" ht="30" customHeight="1">
      <c r="A1239" s="172" t="str">
        <f t="shared" si="38"/>
        <v>11/01/20244</v>
      </c>
      <c r="B1239" s="166">
        <f t="shared" si="39"/>
        <v>4</v>
      </c>
      <c r="C1239" s="63" t="s">
        <v>4814</v>
      </c>
      <c r="D1239" s="64" t="s">
        <v>4815</v>
      </c>
      <c r="E1239" s="336">
        <v>6</v>
      </c>
      <c r="F1239" s="63" t="s">
        <v>568</v>
      </c>
      <c r="G1239" s="349">
        <v>45302</v>
      </c>
      <c r="H1239" s="65" t="s">
        <v>75</v>
      </c>
      <c r="I1239" s="65" t="s">
        <v>1220</v>
      </c>
      <c r="J1239" s="63" t="s">
        <v>4057</v>
      </c>
      <c r="K1239" s="63" t="s">
        <v>4791</v>
      </c>
      <c r="L1239" s="63" t="s">
        <v>725</v>
      </c>
    </row>
    <row r="1240" spans="1:12" ht="30" customHeight="1">
      <c r="A1240" s="172" t="str">
        <f t="shared" si="38"/>
        <v>11/01/20245</v>
      </c>
      <c r="B1240" s="166">
        <f t="shared" si="39"/>
        <v>5</v>
      </c>
      <c r="C1240" s="63" t="s">
        <v>4864</v>
      </c>
      <c r="D1240" s="64" t="s">
        <v>4865</v>
      </c>
      <c r="E1240" s="336">
        <v>7</v>
      </c>
      <c r="F1240" s="336" t="s">
        <v>2753</v>
      </c>
      <c r="G1240" s="349">
        <v>45302</v>
      </c>
      <c r="H1240" s="65" t="s">
        <v>75</v>
      </c>
      <c r="I1240" s="349" t="s">
        <v>78</v>
      </c>
      <c r="J1240" s="336">
        <v>8</v>
      </c>
      <c r="K1240" s="63" t="s">
        <v>4791</v>
      </c>
      <c r="L1240" s="63" t="s">
        <v>767</v>
      </c>
    </row>
    <row r="1241" spans="1:12" ht="30" customHeight="1">
      <c r="A1241" s="172" t="str">
        <f t="shared" si="38"/>
        <v>11/01/20246</v>
      </c>
      <c r="B1241" s="166">
        <f t="shared" si="39"/>
        <v>6</v>
      </c>
      <c r="C1241" s="63" t="s">
        <v>4910</v>
      </c>
      <c r="D1241" s="64" t="s">
        <v>4911</v>
      </c>
      <c r="E1241" s="336">
        <v>6</v>
      </c>
      <c r="F1241" s="336" t="s">
        <v>2815</v>
      </c>
      <c r="G1241" s="65">
        <v>45302</v>
      </c>
      <c r="H1241" s="65" t="s">
        <v>75</v>
      </c>
      <c r="I1241" s="349" t="s">
        <v>4746</v>
      </c>
      <c r="J1241" s="63" t="s">
        <v>1341</v>
      </c>
      <c r="K1241" s="63" t="s">
        <v>4778</v>
      </c>
      <c r="L1241" s="63" t="s">
        <v>723</v>
      </c>
    </row>
    <row r="1242" spans="1:12" ht="30" customHeight="1">
      <c r="A1242" s="172" t="str">
        <f t="shared" si="38"/>
        <v>11/01/20247</v>
      </c>
      <c r="B1242" s="166">
        <f t="shared" si="39"/>
        <v>7</v>
      </c>
      <c r="C1242" s="63" t="s">
        <v>4818</v>
      </c>
      <c r="D1242" s="64" t="s">
        <v>4819</v>
      </c>
      <c r="E1242" s="336">
        <v>7</v>
      </c>
      <c r="F1242" s="63" t="s">
        <v>2751</v>
      </c>
      <c r="G1242" s="349">
        <v>45302</v>
      </c>
      <c r="H1242" s="65" t="s">
        <v>77</v>
      </c>
      <c r="I1242" s="65" t="s">
        <v>1220</v>
      </c>
      <c r="J1242" s="63" t="s">
        <v>4057</v>
      </c>
      <c r="K1242" s="63" t="s">
        <v>4791</v>
      </c>
      <c r="L1242" s="63" t="s">
        <v>767</v>
      </c>
    </row>
    <row r="1243" spans="1:12" ht="30" customHeight="1">
      <c r="A1243" s="172" t="str">
        <f t="shared" si="38"/>
        <v>11/01/20248</v>
      </c>
      <c r="B1243" s="166">
        <f t="shared" si="39"/>
        <v>8</v>
      </c>
      <c r="C1243" s="63" t="s">
        <v>4908</v>
      </c>
      <c r="D1243" s="64" t="s">
        <v>4909</v>
      </c>
      <c r="E1243" s="336">
        <v>6</v>
      </c>
      <c r="F1243" s="336" t="s">
        <v>3324</v>
      </c>
      <c r="G1243" s="349">
        <v>45302</v>
      </c>
      <c r="H1243" s="65" t="s">
        <v>77</v>
      </c>
      <c r="I1243" s="349" t="s">
        <v>4746</v>
      </c>
      <c r="J1243" s="63" t="s">
        <v>1341</v>
      </c>
      <c r="K1243" s="63" t="s">
        <v>4780</v>
      </c>
      <c r="L1243" s="63" t="s">
        <v>723</v>
      </c>
    </row>
    <row r="1244" spans="1:12" ht="30" customHeight="1">
      <c r="A1244" s="172" t="str">
        <f t="shared" si="38"/>
        <v>11/01/20249</v>
      </c>
      <c r="B1244" s="166">
        <f t="shared" si="39"/>
        <v>9</v>
      </c>
      <c r="C1244" s="63" t="s">
        <v>4914</v>
      </c>
      <c r="D1244" s="355" t="s">
        <v>4915</v>
      </c>
      <c r="E1244" s="336">
        <v>7</v>
      </c>
      <c r="F1244" s="336" t="s">
        <v>4749</v>
      </c>
      <c r="G1244" s="65">
        <v>45302</v>
      </c>
      <c r="H1244" s="65" t="s">
        <v>228</v>
      </c>
      <c r="I1244" s="349" t="s">
        <v>78</v>
      </c>
      <c r="J1244" s="336">
        <f>IFERROR(VLOOKUP(I1244,Jueces!$A$1:$B$11,2,FALSE),"")</f>
        <v>8</v>
      </c>
      <c r="K1244" s="63" t="s">
        <v>4790</v>
      </c>
      <c r="L1244" s="63" t="s">
        <v>767</v>
      </c>
    </row>
    <row r="1245" spans="1:12" ht="30" customHeight="1">
      <c r="A1245" s="172" t="str">
        <f t="shared" si="38"/>
        <v>12/01/20241</v>
      </c>
      <c r="B1245" s="166">
        <f t="shared" si="39"/>
        <v>1</v>
      </c>
      <c r="C1245" s="63" t="s">
        <v>4837</v>
      </c>
      <c r="D1245" s="64" t="s">
        <v>4838</v>
      </c>
      <c r="E1245" s="336">
        <v>5</v>
      </c>
      <c r="F1245" s="336" t="s">
        <v>568</v>
      </c>
      <c r="G1245" s="349">
        <v>45303</v>
      </c>
      <c r="H1245" s="65" t="s">
        <v>76</v>
      </c>
      <c r="I1245" s="349" t="s">
        <v>78</v>
      </c>
      <c r="J1245" s="336">
        <f>IFERROR(VLOOKUP(I1245,Jueces!$A$1:$B$11,2,FALSE),"")</f>
        <v>8</v>
      </c>
      <c r="K1245" s="63" t="s">
        <v>4767</v>
      </c>
      <c r="L1245" s="63" t="s">
        <v>2201</v>
      </c>
    </row>
    <row r="1246" spans="1:12" ht="30" customHeight="1">
      <c r="A1246" s="172" t="str">
        <f t="shared" si="38"/>
        <v>12/01/20242</v>
      </c>
      <c r="B1246" s="166">
        <f t="shared" si="39"/>
        <v>2</v>
      </c>
      <c r="C1246" s="63" t="s">
        <v>4855</v>
      </c>
      <c r="D1246" s="64" t="s">
        <v>4856</v>
      </c>
      <c r="E1246" s="336">
        <v>7</v>
      </c>
      <c r="F1246" s="336" t="s">
        <v>2753</v>
      </c>
      <c r="G1246" s="349">
        <v>45303</v>
      </c>
      <c r="H1246" s="65" t="s">
        <v>76</v>
      </c>
      <c r="I1246" s="349" t="s">
        <v>4746</v>
      </c>
      <c r="J1246" s="63" t="s">
        <v>1341</v>
      </c>
      <c r="K1246" s="63" t="s">
        <v>802</v>
      </c>
      <c r="L1246" s="63" t="s">
        <v>767</v>
      </c>
    </row>
    <row r="1247" spans="1:12" ht="30" customHeight="1">
      <c r="A1247" s="172" t="str">
        <f t="shared" si="38"/>
        <v>12/01/20243</v>
      </c>
      <c r="B1247" s="166">
        <f t="shared" si="39"/>
        <v>3</v>
      </c>
      <c r="C1247" s="63" t="s">
        <v>4857</v>
      </c>
      <c r="D1247" s="64" t="s">
        <v>4858</v>
      </c>
      <c r="E1247" s="336">
        <v>5</v>
      </c>
      <c r="F1247" s="336" t="s">
        <v>3323</v>
      </c>
      <c r="G1247" s="349">
        <v>45303</v>
      </c>
      <c r="H1247" s="65" t="s">
        <v>76</v>
      </c>
      <c r="I1247" s="349" t="s">
        <v>1220</v>
      </c>
      <c r="J1247" s="63" t="s">
        <v>4118</v>
      </c>
      <c r="K1247" s="63" t="s">
        <v>582</v>
      </c>
      <c r="L1247" s="335" t="s">
        <v>4859</v>
      </c>
    </row>
    <row r="1248" spans="1:12" ht="30" customHeight="1">
      <c r="A1248" s="172" t="str">
        <f t="shared" si="38"/>
        <v>12/01/20244</v>
      </c>
      <c r="B1248" s="166">
        <f t="shared" si="39"/>
        <v>4</v>
      </c>
      <c r="C1248" s="63" t="s">
        <v>4913</v>
      </c>
      <c r="D1248" s="355" t="s">
        <v>4912</v>
      </c>
      <c r="E1248" s="336">
        <v>7</v>
      </c>
      <c r="F1248" s="336" t="s">
        <v>2751</v>
      </c>
      <c r="G1248" s="349">
        <v>45303</v>
      </c>
      <c r="H1248" s="65" t="s">
        <v>75</v>
      </c>
      <c r="I1248" s="349" t="s">
        <v>78</v>
      </c>
      <c r="J1248" s="336">
        <f>IFERROR(VLOOKUP(I1248,Jueces!$A$1:$B$11,2,FALSE),"")</f>
        <v>8</v>
      </c>
      <c r="K1248" s="63" t="s">
        <v>4789</v>
      </c>
      <c r="L1248" s="63" t="s">
        <v>723</v>
      </c>
    </row>
    <row r="1249" spans="1:12" ht="30" customHeight="1">
      <c r="A1249" s="172" t="str">
        <f t="shared" si="38"/>
        <v>12/01/20245</v>
      </c>
      <c r="B1249" s="166">
        <f t="shared" si="39"/>
        <v>5</v>
      </c>
      <c r="C1249" s="63" t="s">
        <v>4921</v>
      </c>
      <c r="D1249" s="355" t="s">
        <v>4920</v>
      </c>
      <c r="E1249" s="336">
        <v>7</v>
      </c>
      <c r="F1249" s="336" t="s">
        <v>3324</v>
      </c>
      <c r="G1249" s="349">
        <v>45303</v>
      </c>
      <c r="H1249" s="65" t="s">
        <v>75</v>
      </c>
      <c r="I1249" s="349" t="s">
        <v>4746</v>
      </c>
      <c r="J1249" s="63" t="s">
        <v>1341</v>
      </c>
      <c r="K1249" s="63" t="s">
        <v>805</v>
      </c>
      <c r="L1249" s="63" t="s">
        <v>767</v>
      </c>
    </row>
    <row r="1250" spans="1:12" ht="30" customHeight="1">
      <c r="A1250" s="172" t="str">
        <f t="shared" si="38"/>
        <v>12/01/20246</v>
      </c>
      <c r="B1250" s="166">
        <f t="shared" si="39"/>
        <v>6</v>
      </c>
      <c r="C1250" s="63" t="s">
        <v>4945</v>
      </c>
      <c r="D1250" s="64" t="s">
        <v>4946</v>
      </c>
      <c r="E1250" s="336">
        <v>7</v>
      </c>
      <c r="F1250" s="336" t="s">
        <v>4749</v>
      </c>
      <c r="G1250" s="349">
        <v>45303</v>
      </c>
      <c r="H1250" s="65" t="s">
        <v>75</v>
      </c>
      <c r="I1250" s="349" t="s">
        <v>1220</v>
      </c>
      <c r="J1250" s="63" t="s">
        <v>4118</v>
      </c>
      <c r="K1250" s="63" t="s">
        <v>569</v>
      </c>
      <c r="L1250" s="63" t="s">
        <v>693</v>
      </c>
    </row>
    <row r="1251" spans="1:12" ht="30" customHeight="1">
      <c r="A1251" s="172" t="str">
        <f t="shared" si="38"/>
        <v>12/01/20247</v>
      </c>
      <c r="B1251" s="166">
        <f t="shared" si="39"/>
        <v>7</v>
      </c>
      <c r="C1251" s="325" t="s">
        <v>4802</v>
      </c>
      <c r="D1251" s="64" t="s">
        <v>4803</v>
      </c>
      <c r="E1251" s="336">
        <v>6</v>
      </c>
      <c r="F1251" s="63" t="s">
        <v>568</v>
      </c>
      <c r="G1251" s="349">
        <v>45303</v>
      </c>
      <c r="H1251" s="65" t="s">
        <v>77</v>
      </c>
      <c r="I1251" s="65" t="s">
        <v>1220</v>
      </c>
      <c r="J1251" s="63" t="s">
        <v>4118</v>
      </c>
      <c r="K1251" s="63" t="s">
        <v>4777</v>
      </c>
      <c r="L1251" s="63" t="s">
        <v>723</v>
      </c>
    </row>
    <row r="1252" spans="1:12" ht="30" customHeight="1">
      <c r="A1252" s="172" t="str">
        <f t="shared" si="38"/>
        <v>12/01/20248</v>
      </c>
      <c r="B1252" s="166">
        <f t="shared" si="39"/>
        <v>8</v>
      </c>
      <c r="C1252" s="63" t="s">
        <v>4916</v>
      </c>
      <c r="D1252" s="64" t="s">
        <v>4917</v>
      </c>
      <c r="E1252" s="336">
        <v>7</v>
      </c>
      <c r="F1252" s="336" t="s">
        <v>2753</v>
      </c>
      <c r="G1252" s="349">
        <v>45303</v>
      </c>
      <c r="H1252" s="65" t="s">
        <v>77</v>
      </c>
      <c r="I1252" s="349" t="s">
        <v>4746</v>
      </c>
      <c r="J1252" s="63" t="s">
        <v>1341</v>
      </c>
      <c r="K1252" s="63" t="s">
        <v>4788</v>
      </c>
      <c r="L1252" s="63" t="s">
        <v>767</v>
      </c>
    </row>
    <row r="1253" spans="1:12" ht="30" customHeight="1">
      <c r="A1253" s="172" t="str">
        <f t="shared" si="38"/>
        <v>12/01/20249</v>
      </c>
      <c r="B1253" s="166">
        <f t="shared" si="39"/>
        <v>9</v>
      </c>
      <c r="C1253" s="63" t="s">
        <v>4927</v>
      </c>
      <c r="D1253" s="64" t="s">
        <v>4928</v>
      </c>
      <c r="E1253" s="336">
        <v>7</v>
      </c>
      <c r="F1253" s="336" t="s">
        <v>2815</v>
      </c>
      <c r="G1253" s="349">
        <v>45303</v>
      </c>
      <c r="H1253" s="65" t="s">
        <v>77</v>
      </c>
      <c r="I1253" s="349" t="s">
        <v>78</v>
      </c>
      <c r="J1253" s="336">
        <f>IFERROR(VLOOKUP(I1253,Jueces!$A$1:$B$11,2,FALSE),"")</f>
        <v>8</v>
      </c>
      <c r="K1253" s="63" t="s">
        <v>2092</v>
      </c>
      <c r="L1253" s="335" t="s">
        <v>4929</v>
      </c>
    </row>
    <row r="1254" spans="1:12" ht="30" customHeight="1">
      <c r="A1254" s="172" t="str">
        <f t="shared" si="38"/>
        <v>12/01/202410</v>
      </c>
      <c r="B1254" s="166">
        <f t="shared" si="39"/>
        <v>10</v>
      </c>
      <c r="C1254" s="63" t="s">
        <v>4925</v>
      </c>
      <c r="D1254" s="64" t="s">
        <v>4924</v>
      </c>
      <c r="E1254" s="336">
        <v>7</v>
      </c>
      <c r="F1254" s="336" t="s">
        <v>2752</v>
      </c>
      <c r="G1254" s="349">
        <v>45303</v>
      </c>
      <c r="H1254" s="65" t="s">
        <v>228</v>
      </c>
      <c r="I1254" s="349" t="s">
        <v>1220</v>
      </c>
      <c r="J1254" s="63" t="s">
        <v>4118</v>
      </c>
      <c r="K1254" s="63" t="s">
        <v>4781</v>
      </c>
      <c r="L1254" s="63" t="s">
        <v>767</v>
      </c>
    </row>
    <row r="1255" spans="1:12" ht="30" customHeight="1">
      <c r="A1255" s="172" t="str">
        <f t="shared" si="38"/>
        <v>15/01/20241</v>
      </c>
      <c r="B1255" s="166">
        <f t="shared" si="39"/>
        <v>1</v>
      </c>
      <c r="C1255" s="63" t="s">
        <v>4860</v>
      </c>
      <c r="D1255" s="64" t="s">
        <v>4861</v>
      </c>
      <c r="E1255" s="336">
        <v>5</v>
      </c>
      <c r="F1255" s="63" t="s">
        <v>568</v>
      </c>
      <c r="G1255" s="349">
        <v>45306</v>
      </c>
      <c r="H1255" s="65" t="s">
        <v>76</v>
      </c>
      <c r="I1255" s="349" t="s">
        <v>1220</v>
      </c>
      <c r="J1255" s="63" t="s">
        <v>4118</v>
      </c>
      <c r="K1255" s="63" t="s">
        <v>4790</v>
      </c>
      <c r="L1255" s="63" t="s">
        <v>725</v>
      </c>
    </row>
    <row r="1256" spans="1:12" ht="30" customHeight="1">
      <c r="A1256" s="172" t="str">
        <f t="shared" si="38"/>
        <v>15/01/20242</v>
      </c>
      <c r="B1256" s="166">
        <f t="shared" si="39"/>
        <v>2</v>
      </c>
      <c r="C1256" s="63" t="s">
        <v>4949</v>
      </c>
      <c r="D1256" s="64" t="s">
        <v>4950</v>
      </c>
      <c r="E1256" s="336">
        <v>7</v>
      </c>
      <c r="F1256" s="336" t="s">
        <v>2753</v>
      </c>
      <c r="G1256" s="349">
        <v>45306</v>
      </c>
      <c r="H1256" s="65" t="s">
        <v>76</v>
      </c>
      <c r="I1256" s="349" t="s">
        <v>4746</v>
      </c>
      <c r="J1256" s="63" t="s">
        <v>1341</v>
      </c>
      <c r="K1256" s="63" t="s">
        <v>2092</v>
      </c>
      <c r="L1256" s="63" t="s">
        <v>767</v>
      </c>
    </row>
    <row r="1257" spans="1:12" ht="30" customHeight="1">
      <c r="A1257" s="172" t="str">
        <f t="shared" si="38"/>
        <v>15/01/20243</v>
      </c>
      <c r="B1257" s="166">
        <f t="shared" si="39"/>
        <v>3</v>
      </c>
      <c r="C1257" s="63" t="s">
        <v>4962</v>
      </c>
      <c r="D1257" s="64" t="s">
        <v>5052</v>
      </c>
      <c r="E1257" s="336">
        <v>6</v>
      </c>
      <c r="F1257" s="336" t="s">
        <v>3324</v>
      </c>
      <c r="G1257" s="349">
        <v>45306</v>
      </c>
      <c r="H1257" s="65" t="s">
        <v>76</v>
      </c>
      <c r="I1257" s="349" t="s">
        <v>78</v>
      </c>
      <c r="J1257" s="336">
        <f>IFERROR(VLOOKUP(I1257,Jueces!$A$1:$B$11,2,FALSE),"")</f>
        <v>8</v>
      </c>
      <c r="K1257" s="63" t="s">
        <v>4795</v>
      </c>
      <c r="L1257" s="63" t="s">
        <v>885</v>
      </c>
    </row>
    <row r="1258" spans="1:12" ht="30" customHeight="1">
      <c r="A1258" s="172" t="str">
        <f t="shared" si="38"/>
        <v>15/01/20244</v>
      </c>
      <c r="B1258" s="166">
        <f t="shared" si="39"/>
        <v>4</v>
      </c>
      <c r="C1258" s="63" t="s">
        <v>4942</v>
      </c>
      <c r="D1258" s="64" t="s">
        <v>4997</v>
      </c>
      <c r="E1258" s="336">
        <v>7</v>
      </c>
      <c r="F1258" s="336" t="s">
        <v>4749</v>
      </c>
      <c r="G1258" s="349">
        <v>45306</v>
      </c>
      <c r="H1258" s="65" t="s">
        <v>75</v>
      </c>
      <c r="I1258" s="349" t="s">
        <v>78</v>
      </c>
      <c r="J1258" s="336">
        <f>IFERROR(VLOOKUP(I1258,Jueces!$A$1:$B$11,2,FALSE),"")</f>
        <v>8</v>
      </c>
      <c r="K1258" s="63" t="s">
        <v>4790</v>
      </c>
      <c r="L1258" s="7" t="s">
        <v>885</v>
      </c>
    </row>
    <row r="1259" spans="1:12" ht="30" customHeight="1">
      <c r="A1259" s="172" t="str">
        <f t="shared" si="38"/>
        <v>15/01/20245</v>
      </c>
      <c r="B1259" s="166">
        <f t="shared" si="39"/>
        <v>5</v>
      </c>
      <c r="C1259" s="63" t="s">
        <v>4948</v>
      </c>
      <c r="D1259" s="64" t="s">
        <v>5010</v>
      </c>
      <c r="E1259" s="336">
        <v>7</v>
      </c>
      <c r="F1259" s="336" t="s">
        <v>2751</v>
      </c>
      <c r="G1259" s="349">
        <v>45306</v>
      </c>
      <c r="H1259" s="65" t="s">
        <v>75</v>
      </c>
      <c r="I1259" s="349" t="s">
        <v>1220</v>
      </c>
      <c r="J1259" s="63" t="s">
        <v>4118</v>
      </c>
      <c r="K1259" s="63" t="s">
        <v>791</v>
      </c>
      <c r="L1259" s="63" t="s">
        <v>767</v>
      </c>
    </row>
    <row r="1260" spans="1:12" ht="30" customHeight="1">
      <c r="A1260" s="172" t="str">
        <f t="shared" si="38"/>
        <v>15/01/20246</v>
      </c>
      <c r="B1260" s="166">
        <f t="shared" si="39"/>
        <v>6</v>
      </c>
      <c r="C1260" s="63" t="s">
        <v>4922</v>
      </c>
      <c r="D1260" s="355" t="s">
        <v>4923</v>
      </c>
      <c r="E1260" s="336">
        <v>7</v>
      </c>
      <c r="F1260" s="336" t="s">
        <v>2752</v>
      </c>
      <c r="G1260" s="349">
        <v>45306</v>
      </c>
      <c r="H1260" s="65" t="s">
        <v>77</v>
      </c>
      <c r="I1260" s="349" t="s">
        <v>1220</v>
      </c>
      <c r="J1260" s="63" t="s">
        <v>4118</v>
      </c>
      <c r="K1260" s="63" t="s">
        <v>802</v>
      </c>
      <c r="L1260" s="63" t="s">
        <v>767</v>
      </c>
    </row>
    <row r="1261" spans="1:12" ht="30" customHeight="1">
      <c r="A1261" s="172" t="str">
        <f t="shared" si="38"/>
        <v>15/01/20247</v>
      </c>
      <c r="B1261" s="166">
        <f t="shared" si="39"/>
        <v>7</v>
      </c>
      <c r="C1261" s="63" t="s">
        <v>5050</v>
      </c>
      <c r="D1261" s="64" t="s">
        <v>5192</v>
      </c>
      <c r="E1261" s="336">
        <v>7</v>
      </c>
      <c r="F1261" s="63" t="s">
        <v>3324</v>
      </c>
      <c r="G1261" s="349">
        <v>45306</v>
      </c>
      <c r="H1261" s="65" t="s">
        <v>77</v>
      </c>
      <c r="I1261" s="65" t="s">
        <v>4746</v>
      </c>
      <c r="J1261" s="63" t="s">
        <v>3776</v>
      </c>
      <c r="K1261" s="63" t="s">
        <v>4781</v>
      </c>
      <c r="L1261" s="339" t="s">
        <v>1281</v>
      </c>
    </row>
    <row r="1262" spans="1:12" ht="30" customHeight="1">
      <c r="A1262" s="172" t="str">
        <f t="shared" si="38"/>
        <v>15/01/20248</v>
      </c>
      <c r="B1262" s="166">
        <f t="shared" si="39"/>
        <v>8</v>
      </c>
      <c r="C1262" s="336" t="s">
        <v>4956</v>
      </c>
      <c r="D1262" s="355" t="s">
        <v>4957</v>
      </c>
      <c r="E1262" s="336">
        <v>7</v>
      </c>
      <c r="F1262" s="336" t="s">
        <v>3323</v>
      </c>
      <c r="G1262" s="349">
        <v>45306</v>
      </c>
      <c r="H1262" s="65" t="s">
        <v>228</v>
      </c>
      <c r="I1262" s="349" t="s">
        <v>4746</v>
      </c>
      <c r="J1262" s="63" t="s">
        <v>1341</v>
      </c>
      <c r="K1262" s="63" t="s">
        <v>4780</v>
      </c>
      <c r="L1262" s="63" t="s">
        <v>767</v>
      </c>
    </row>
    <row r="1263" spans="1:12" ht="30" customHeight="1">
      <c r="A1263" s="172" t="str">
        <f t="shared" si="38"/>
        <v>15/01/20249</v>
      </c>
      <c r="B1263" s="166">
        <f t="shared" si="39"/>
        <v>9</v>
      </c>
      <c r="C1263" s="336" t="s">
        <v>3690</v>
      </c>
      <c r="D1263" s="64" t="s">
        <v>5202</v>
      </c>
      <c r="E1263" s="336">
        <v>3</v>
      </c>
      <c r="F1263" s="336" t="s">
        <v>4749</v>
      </c>
      <c r="G1263" s="383">
        <v>45306</v>
      </c>
      <c r="H1263" s="65" t="s">
        <v>228</v>
      </c>
      <c r="I1263" s="349" t="s">
        <v>31</v>
      </c>
      <c r="J1263" s="336">
        <v>2</v>
      </c>
      <c r="K1263" s="63" t="s">
        <v>4778</v>
      </c>
      <c r="L1263" s="63" t="s">
        <v>3725</v>
      </c>
    </row>
    <row r="1264" spans="1:12" ht="30" customHeight="1">
      <c r="A1264" s="172" t="str">
        <f t="shared" si="38"/>
        <v>15/01/202410</v>
      </c>
      <c r="B1264" s="166">
        <f t="shared" si="39"/>
        <v>10</v>
      </c>
      <c r="C1264" s="336" t="s">
        <v>4954</v>
      </c>
      <c r="D1264" s="355" t="s">
        <v>4955</v>
      </c>
      <c r="E1264" s="336">
        <v>7</v>
      </c>
      <c r="F1264" s="336" t="s">
        <v>2815</v>
      </c>
      <c r="G1264" s="349">
        <v>45306</v>
      </c>
      <c r="H1264" s="65" t="s">
        <v>74</v>
      </c>
      <c r="I1264" s="349" t="s">
        <v>78</v>
      </c>
      <c r="J1264" s="336">
        <f>IFERROR(VLOOKUP(I1264,Jueces!$A$1:$B$11,2,FALSE),"")</f>
        <v>8</v>
      </c>
      <c r="K1264" s="63" t="s">
        <v>805</v>
      </c>
      <c r="L1264" s="63" t="s">
        <v>767</v>
      </c>
    </row>
    <row r="1265" spans="1:12" ht="30" customHeight="1">
      <c r="A1265" s="172" t="str">
        <f t="shared" si="38"/>
        <v>16/01/20241</v>
      </c>
      <c r="B1265" s="166">
        <f t="shared" si="39"/>
        <v>1</v>
      </c>
      <c r="C1265" s="63" t="s">
        <v>4845</v>
      </c>
      <c r="D1265" s="64" t="s">
        <v>4847</v>
      </c>
      <c r="E1265" s="336">
        <v>8</v>
      </c>
      <c r="F1265" s="336" t="s">
        <v>1433</v>
      </c>
      <c r="G1265" s="349">
        <v>45307</v>
      </c>
      <c r="H1265" s="65" t="s">
        <v>76</v>
      </c>
      <c r="I1265" s="349" t="s">
        <v>4931</v>
      </c>
      <c r="J1265" s="63" t="s">
        <v>1916</v>
      </c>
      <c r="K1265" s="63" t="s">
        <v>2077</v>
      </c>
      <c r="L1265" s="63" t="s">
        <v>885</v>
      </c>
    </row>
    <row r="1266" spans="1:12" ht="30" customHeight="1">
      <c r="A1266" s="172" t="str">
        <f t="shared" si="38"/>
        <v>16/01/20242</v>
      </c>
      <c r="B1266" s="166">
        <f t="shared" si="39"/>
        <v>2</v>
      </c>
      <c r="C1266" s="63" t="s">
        <v>4926</v>
      </c>
      <c r="D1266" s="64" t="s">
        <v>5001</v>
      </c>
      <c r="E1266" s="336">
        <v>7</v>
      </c>
      <c r="F1266" s="336" t="s">
        <v>3791</v>
      </c>
      <c r="G1266" s="349">
        <v>45307</v>
      </c>
      <c r="H1266" s="65" t="s">
        <v>76</v>
      </c>
      <c r="I1266" s="349" t="s">
        <v>1216</v>
      </c>
      <c r="J1266" s="336">
        <f>IFERROR(VLOOKUP(I1266,Jueces!$A$1:$B$11,2,FALSE),"")</f>
        <v>1</v>
      </c>
      <c r="K1266" s="63" t="s">
        <v>4777</v>
      </c>
      <c r="L1266" s="63" t="s">
        <v>767</v>
      </c>
    </row>
    <row r="1267" spans="1:12" ht="30" customHeight="1">
      <c r="A1267" s="172" t="str">
        <f t="shared" si="38"/>
        <v>16/01/20243</v>
      </c>
      <c r="B1267" s="166">
        <f t="shared" si="39"/>
        <v>3</v>
      </c>
      <c r="C1267" s="63" t="s">
        <v>4943</v>
      </c>
      <c r="D1267" s="64" t="s">
        <v>4944</v>
      </c>
      <c r="E1267" s="336">
        <v>7</v>
      </c>
      <c r="F1267" s="336" t="s">
        <v>4934</v>
      </c>
      <c r="G1267" s="349">
        <v>45307</v>
      </c>
      <c r="H1267" s="65" t="s">
        <v>76</v>
      </c>
      <c r="I1267" s="349" t="s">
        <v>1217</v>
      </c>
      <c r="J1267" s="336">
        <f>IFERROR(VLOOKUP(I1267,Jueces!$A$1:$B$11,2,FALSE),"")</f>
        <v>7</v>
      </c>
      <c r="K1267" s="63" t="s">
        <v>4791</v>
      </c>
      <c r="L1267" s="335" t="s">
        <v>314</v>
      </c>
    </row>
    <row r="1268" spans="1:12" ht="30" customHeight="1">
      <c r="A1268" s="172" t="str">
        <f t="shared" si="38"/>
        <v>16/01/20244</v>
      </c>
      <c r="B1268" s="166">
        <f t="shared" si="39"/>
        <v>4</v>
      </c>
      <c r="C1268" s="336" t="s">
        <v>4951</v>
      </c>
      <c r="D1268" s="64" t="s">
        <v>5309</v>
      </c>
      <c r="E1268" s="336">
        <v>7</v>
      </c>
      <c r="F1268" s="336" t="s">
        <v>2766</v>
      </c>
      <c r="G1268" s="65">
        <v>45307</v>
      </c>
      <c r="H1268" s="65" t="s">
        <v>75</v>
      </c>
      <c r="I1268" s="349" t="s">
        <v>1216</v>
      </c>
      <c r="J1268" s="336">
        <f>IFERROR(VLOOKUP(I1268,Jueces!$A$1:$B$11,2,FALSE),"")</f>
        <v>1</v>
      </c>
      <c r="K1268" s="63" t="s">
        <v>4780</v>
      </c>
      <c r="L1268" s="63" t="s">
        <v>723</v>
      </c>
    </row>
    <row r="1269" spans="1:12" ht="30" customHeight="1">
      <c r="A1269" s="172" t="str">
        <f t="shared" si="38"/>
        <v>16/01/20245</v>
      </c>
      <c r="B1269" s="166">
        <f t="shared" si="39"/>
        <v>5</v>
      </c>
      <c r="C1269" s="336" t="s">
        <v>4952</v>
      </c>
      <c r="D1269" s="355" t="s">
        <v>4953</v>
      </c>
      <c r="E1269" s="336">
        <v>7</v>
      </c>
      <c r="F1269" s="336" t="s">
        <v>283</v>
      </c>
      <c r="G1269" s="349">
        <v>45307</v>
      </c>
      <c r="H1269" s="65" t="s">
        <v>75</v>
      </c>
      <c r="I1269" s="349" t="s">
        <v>1217</v>
      </c>
      <c r="J1269" s="336">
        <f>IFERROR(VLOOKUP(I1269,Jueces!$A$1:$B$11,2,FALSE),"")</f>
        <v>7</v>
      </c>
      <c r="K1269" s="63" t="s">
        <v>4788</v>
      </c>
      <c r="L1269" s="63" t="s">
        <v>885</v>
      </c>
    </row>
    <row r="1270" spans="1:12" ht="30" customHeight="1">
      <c r="A1270" s="172" t="str">
        <f t="shared" si="38"/>
        <v>16/01/20246</v>
      </c>
      <c r="B1270" s="166">
        <f t="shared" si="39"/>
        <v>6</v>
      </c>
      <c r="C1270" s="63" t="s">
        <v>4963</v>
      </c>
      <c r="D1270" s="64" t="s">
        <v>5000</v>
      </c>
      <c r="E1270" s="336">
        <v>7</v>
      </c>
      <c r="F1270" s="336" t="s">
        <v>3639</v>
      </c>
      <c r="G1270" s="349">
        <v>45307</v>
      </c>
      <c r="H1270" s="65" t="s">
        <v>75</v>
      </c>
      <c r="I1270" s="349" t="s">
        <v>4931</v>
      </c>
      <c r="J1270" s="63" t="s">
        <v>1916</v>
      </c>
      <c r="K1270" s="63" t="s">
        <v>4781</v>
      </c>
      <c r="L1270" s="63" t="s">
        <v>767</v>
      </c>
    </row>
    <row r="1271" spans="1:12" ht="30" customHeight="1">
      <c r="A1271" s="172" t="str">
        <f t="shared" si="38"/>
        <v>16/01/20247</v>
      </c>
      <c r="B1271" s="166">
        <f t="shared" si="39"/>
        <v>7</v>
      </c>
      <c r="C1271" s="63" t="s">
        <v>4959</v>
      </c>
      <c r="D1271" s="64" t="s">
        <v>5002</v>
      </c>
      <c r="E1271" s="336">
        <v>7</v>
      </c>
      <c r="F1271" s="336" t="s">
        <v>5009</v>
      </c>
      <c r="G1271" s="349">
        <v>45307</v>
      </c>
      <c r="H1271" s="65" t="s">
        <v>77</v>
      </c>
      <c r="I1271" s="349" t="s">
        <v>1216</v>
      </c>
      <c r="J1271" s="336">
        <f>IFERROR(VLOOKUP(I1271,Jueces!$A$1:$B$11,2,FALSE),"")</f>
        <v>1</v>
      </c>
      <c r="K1271" s="63" t="s">
        <v>805</v>
      </c>
      <c r="L1271" s="193" t="s">
        <v>767</v>
      </c>
    </row>
    <row r="1272" spans="1:12" ht="30" customHeight="1">
      <c r="A1272" s="172" t="str">
        <f t="shared" si="38"/>
        <v>16/01/20248</v>
      </c>
      <c r="B1272" s="166">
        <f t="shared" si="39"/>
        <v>8</v>
      </c>
      <c r="C1272" s="63" t="s">
        <v>5008</v>
      </c>
      <c r="D1272" s="64" t="s">
        <v>5310</v>
      </c>
      <c r="E1272" s="336">
        <v>7</v>
      </c>
      <c r="F1272" s="336" t="s">
        <v>43</v>
      </c>
      <c r="G1272" s="349">
        <v>45307</v>
      </c>
      <c r="H1272" s="65" t="s">
        <v>228</v>
      </c>
      <c r="I1272" s="349" t="s">
        <v>4931</v>
      </c>
      <c r="J1272" s="63" t="s">
        <v>1916</v>
      </c>
      <c r="K1272" s="63" t="s">
        <v>4780</v>
      </c>
      <c r="L1272" s="63" t="s">
        <v>767</v>
      </c>
    </row>
    <row r="1273" spans="1:12" ht="30" customHeight="1">
      <c r="A1273" s="172" t="str">
        <f t="shared" si="38"/>
        <v>17/01/20241</v>
      </c>
      <c r="B1273" s="166">
        <f t="shared" si="39"/>
        <v>1</v>
      </c>
      <c r="C1273" s="63" t="s">
        <v>4940</v>
      </c>
      <c r="D1273" s="64" t="s">
        <v>4941</v>
      </c>
      <c r="E1273" s="336">
        <v>7</v>
      </c>
      <c r="F1273" s="336" t="s">
        <v>2766</v>
      </c>
      <c r="G1273" s="349">
        <v>45308</v>
      </c>
      <c r="H1273" s="65" t="s">
        <v>76</v>
      </c>
      <c r="I1273" s="349" t="s">
        <v>1216</v>
      </c>
      <c r="J1273" s="336">
        <f>IFERROR(VLOOKUP(I1273,Jueces!$A$1:$B$11,2,FALSE),"")</f>
        <v>1</v>
      </c>
      <c r="K1273" s="63" t="s">
        <v>802</v>
      </c>
      <c r="L1273" s="422" t="s">
        <v>4039</v>
      </c>
    </row>
    <row r="1274" spans="1:12" ht="30" customHeight="1">
      <c r="A1274" s="172" t="str">
        <f t="shared" si="38"/>
        <v>17/01/20242</v>
      </c>
      <c r="B1274" s="166">
        <f t="shared" si="39"/>
        <v>2</v>
      </c>
      <c r="C1274" s="63" t="s">
        <v>2724</v>
      </c>
      <c r="D1274" s="64" t="s">
        <v>4998</v>
      </c>
      <c r="E1274" s="63">
        <v>7</v>
      </c>
      <c r="F1274" s="63" t="s">
        <v>283</v>
      </c>
      <c r="G1274" s="65">
        <v>45308</v>
      </c>
      <c r="H1274" s="65" t="s">
        <v>76</v>
      </c>
      <c r="I1274" s="65" t="s">
        <v>1217</v>
      </c>
      <c r="J1274" s="63">
        <v>7</v>
      </c>
      <c r="K1274" s="63" t="s">
        <v>688</v>
      </c>
      <c r="L1274" s="63" t="s">
        <v>2736</v>
      </c>
    </row>
    <row r="1275" spans="1:12" ht="30" customHeight="1">
      <c r="A1275" s="172" t="str">
        <f t="shared" si="38"/>
        <v>17/01/20243</v>
      </c>
      <c r="B1275" s="166">
        <f t="shared" si="39"/>
        <v>3</v>
      </c>
      <c r="C1275" s="63" t="s">
        <v>5006</v>
      </c>
      <c r="D1275" s="64" t="s">
        <v>5357</v>
      </c>
      <c r="E1275" s="336">
        <v>7</v>
      </c>
      <c r="F1275" s="336" t="s">
        <v>4934</v>
      </c>
      <c r="G1275" s="349">
        <v>45308</v>
      </c>
      <c r="H1275" s="65" t="s">
        <v>75</v>
      </c>
      <c r="I1275" s="349" t="s">
        <v>1217</v>
      </c>
      <c r="J1275" s="336">
        <f>IFERROR(VLOOKUP(I1275,Jueces!$A$1:$B$11,2,FALSE),"")</f>
        <v>7</v>
      </c>
      <c r="K1275" s="63" t="s">
        <v>4791</v>
      </c>
      <c r="L1275" s="63" t="s">
        <v>885</v>
      </c>
    </row>
    <row r="1276" spans="1:12" ht="30" customHeight="1">
      <c r="A1276" s="172" t="str">
        <f t="shared" si="38"/>
        <v>17/01/20244</v>
      </c>
      <c r="B1276" s="166">
        <f t="shared" si="39"/>
        <v>4</v>
      </c>
      <c r="C1276" s="336" t="s">
        <v>3419</v>
      </c>
      <c r="D1276" s="355" t="s">
        <v>3420</v>
      </c>
      <c r="E1276" s="336">
        <v>1</v>
      </c>
      <c r="F1276" s="336" t="s">
        <v>43</v>
      </c>
      <c r="G1276" s="383">
        <v>45308</v>
      </c>
      <c r="H1276" s="65" t="s">
        <v>75</v>
      </c>
      <c r="I1276" s="349" t="s">
        <v>1216</v>
      </c>
      <c r="J1276" s="336">
        <f>IFERROR(VLOOKUP(I1276,Jueces!$A$1:$B$11,2,FALSE),"")</f>
        <v>1</v>
      </c>
      <c r="K1276" s="63" t="s">
        <v>810</v>
      </c>
      <c r="L1276" s="63" t="s">
        <v>783</v>
      </c>
    </row>
    <row r="1277" spans="1:12" ht="30" customHeight="1">
      <c r="A1277" s="172" t="str">
        <f t="shared" si="38"/>
        <v>17/01/20245</v>
      </c>
      <c r="B1277" s="166">
        <f t="shared" si="39"/>
        <v>5</v>
      </c>
      <c r="C1277" s="63" t="s">
        <v>5007</v>
      </c>
      <c r="D1277" s="64" t="s">
        <v>4999</v>
      </c>
      <c r="E1277" s="336">
        <v>7</v>
      </c>
      <c r="F1277" s="336" t="s">
        <v>3791</v>
      </c>
      <c r="G1277" s="349">
        <v>45308</v>
      </c>
      <c r="H1277" s="65" t="s">
        <v>77</v>
      </c>
      <c r="I1277" s="349" t="s">
        <v>4931</v>
      </c>
      <c r="J1277" s="63" t="s">
        <v>1916</v>
      </c>
      <c r="K1277" s="63" t="s">
        <v>4788</v>
      </c>
      <c r="L1277" s="63" t="s">
        <v>885</v>
      </c>
    </row>
    <row r="1278" spans="1:12" ht="30" customHeight="1">
      <c r="A1278" s="172" t="str">
        <f t="shared" si="38"/>
        <v>17/01/20246</v>
      </c>
      <c r="B1278" s="166">
        <f t="shared" si="39"/>
        <v>6</v>
      </c>
      <c r="C1278" s="63" t="s">
        <v>5037</v>
      </c>
      <c r="D1278" s="64" t="s">
        <v>5038</v>
      </c>
      <c r="E1278" s="336">
        <v>7</v>
      </c>
      <c r="F1278" s="336" t="s">
        <v>5009</v>
      </c>
      <c r="G1278" s="349">
        <v>45308</v>
      </c>
      <c r="H1278" s="65" t="s">
        <v>77</v>
      </c>
      <c r="I1278" s="349" t="s">
        <v>1217</v>
      </c>
      <c r="J1278" s="336">
        <f>IFERROR(VLOOKUP(I1278,Jueces!$A$1:$B$11,2,FALSE),"")</f>
        <v>7</v>
      </c>
      <c r="K1278" s="63" t="s">
        <v>4792</v>
      </c>
      <c r="L1278" s="63" t="s">
        <v>767</v>
      </c>
    </row>
    <row r="1279" spans="1:12" ht="30" customHeight="1">
      <c r="A1279" s="172" t="str">
        <f t="shared" si="38"/>
        <v>17/01/20247</v>
      </c>
      <c r="B1279" s="166">
        <f t="shared" si="39"/>
        <v>7</v>
      </c>
      <c r="C1279" s="63" t="s">
        <v>5043</v>
      </c>
      <c r="D1279" s="64" t="s">
        <v>5044</v>
      </c>
      <c r="E1279" s="336">
        <v>7</v>
      </c>
      <c r="F1279" s="336" t="s">
        <v>1433</v>
      </c>
      <c r="G1279" s="65">
        <v>45308</v>
      </c>
      <c r="H1279" s="65" t="s">
        <v>77</v>
      </c>
      <c r="I1279" s="349" t="s">
        <v>1216</v>
      </c>
      <c r="J1279" s="336">
        <f>IFERROR(VLOOKUP(I1279,Jueces!$A$1:$B$11,2,FALSE),"")</f>
        <v>1</v>
      </c>
      <c r="K1279" s="63" t="s">
        <v>4790</v>
      </c>
      <c r="L1279" s="339" t="s">
        <v>4186</v>
      </c>
    </row>
    <row r="1280" spans="1:12" ht="30" customHeight="1">
      <c r="A1280" s="172" t="str">
        <f t="shared" si="38"/>
        <v>17/01/20248</v>
      </c>
      <c r="B1280" s="166">
        <f t="shared" si="39"/>
        <v>8</v>
      </c>
      <c r="C1280" s="63" t="s">
        <v>5232</v>
      </c>
      <c r="D1280" s="64" t="s">
        <v>5233</v>
      </c>
      <c r="E1280" s="63">
        <v>5</v>
      </c>
      <c r="F1280" s="63" t="s">
        <v>43</v>
      </c>
      <c r="G1280" s="349">
        <v>45308</v>
      </c>
      <c r="H1280" s="65" t="s">
        <v>2011</v>
      </c>
      <c r="I1280" s="65" t="s">
        <v>1217</v>
      </c>
      <c r="J1280" s="336">
        <f>IFERROR(VLOOKUP(I1280,Jueces!$A$1:$B$11,2,FALSE),"")</f>
        <v>7</v>
      </c>
      <c r="K1280" s="63" t="s">
        <v>569</v>
      </c>
      <c r="L1280" s="63" t="s">
        <v>3381</v>
      </c>
    </row>
    <row r="1281" spans="1:12" ht="30" customHeight="1">
      <c r="A1281" s="172" t="str">
        <f t="shared" si="38"/>
        <v>17/01/20249</v>
      </c>
      <c r="B1281" s="166">
        <f t="shared" si="39"/>
        <v>9</v>
      </c>
      <c r="C1281" s="63" t="s">
        <v>4960</v>
      </c>
      <c r="D1281" s="64" t="s">
        <v>5116</v>
      </c>
      <c r="E1281" s="336">
        <v>7</v>
      </c>
      <c r="F1281" s="336" t="s">
        <v>3639</v>
      </c>
      <c r="G1281" s="349">
        <v>45308</v>
      </c>
      <c r="H1281" s="65" t="s">
        <v>74</v>
      </c>
      <c r="I1281" s="349" t="s">
        <v>4931</v>
      </c>
      <c r="J1281" s="63" t="s">
        <v>1916</v>
      </c>
      <c r="K1281" s="63" t="s">
        <v>802</v>
      </c>
      <c r="L1281" s="63" t="s">
        <v>885</v>
      </c>
    </row>
    <row r="1282" spans="1:12" ht="30" customHeight="1">
      <c r="A1282" s="172" t="str">
        <f t="shared" si="38"/>
        <v>18/01/20241</v>
      </c>
      <c r="B1282" s="166">
        <f t="shared" si="39"/>
        <v>1</v>
      </c>
      <c r="C1282" s="63" t="s">
        <v>5032</v>
      </c>
      <c r="D1282" s="64" t="s">
        <v>5356</v>
      </c>
      <c r="E1282" s="336">
        <v>7</v>
      </c>
      <c r="F1282" s="336" t="s">
        <v>283</v>
      </c>
      <c r="G1282" s="349">
        <v>45309</v>
      </c>
      <c r="H1282" s="65" t="s">
        <v>76</v>
      </c>
      <c r="I1282" s="349" t="s">
        <v>4931</v>
      </c>
      <c r="J1282" s="63" t="s">
        <v>1916</v>
      </c>
      <c r="K1282" s="63" t="s">
        <v>4791</v>
      </c>
      <c r="L1282" s="63" t="s">
        <v>885</v>
      </c>
    </row>
    <row r="1283" spans="1:12" ht="30" customHeight="1">
      <c r="A1283" s="172" t="str">
        <f t="shared" ref="A1283:A1346" si="40">CONCATENATE(TEXT($G1283,"dd/mm/yyyy"),$B1283)</f>
        <v>18/01/20242</v>
      </c>
      <c r="B1283" s="166">
        <f t="shared" si="39"/>
        <v>2</v>
      </c>
      <c r="C1283" s="63" t="s">
        <v>5041</v>
      </c>
      <c r="D1283" s="64" t="s">
        <v>5042</v>
      </c>
      <c r="E1283" s="336">
        <v>7</v>
      </c>
      <c r="F1283" s="336" t="s">
        <v>4934</v>
      </c>
      <c r="G1283" s="349">
        <v>45309</v>
      </c>
      <c r="H1283" s="65" t="s">
        <v>76</v>
      </c>
      <c r="I1283" s="349" t="s">
        <v>1216</v>
      </c>
      <c r="J1283" s="336">
        <f>IFERROR(VLOOKUP(I1283,Jueces!$A$1:$B$11,2,FALSE),"")</f>
        <v>1</v>
      </c>
      <c r="K1283" s="63" t="s">
        <v>4788</v>
      </c>
      <c r="L1283" s="63" t="s">
        <v>767</v>
      </c>
    </row>
    <row r="1284" spans="1:12" ht="30" customHeight="1">
      <c r="A1284" s="172" t="str">
        <f t="shared" si="40"/>
        <v>18/01/20243</v>
      </c>
      <c r="B1284" s="166">
        <f t="shared" ref="B1284:B1347" si="41">IF($G1284=$G1283,$B1283+1,1)</f>
        <v>3</v>
      </c>
      <c r="C1284" s="375" t="s">
        <v>3413</v>
      </c>
      <c r="D1284" s="64" t="s">
        <v>5086</v>
      </c>
      <c r="E1284" s="336">
        <v>2</v>
      </c>
      <c r="F1284" s="336" t="s">
        <v>3791</v>
      </c>
      <c r="G1284" s="349">
        <v>45309</v>
      </c>
      <c r="H1284" s="65" t="s">
        <v>76</v>
      </c>
      <c r="I1284" s="349" t="s">
        <v>1217</v>
      </c>
      <c r="J1284" s="336">
        <f>IFERROR(VLOOKUP(I1284,Jueces!$A$1:$B$11,2,FALSE),"")</f>
        <v>7</v>
      </c>
      <c r="K1284" s="63" t="s">
        <v>797</v>
      </c>
      <c r="L1284" s="63" t="s">
        <v>692</v>
      </c>
    </row>
    <row r="1285" spans="1:12" ht="30" customHeight="1">
      <c r="A1285" s="172" t="str">
        <f t="shared" si="40"/>
        <v>18/01/20244</v>
      </c>
      <c r="B1285" s="166">
        <f t="shared" si="41"/>
        <v>4</v>
      </c>
      <c r="C1285" s="63" t="s">
        <v>4622</v>
      </c>
      <c r="D1285" s="64" t="s">
        <v>4623</v>
      </c>
      <c r="E1285" s="336">
        <v>4</v>
      </c>
      <c r="F1285" s="63" t="s">
        <v>1433</v>
      </c>
      <c r="G1285" s="349">
        <v>45309</v>
      </c>
      <c r="H1285" s="65" t="s">
        <v>75</v>
      </c>
      <c r="I1285" s="65" t="s">
        <v>1216</v>
      </c>
      <c r="J1285" s="63" t="s">
        <v>3776</v>
      </c>
      <c r="K1285" s="63" t="s">
        <v>569</v>
      </c>
      <c r="L1285" s="63" t="s">
        <v>725</v>
      </c>
    </row>
    <row r="1286" spans="1:12" ht="30" customHeight="1">
      <c r="A1286" s="172" t="str">
        <f t="shared" si="40"/>
        <v>18/01/20245</v>
      </c>
      <c r="B1286" s="166">
        <f t="shared" si="41"/>
        <v>5</v>
      </c>
      <c r="C1286" s="63" t="s">
        <v>5039</v>
      </c>
      <c r="D1286" s="64" t="s">
        <v>5040</v>
      </c>
      <c r="E1286" s="336">
        <v>7</v>
      </c>
      <c r="F1286" s="336" t="s">
        <v>43</v>
      </c>
      <c r="G1286" s="349">
        <v>45309</v>
      </c>
      <c r="H1286" s="65" t="s">
        <v>77</v>
      </c>
      <c r="I1286" s="349" t="s">
        <v>4931</v>
      </c>
      <c r="J1286" s="63" t="s">
        <v>1916</v>
      </c>
      <c r="K1286" s="63" t="s">
        <v>4791</v>
      </c>
      <c r="L1286" s="63" t="s">
        <v>885</v>
      </c>
    </row>
    <row r="1287" spans="1:12" ht="30" customHeight="1">
      <c r="A1287" s="172" t="str">
        <f t="shared" si="40"/>
        <v>18/01/20246</v>
      </c>
      <c r="B1287" s="166">
        <f t="shared" si="41"/>
        <v>6</v>
      </c>
      <c r="C1287" s="63" t="s">
        <v>5087</v>
      </c>
      <c r="D1287" s="64" t="s">
        <v>5088</v>
      </c>
      <c r="E1287" s="336">
        <v>1</v>
      </c>
      <c r="F1287" s="336" t="s">
        <v>3639</v>
      </c>
      <c r="G1287" s="349">
        <v>45309</v>
      </c>
      <c r="H1287" s="65" t="s">
        <v>77</v>
      </c>
      <c r="I1287" s="349" t="s">
        <v>1217</v>
      </c>
      <c r="J1287" s="336">
        <f>IFERROR(VLOOKUP(I1287,Jueces!$A$1:$B$11,2,FALSE),"")</f>
        <v>7</v>
      </c>
      <c r="K1287" s="63" t="s">
        <v>4790</v>
      </c>
      <c r="L1287" s="63" t="s">
        <v>1084</v>
      </c>
    </row>
    <row r="1288" spans="1:12" ht="30" customHeight="1">
      <c r="A1288" s="172" t="str">
        <f t="shared" si="40"/>
        <v>18/01/20247</v>
      </c>
      <c r="B1288" s="166">
        <f t="shared" si="41"/>
        <v>7</v>
      </c>
      <c r="C1288" s="63" t="s">
        <v>5109</v>
      </c>
      <c r="D1288" s="64" t="s">
        <v>5111</v>
      </c>
      <c r="E1288" s="336">
        <v>1</v>
      </c>
      <c r="F1288" s="336" t="s">
        <v>3791</v>
      </c>
      <c r="G1288" s="349">
        <v>45309</v>
      </c>
      <c r="H1288" s="65" t="s">
        <v>228</v>
      </c>
      <c r="I1288" s="349" t="s">
        <v>4931</v>
      </c>
      <c r="J1288" s="63" t="s">
        <v>1916</v>
      </c>
      <c r="K1288" s="63" t="s">
        <v>4781</v>
      </c>
      <c r="L1288" s="63" t="s">
        <v>1084</v>
      </c>
    </row>
    <row r="1289" spans="1:12" ht="30" customHeight="1">
      <c r="A1289" s="172" t="str">
        <f t="shared" si="40"/>
        <v>19/01/20241</v>
      </c>
      <c r="B1289" s="166">
        <f t="shared" si="41"/>
        <v>1</v>
      </c>
      <c r="C1289" s="63" t="s">
        <v>5047</v>
      </c>
      <c r="D1289" s="64" t="s">
        <v>5048</v>
      </c>
      <c r="E1289" s="336">
        <v>7</v>
      </c>
      <c r="F1289" s="336" t="s">
        <v>1433</v>
      </c>
      <c r="G1289" s="349">
        <v>45310</v>
      </c>
      <c r="H1289" s="65" t="s">
        <v>76</v>
      </c>
      <c r="I1289" s="349" t="s">
        <v>1216</v>
      </c>
      <c r="J1289" s="336">
        <f>IFERROR(VLOOKUP(I1289,Jueces!$A$1:$B$11,2,FALSE),"")</f>
        <v>1</v>
      </c>
      <c r="K1289" s="63" t="s">
        <v>4789</v>
      </c>
      <c r="L1289" s="63" t="s">
        <v>885</v>
      </c>
    </row>
    <row r="1290" spans="1:12" ht="30" customHeight="1">
      <c r="A1290" s="172" t="str">
        <f t="shared" si="40"/>
        <v>19/01/20242</v>
      </c>
      <c r="B1290" s="166">
        <f t="shared" si="41"/>
        <v>2</v>
      </c>
      <c r="C1290" s="63" t="s">
        <v>5024</v>
      </c>
      <c r="D1290" s="64" t="s">
        <v>5053</v>
      </c>
      <c r="E1290" s="336">
        <v>7</v>
      </c>
      <c r="F1290" s="336" t="s">
        <v>283</v>
      </c>
      <c r="G1290" s="349">
        <v>45310</v>
      </c>
      <c r="H1290" s="65" t="s">
        <v>76</v>
      </c>
      <c r="I1290" s="349" t="s">
        <v>1217</v>
      </c>
      <c r="J1290" s="336">
        <f>IFERROR(VLOOKUP(I1290,Jueces!$A$1:$B$11,2,FALSE),"")</f>
        <v>7</v>
      </c>
      <c r="K1290" s="63" t="s">
        <v>4783</v>
      </c>
      <c r="L1290" s="63" t="s">
        <v>4515</v>
      </c>
    </row>
    <row r="1291" spans="1:12" ht="30" customHeight="1">
      <c r="A1291" s="172" t="str">
        <f t="shared" si="40"/>
        <v>19/01/20243</v>
      </c>
      <c r="B1291" s="166">
        <f t="shared" si="41"/>
        <v>3</v>
      </c>
      <c r="C1291" s="63" t="s">
        <v>4086</v>
      </c>
      <c r="D1291" s="355" t="s">
        <v>4087</v>
      </c>
      <c r="E1291" s="336">
        <v>4</v>
      </c>
      <c r="F1291" s="336" t="s">
        <v>2766</v>
      </c>
      <c r="G1291" s="349">
        <v>45310</v>
      </c>
      <c r="H1291" s="65" t="s">
        <v>76</v>
      </c>
      <c r="I1291" s="349" t="s">
        <v>4931</v>
      </c>
      <c r="J1291" s="63" t="s">
        <v>1916</v>
      </c>
      <c r="K1291" s="63" t="s">
        <v>4778</v>
      </c>
      <c r="L1291" s="63" t="s">
        <v>4088</v>
      </c>
    </row>
    <row r="1292" spans="1:12" ht="30" customHeight="1">
      <c r="A1292" s="172" t="str">
        <f t="shared" si="40"/>
        <v>19/01/20244</v>
      </c>
      <c r="B1292" s="166">
        <f t="shared" si="41"/>
        <v>4</v>
      </c>
      <c r="C1292" s="63" t="s">
        <v>5046</v>
      </c>
      <c r="D1292" s="355" t="s">
        <v>5045</v>
      </c>
      <c r="E1292" s="336">
        <v>7</v>
      </c>
      <c r="F1292" s="336" t="s">
        <v>5009</v>
      </c>
      <c r="G1292" s="349">
        <v>45310</v>
      </c>
      <c r="H1292" s="65" t="s">
        <v>75</v>
      </c>
      <c r="I1292" s="349" t="s">
        <v>1216</v>
      </c>
      <c r="J1292" s="336">
        <f>IFERROR(VLOOKUP(I1292,Jueces!$A$1:$B$11,2,FALSE),"")</f>
        <v>1</v>
      </c>
      <c r="K1292" s="63" t="s">
        <v>4791</v>
      </c>
      <c r="L1292" s="63" t="s">
        <v>885</v>
      </c>
    </row>
    <row r="1293" spans="1:12" ht="30" customHeight="1">
      <c r="A1293" s="172" t="str">
        <f t="shared" si="40"/>
        <v>19/01/20245</v>
      </c>
      <c r="B1293" s="166">
        <f t="shared" si="41"/>
        <v>5</v>
      </c>
      <c r="C1293" s="63" t="s">
        <v>2980</v>
      </c>
      <c r="D1293" s="64" t="s">
        <v>5085</v>
      </c>
      <c r="E1293" s="336">
        <v>8</v>
      </c>
      <c r="F1293" s="336" t="s">
        <v>3639</v>
      </c>
      <c r="G1293" s="349">
        <v>45310</v>
      </c>
      <c r="H1293" s="65" t="s">
        <v>75</v>
      </c>
      <c r="I1293" s="349" t="s">
        <v>1217</v>
      </c>
      <c r="J1293" s="336">
        <f>IFERROR(VLOOKUP(I1293,Jueces!$A$1:$B$11,2,FALSE),"")</f>
        <v>7</v>
      </c>
      <c r="K1293" s="63" t="s">
        <v>2077</v>
      </c>
      <c r="L1293" s="63" t="s">
        <v>711</v>
      </c>
    </row>
    <row r="1294" spans="1:12" ht="30" customHeight="1">
      <c r="A1294" s="172" t="str">
        <f t="shared" si="40"/>
        <v>19/01/20246</v>
      </c>
      <c r="B1294" s="166">
        <f t="shared" si="41"/>
        <v>6</v>
      </c>
      <c r="C1294" s="63" t="s">
        <v>4961</v>
      </c>
      <c r="D1294" s="64" t="s">
        <v>5141</v>
      </c>
      <c r="E1294" s="336">
        <v>7</v>
      </c>
      <c r="F1294" s="336" t="s">
        <v>1433</v>
      </c>
      <c r="G1294" s="349">
        <v>45310</v>
      </c>
      <c r="H1294" s="65" t="s">
        <v>1755</v>
      </c>
      <c r="I1294" s="349" t="s">
        <v>4931</v>
      </c>
      <c r="J1294" s="63" t="s">
        <v>1916</v>
      </c>
      <c r="K1294" s="63" t="s">
        <v>791</v>
      </c>
      <c r="L1294" s="63" t="s">
        <v>767</v>
      </c>
    </row>
    <row r="1295" spans="1:12" ht="30" customHeight="1">
      <c r="A1295" s="172" t="str">
        <f t="shared" si="40"/>
        <v>19/01/20247</v>
      </c>
      <c r="B1295" s="166">
        <f t="shared" si="41"/>
        <v>7</v>
      </c>
      <c r="C1295" s="63" t="s">
        <v>5054</v>
      </c>
      <c r="D1295" s="64" t="s">
        <v>5055</v>
      </c>
      <c r="E1295" s="336">
        <v>7</v>
      </c>
      <c r="F1295" s="336" t="s">
        <v>43</v>
      </c>
      <c r="G1295" s="349">
        <v>45310</v>
      </c>
      <c r="H1295" s="65" t="s">
        <v>77</v>
      </c>
      <c r="I1295" s="349" t="s">
        <v>1216</v>
      </c>
      <c r="J1295" s="336">
        <f>IFERROR(VLOOKUP(I1295,Jueces!$A$1:$B$11,2,FALSE),"")</f>
        <v>1</v>
      </c>
      <c r="K1295" s="63" t="s">
        <v>4791</v>
      </c>
      <c r="L1295" s="63" t="s">
        <v>885</v>
      </c>
    </row>
    <row r="1296" spans="1:12" ht="30" customHeight="1">
      <c r="A1296" s="172" t="str">
        <f t="shared" si="40"/>
        <v>19/01/20248</v>
      </c>
      <c r="B1296" s="166">
        <f t="shared" si="41"/>
        <v>8</v>
      </c>
      <c r="C1296" s="63" t="s">
        <v>5057</v>
      </c>
      <c r="D1296" s="64" t="s">
        <v>5058</v>
      </c>
      <c r="E1296" s="336">
        <v>7</v>
      </c>
      <c r="F1296" s="336" t="s">
        <v>5009</v>
      </c>
      <c r="G1296" s="349">
        <v>45310</v>
      </c>
      <c r="H1296" s="65" t="s">
        <v>1146</v>
      </c>
      <c r="I1296" s="349" t="s">
        <v>1216</v>
      </c>
      <c r="J1296" s="336">
        <f>IFERROR(VLOOKUP(I1296,Jueces!$A$1:$B$11,2,FALSE),"")</f>
        <v>1</v>
      </c>
      <c r="K1296" s="63" t="s">
        <v>4781</v>
      </c>
      <c r="L1296" s="330" t="s">
        <v>5059</v>
      </c>
    </row>
    <row r="1297" spans="1:12" ht="30" customHeight="1">
      <c r="A1297" s="172" t="str">
        <f t="shared" si="40"/>
        <v>19/01/20249</v>
      </c>
      <c r="B1297" s="166">
        <f t="shared" si="41"/>
        <v>9</v>
      </c>
      <c r="C1297" s="63" t="s">
        <v>5025</v>
      </c>
      <c r="D1297" s="64" t="s">
        <v>5026</v>
      </c>
      <c r="E1297" s="336">
        <v>7</v>
      </c>
      <c r="F1297" s="336" t="s">
        <v>4934</v>
      </c>
      <c r="G1297" s="349">
        <v>45310</v>
      </c>
      <c r="H1297" s="65" t="s">
        <v>228</v>
      </c>
      <c r="I1297" s="349" t="s">
        <v>1217</v>
      </c>
      <c r="J1297" s="336">
        <f>IFERROR(VLOOKUP(I1297,Jueces!$A$1:$B$11,2,FALSE),"")</f>
        <v>7</v>
      </c>
      <c r="K1297" s="63" t="s">
        <v>4778</v>
      </c>
      <c r="L1297" s="63" t="s">
        <v>885</v>
      </c>
    </row>
    <row r="1298" spans="1:12" ht="30" customHeight="1">
      <c r="A1298" s="172" t="str">
        <f t="shared" si="40"/>
        <v>19/01/202410</v>
      </c>
      <c r="B1298" s="166">
        <f t="shared" si="41"/>
        <v>10</v>
      </c>
      <c r="C1298" s="63" t="s">
        <v>5162</v>
      </c>
      <c r="D1298" s="64" t="s">
        <v>5163</v>
      </c>
      <c r="E1298" s="63">
        <v>7</v>
      </c>
      <c r="F1298" s="336" t="s">
        <v>283</v>
      </c>
      <c r="G1298" s="349">
        <v>45310</v>
      </c>
      <c r="H1298" s="65" t="s">
        <v>228</v>
      </c>
      <c r="I1298" s="349" t="s">
        <v>4931</v>
      </c>
      <c r="J1298" s="63" t="s">
        <v>1916</v>
      </c>
      <c r="K1298" s="63" t="s">
        <v>4788</v>
      </c>
      <c r="L1298" s="63" t="s">
        <v>767</v>
      </c>
    </row>
    <row r="1299" spans="1:12" ht="30" customHeight="1">
      <c r="A1299" s="172" t="str">
        <f t="shared" si="40"/>
        <v>22/01/20241</v>
      </c>
      <c r="B1299" s="166">
        <f t="shared" si="41"/>
        <v>1</v>
      </c>
      <c r="C1299" s="63" t="s">
        <v>5060</v>
      </c>
      <c r="D1299" s="64" t="s">
        <v>5061</v>
      </c>
      <c r="E1299" s="336">
        <v>7</v>
      </c>
      <c r="F1299" s="336" t="s">
        <v>43</v>
      </c>
      <c r="G1299" s="349">
        <v>45313</v>
      </c>
      <c r="H1299" s="65" t="s">
        <v>76</v>
      </c>
      <c r="I1299" s="349" t="s">
        <v>4931</v>
      </c>
      <c r="J1299" s="63" t="s">
        <v>1916</v>
      </c>
      <c r="K1299" s="63" t="s">
        <v>790</v>
      </c>
      <c r="L1299" s="63" t="s">
        <v>885</v>
      </c>
    </row>
    <row r="1300" spans="1:12" ht="30" customHeight="1">
      <c r="A1300" s="172" t="str">
        <f t="shared" si="40"/>
        <v>22/01/20242</v>
      </c>
      <c r="B1300" s="166">
        <f t="shared" si="41"/>
        <v>2</v>
      </c>
      <c r="C1300" s="63" t="s">
        <v>5108</v>
      </c>
      <c r="D1300" s="64" t="s">
        <v>5128</v>
      </c>
      <c r="E1300" s="336">
        <v>2</v>
      </c>
      <c r="F1300" s="336" t="s">
        <v>4934</v>
      </c>
      <c r="G1300" s="349">
        <v>45313</v>
      </c>
      <c r="H1300" s="65" t="s">
        <v>76</v>
      </c>
      <c r="I1300" s="349" t="s">
        <v>1216</v>
      </c>
      <c r="J1300" s="336">
        <f>IFERROR(VLOOKUP(I1300,Jueces!$A$1:$B$11,2,FALSE),"")</f>
        <v>1</v>
      </c>
      <c r="K1300" s="63" t="s">
        <v>4790</v>
      </c>
      <c r="L1300" s="63" t="s">
        <v>1084</v>
      </c>
    </row>
    <row r="1301" spans="1:12" ht="30" customHeight="1">
      <c r="A1301" s="172" t="str">
        <f t="shared" si="40"/>
        <v>22/01/20243</v>
      </c>
      <c r="B1301" s="166">
        <f t="shared" si="41"/>
        <v>3</v>
      </c>
      <c r="C1301" s="63" t="s">
        <v>5049</v>
      </c>
      <c r="D1301" s="64" t="s">
        <v>5222</v>
      </c>
      <c r="E1301" s="336">
        <v>7</v>
      </c>
      <c r="F1301" s="336" t="s">
        <v>283</v>
      </c>
      <c r="G1301" s="349">
        <v>45313</v>
      </c>
      <c r="H1301" s="65" t="s">
        <v>75</v>
      </c>
      <c r="I1301" s="349" t="s">
        <v>4931</v>
      </c>
      <c r="J1301" s="63" t="s">
        <v>1916</v>
      </c>
      <c r="K1301" s="63" t="s">
        <v>789</v>
      </c>
      <c r="L1301" s="63" t="s">
        <v>885</v>
      </c>
    </row>
    <row r="1302" spans="1:12" ht="30" customHeight="1">
      <c r="A1302" s="172" t="str">
        <f t="shared" si="40"/>
        <v>22/01/20244</v>
      </c>
      <c r="B1302" s="166">
        <f t="shared" si="41"/>
        <v>4</v>
      </c>
      <c r="C1302" s="63" t="s">
        <v>2855</v>
      </c>
      <c r="D1302" s="64" t="s">
        <v>5079</v>
      </c>
      <c r="E1302" s="336">
        <v>1</v>
      </c>
      <c r="F1302" s="336" t="s">
        <v>1433</v>
      </c>
      <c r="G1302" s="349">
        <v>45313</v>
      </c>
      <c r="H1302" s="65" t="s">
        <v>75</v>
      </c>
      <c r="I1302" s="349" t="s">
        <v>1217</v>
      </c>
      <c r="J1302" s="336">
        <f>IFERROR(VLOOKUP(I1302,Jueces!$A$1:$B$11,2,FALSE),"")</f>
        <v>7</v>
      </c>
      <c r="K1302" s="63" t="s">
        <v>4791</v>
      </c>
      <c r="L1302" s="63" t="s">
        <v>711</v>
      </c>
    </row>
    <row r="1303" spans="1:12" ht="30" customHeight="1">
      <c r="A1303" s="172" t="str">
        <f t="shared" si="40"/>
        <v>22/01/20245</v>
      </c>
      <c r="B1303" s="166">
        <f t="shared" si="41"/>
        <v>5</v>
      </c>
      <c r="C1303" s="63" t="s">
        <v>5164</v>
      </c>
      <c r="D1303" s="64" t="s">
        <v>5165</v>
      </c>
      <c r="E1303" s="336">
        <v>7</v>
      </c>
      <c r="F1303" s="336" t="s">
        <v>2766</v>
      </c>
      <c r="G1303" s="349">
        <v>45313</v>
      </c>
      <c r="H1303" s="65" t="s">
        <v>75</v>
      </c>
      <c r="I1303" s="349" t="s">
        <v>1216</v>
      </c>
      <c r="J1303" s="336">
        <f>IFERROR(VLOOKUP(I1303,Jueces!$A$1:$B$11,2,FALSE),"")</f>
        <v>1</v>
      </c>
      <c r="K1303" s="63" t="s">
        <v>4778</v>
      </c>
      <c r="L1303" s="63" t="s">
        <v>767</v>
      </c>
    </row>
    <row r="1304" spans="1:12" ht="30" customHeight="1">
      <c r="A1304" s="172" t="str">
        <f t="shared" si="40"/>
        <v>22/01/20246</v>
      </c>
      <c r="B1304" s="166">
        <f t="shared" si="41"/>
        <v>6</v>
      </c>
      <c r="C1304" s="63" t="s">
        <v>4869</v>
      </c>
      <c r="D1304" s="64" t="s">
        <v>4870</v>
      </c>
      <c r="E1304" s="336">
        <v>5</v>
      </c>
      <c r="F1304" s="63" t="s">
        <v>3639</v>
      </c>
      <c r="G1304" s="349">
        <v>45313</v>
      </c>
      <c r="H1304" s="65" t="s">
        <v>77</v>
      </c>
      <c r="I1304" s="65" t="s">
        <v>1217</v>
      </c>
      <c r="J1304" s="336">
        <f>IFERROR(VLOOKUP(I1304,Jueces!$A$1:$B$11,2,FALSE),"")</f>
        <v>7</v>
      </c>
      <c r="K1304" s="63" t="s">
        <v>4786</v>
      </c>
      <c r="L1304" s="373" t="s">
        <v>4871</v>
      </c>
    </row>
    <row r="1305" spans="1:12" ht="30" customHeight="1">
      <c r="A1305" s="172" t="str">
        <f t="shared" si="40"/>
        <v>22/01/20247</v>
      </c>
      <c r="B1305" s="166">
        <f t="shared" si="41"/>
        <v>7</v>
      </c>
      <c r="C1305" s="63" t="s">
        <v>5035</v>
      </c>
      <c r="D1305" s="64" t="s">
        <v>5036</v>
      </c>
      <c r="E1305" s="336">
        <v>7</v>
      </c>
      <c r="F1305" s="336" t="s">
        <v>3791</v>
      </c>
      <c r="G1305" s="349">
        <v>45313</v>
      </c>
      <c r="H1305" s="65" t="s">
        <v>77</v>
      </c>
      <c r="I1305" s="349" t="s">
        <v>4931</v>
      </c>
      <c r="J1305" s="63" t="s">
        <v>1916</v>
      </c>
      <c r="K1305" s="63" t="s">
        <v>4791</v>
      </c>
      <c r="L1305" s="63" t="s">
        <v>885</v>
      </c>
    </row>
    <row r="1306" spans="1:12" ht="30" customHeight="1">
      <c r="A1306" s="172" t="str">
        <f t="shared" si="40"/>
        <v>22/01/20248</v>
      </c>
      <c r="B1306" s="166">
        <f t="shared" si="41"/>
        <v>8</v>
      </c>
      <c r="C1306" s="63" t="s">
        <v>5080</v>
      </c>
      <c r="D1306" s="64" t="s">
        <v>5081</v>
      </c>
      <c r="E1306" s="336">
        <v>7</v>
      </c>
      <c r="F1306" s="336" t="s">
        <v>43</v>
      </c>
      <c r="G1306" s="349">
        <v>45313</v>
      </c>
      <c r="H1306" s="65" t="s">
        <v>228</v>
      </c>
      <c r="I1306" s="349" t="s">
        <v>1216</v>
      </c>
      <c r="J1306" s="336">
        <f>IFERROR(VLOOKUP(I1306,Jueces!$A$1:$B$11,2,FALSE),"")</f>
        <v>1</v>
      </c>
      <c r="K1306" s="63" t="s">
        <v>4791</v>
      </c>
      <c r="L1306" s="63" t="s">
        <v>885</v>
      </c>
    </row>
    <row r="1307" spans="1:12" ht="30" customHeight="1">
      <c r="A1307" s="172" t="str">
        <f t="shared" si="40"/>
        <v>22/01/20249</v>
      </c>
      <c r="B1307" s="166">
        <f t="shared" si="41"/>
        <v>9</v>
      </c>
      <c r="C1307" s="63">
        <v>187666</v>
      </c>
      <c r="D1307" s="64" t="s">
        <v>4551</v>
      </c>
      <c r="E1307" s="336">
        <v>5</v>
      </c>
      <c r="F1307" s="336" t="s">
        <v>3791</v>
      </c>
      <c r="G1307" s="349">
        <v>45313</v>
      </c>
      <c r="H1307" s="65" t="s">
        <v>228</v>
      </c>
      <c r="I1307" s="349" t="s">
        <v>4931</v>
      </c>
      <c r="J1307" s="63" t="s">
        <v>1916</v>
      </c>
      <c r="K1307" s="63" t="s">
        <v>508</v>
      </c>
      <c r="L1307" s="335" t="s">
        <v>1426</v>
      </c>
    </row>
    <row r="1308" spans="1:12" ht="30" customHeight="1">
      <c r="A1308" s="172" t="str">
        <f t="shared" si="40"/>
        <v>23/01/20241</v>
      </c>
      <c r="B1308" s="166">
        <f t="shared" si="41"/>
        <v>1</v>
      </c>
      <c r="C1308" s="63" t="s">
        <v>5167</v>
      </c>
      <c r="D1308" s="64" t="s">
        <v>5413</v>
      </c>
      <c r="E1308" s="336">
        <v>2</v>
      </c>
      <c r="F1308" s="336" t="s">
        <v>4934</v>
      </c>
      <c r="G1308" s="349">
        <v>45314</v>
      </c>
      <c r="H1308" s="65" t="s">
        <v>76</v>
      </c>
      <c r="I1308" s="349" t="s">
        <v>1217</v>
      </c>
      <c r="J1308" s="336">
        <f>IFERROR(VLOOKUP(I1308,Jueces!$A$1:$B$11,2,FALSE),"")</f>
        <v>7</v>
      </c>
      <c r="K1308" s="63" t="s">
        <v>791</v>
      </c>
      <c r="L1308" s="63" t="s">
        <v>1084</v>
      </c>
    </row>
    <row r="1309" spans="1:12" ht="30" customHeight="1">
      <c r="A1309" s="172" t="str">
        <f t="shared" si="40"/>
        <v>23/01/20242</v>
      </c>
      <c r="B1309" s="166">
        <f t="shared" si="41"/>
        <v>2</v>
      </c>
      <c r="C1309" s="63" t="s">
        <v>4669</v>
      </c>
      <c r="D1309" s="355" t="s">
        <v>4705</v>
      </c>
      <c r="E1309" s="336">
        <v>8</v>
      </c>
      <c r="F1309" s="336" t="s">
        <v>2766</v>
      </c>
      <c r="G1309" s="349">
        <v>45314</v>
      </c>
      <c r="H1309" s="65" t="s">
        <v>75</v>
      </c>
      <c r="I1309" s="349" t="s">
        <v>1217</v>
      </c>
      <c r="J1309" s="336">
        <f>IFERROR(VLOOKUP(I1309,Jueces!$A$1:$B$11,2,FALSE),"")</f>
        <v>7</v>
      </c>
      <c r="K1309" s="63" t="s">
        <v>4781</v>
      </c>
      <c r="L1309" s="63" t="s">
        <v>723</v>
      </c>
    </row>
    <row r="1310" spans="1:12" ht="30" customHeight="1">
      <c r="A1310" s="172" t="str">
        <f t="shared" si="40"/>
        <v>23/01/20243</v>
      </c>
      <c r="B1310" s="166">
        <f t="shared" si="41"/>
        <v>3</v>
      </c>
      <c r="C1310" s="63" t="s">
        <v>5154</v>
      </c>
      <c r="D1310" s="64" t="s">
        <v>5155</v>
      </c>
      <c r="E1310" s="336">
        <v>7</v>
      </c>
      <c r="F1310" s="336" t="s">
        <v>3791</v>
      </c>
      <c r="G1310" s="349">
        <v>45314</v>
      </c>
      <c r="H1310" s="65" t="s">
        <v>75</v>
      </c>
      <c r="I1310" s="349" t="s">
        <v>33</v>
      </c>
      <c r="J1310" s="336">
        <f>IFERROR(VLOOKUP(I1310,Jueces!$A$1:$B$11,2,FALSE),"")</f>
        <v>4</v>
      </c>
      <c r="K1310" s="63" t="s">
        <v>4792</v>
      </c>
      <c r="L1310" s="63" t="s">
        <v>885</v>
      </c>
    </row>
    <row r="1311" spans="1:12" ht="30" customHeight="1">
      <c r="A1311" s="172" t="str">
        <f t="shared" si="40"/>
        <v>23/01/20244</v>
      </c>
      <c r="B1311" s="166">
        <f t="shared" si="41"/>
        <v>4</v>
      </c>
      <c r="C1311" s="63" t="s">
        <v>5136</v>
      </c>
      <c r="D1311" s="64" t="s">
        <v>5166</v>
      </c>
      <c r="E1311" s="336">
        <v>1</v>
      </c>
      <c r="F1311" s="336" t="s">
        <v>43</v>
      </c>
      <c r="G1311" s="349">
        <v>45314</v>
      </c>
      <c r="H1311" s="65" t="s">
        <v>77</v>
      </c>
      <c r="I1311" s="349" t="s">
        <v>1216</v>
      </c>
      <c r="J1311" s="336">
        <f>IFERROR(VLOOKUP(I1311,Jueces!$A$1:$B$11,2,FALSE),"")</f>
        <v>1</v>
      </c>
      <c r="K1311" s="63" t="s">
        <v>4791</v>
      </c>
      <c r="L1311" s="63" t="s">
        <v>1084</v>
      </c>
    </row>
    <row r="1312" spans="1:12" ht="30" customHeight="1">
      <c r="A1312" s="172" t="str">
        <f t="shared" si="40"/>
        <v>24/01/20241</v>
      </c>
      <c r="B1312" s="166">
        <f t="shared" si="41"/>
        <v>1</v>
      </c>
      <c r="C1312" s="63" t="s">
        <v>5056</v>
      </c>
      <c r="D1312" s="64" t="s">
        <v>5432</v>
      </c>
      <c r="E1312" s="336">
        <v>7</v>
      </c>
      <c r="F1312" s="336" t="s">
        <v>43</v>
      </c>
      <c r="G1312" s="349">
        <v>45315</v>
      </c>
      <c r="H1312" s="65" t="s">
        <v>686</v>
      </c>
      <c r="I1312" s="349" t="s">
        <v>1217</v>
      </c>
      <c r="J1312" s="336">
        <f>IFERROR(VLOOKUP(I1312,Jueces!$A$1:$B$11,2,FALSE),"")</f>
        <v>7</v>
      </c>
      <c r="K1312" s="63" t="s">
        <v>4791</v>
      </c>
      <c r="L1312" s="63" t="s">
        <v>767</v>
      </c>
    </row>
    <row r="1313" spans="1:12" ht="30" customHeight="1">
      <c r="A1313" s="172" t="str">
        <f t="shared" si="40"/>
        <v>24/01/20242</v>
      </c>
      <c r="B1313" s="166">
        <f t="shared" si="41"/>
        <v>2</v>
      </c>
      <c r="C1313" s="63" t="s">
        <v>5082</v>
      </c>
      <c r="D1313" s="64" t="s">
        <v>5083</v>
      </c>
      <c r="E1313" s="336">
        <v>5</v>
      </c>
      <c r="F1313" s="336" t="s">
        <v>1434</v>
      </c>
      <c r="G1313" s="65">
        <v>45315</v>
      </c>
      <c r="H1313" s="65" t="s">
        <v>76</v>
      </c>
      <c r="I1313" s="349" t="s">
        <v>1216</v>
      </c>
      <c r="J1313" s="336">
        <f>IFERROR(VLOOKUP(I1313,Jueces!$A$1:$B$11,2,FALSE),"")</f>
        <v>1</v>
      </c>
      <c r="K1313" s="63" t="s">
        <v>4782</v>
      </c>
      <c r="L1313" s="335" t="s">
        <v>1408</v>
      </c>
    </row>
    <row r="1314" spans="1:12" ht="30" customHeight="1">
      <c r="A1314" s="172" t="str">
        <f t="shared" si="40"/>
        <v>24/01/20243</v>
      </c>
      <c r="B1314" s="166">
        <f t="shared" si="41"/>
        <v>3</v>
      </c>
      <c r="C1314" s="63" t="s">
        <v>5134</v>
      </c>
      <c r="D1314" s="64" t="s">
        <v>5135</v>
      </c>
      <c r="E1314" s="336">
        <v>2</v>
      </c>
      <c r="F1314" s="336" t="s">
        <v>3791</v>
      </c>
      <c r="G1314" s="349">
        <v>45315</v>
      </c>
      <c r="H1314" s="65" t="s">
        <v>76</v>
      </c>
      <c r="I1314" s="349" t="s">
        <v>33</v>
      </c>
      <c r="J1314" s="336">
        <f>IFERROR(VLOOKUP(I1314,Jueces!$A$1:$B$11,2,FALSE),"")</f>
        <v>4</v>
      </c>
      <c r="K1314" s="63" t="s">
        <v>4791</v>
      </c>
      <c r="L1314" s="63" t="s">
        <v>1084</v>
      </c>
    </row>
    <row r="1315" spans="1:12" ht="30" customHeight="1">
      <c r="A1315" s="172" t="str">
        <f t="shared" si="40"/>
        <v>24/01/20244</v>
      </c>
      <c r="B1315" s="166">
        <f t="shared" si="41"/>
        <v>4</v>
      </c>
      <c r="C1315" s="336" t="s">
        <v>5076</v>
      </c>
      <c r="D1315" s="355" t="s">
        <v>5077</v>
      </c>
      <c r="E1315" s="336">
        <v>7</v>
      </c>
      <c r="F1315" s="336" t="s">
        <v>5009</v>
      </c>
      <c r="G1315" s="349">
        <v>45315</v>
      </c>
      <c r="H1315" s="65" t="s">
        <v>75</v>
      </c>
      <c r="I1315" s="349" t="s">
        <v>1216</v>
      </c>
      <c r="J1315" s="336">
        <f>IFERROR(VLOOKUP(I1315,Jueces!$A$1:$B$11,2,FALSE),"")</f>
        <v>1</v>
      </c>
      <c r="K1315" s="63" t="s">
        <v>4778</v>
      </c>
      <c r="L1315" s="63" t="s">
        <v>885</v>
      </c>
    </row>
    <row r="1316" spans="1:12" ht="30" customHeight="1">
      <c r="A1316" s="172" t="str">
        <f t="shared" si="40"/>
        <v>24/01/20245</v>
      </c>
      <c r="B1316" s="166">
        <f t="shared" si="41"/>
        <v>5</v>
      </c>
      <c r="C1316" s="63" t="s">
        <v>5113</v>
      </c>
      <c r="D1316" s="64" t="s">
        <v>5114</v>
      </c>
      <c r="E1316" s="336">
        <v>1</v>
      </c>
      <c r="F1316" s="336" t="s">
        <v>2766</v>
      </c>
      <c r="G1316" s="349">
        <v>45315</v>
      </c>
      <c r="H1316" s="65" t="s">
        <v>75</v>
      </c>
      <c r="I1316" s="349" t="s">
        <v>33</v>
      </c>
      <c r="J1316" s="336">
        <f>IFERROR(VLOOKUP(I1316,Jueces!$A$1:$B$11,2,FALSE),"")</f>
        <v>4</v>
      </c>
      <c r="K1316" s="63" t="s">
        <v>805</v>
      </c>
      <c r="L1316" s="63" t="s">
        <v>1084</v>
      </c>
    </row>
    <row r="1317" spans="1:12" ht="30" customHeight="1">
      <c r="A1317" s="172" t="str">
        <f t="shared" si="40"/>
        <v>24/01/20246</v>
      </c>
      <c r="B1317" s="166">
        <f t="shared" si="41"/>
        <v>6</v>
      </c>
      <c r="C1317" s="63" t="s">
        <v>5132</v>
      </c>
      <c r="D1317" s="64" t="s">
        <v>5133</v>
      </c>
      <c r="E1317" s="336">
        <v>5</v>
      </c>
      <c r="F1317" s="336" t="s">
        <v>1433</v>
      </c>
      <c r="G1317" s="349">
        <v>45315</v>
      </c>
      <c r="H1317" s="65" t="s">
        <v>75</v>
      </c>
      <c r="I1317" s="349" t="s">
        <v>33</v>
      </c>
      <c r="J1317" s="336">
        <f>IFERROR(VLOOKUP(I1317,Jueces!$A$1:$B$11,2,FALSE),"")</f>
        <v>4</v>
      </c>
      <c r="K1317" s="63" t="s">
        <v>4781</v>
      </c>
      <c r="L1317" s="63" t="s">
        <v>885</v>
      </c>
    </row>
    <row r="1318" spans="1:12" ht="30" customHeight="1">
      <c r="A1318" s="172" t="str">
        <f t="shared" si="40"/>
        <v>24/01/20247</v>
      </c>
      <c r="B1318" s="166">
        <f t="shared" si="41"/>
        <v>7</v>
      </c>
      <c r="C1318" s="63" t="s">
        <v>5207</v>
      </c>
      <c r="D1318" s="64" t="s">
        <v>5492</v>
      </c>
      <c r="E1318" s="63">
        <v>7</v>
      </c>
      <c r="F1318" s="336" t="s">
        <v>3639</v>
      </c>
      <c r="G1318" s="349">
        <v>45315</v>
      </c>
      <c r="H1318" s="65" t="s">
        <v>75</v>
      </c>
      <c r="I1318" s="349" t="s">
        <v>1217</v>
      </c>
      <c r="J1318" s="336">
        <f>IFERROR(VLOOKUP(I1318,Jueces!$A$1:$B$11,2,FALSE),"")</f>
        <v>7</v>
      </c>
      <c r="K1318" s="63" t="s">
        <v>4779</v>
      </c>
      <c r="L1318" s="63" t="s">
        <v>5285</v>
      </c>
    </row>
    <row r="1319" spans="1:12" ht="30" customHeight="1">
      <c r="A1319" s="172" t="str">
        <f t="shared" si="40"/>
        <v>24/01/20248</v>
      </c>
      <c r="B1319" s="166">
        <f t="shared" si="41"/>
        <v>8</v>
      </c>
      <c r="C1319" s="336" t="s">
        <v>2901</v>
      </c>
      <c r="D1319" s="355" t="s">
        <v>4377</v>
      </c>
      <c r="E1319" s="336">
        <v>1</v>
      </c>
      <c r="F1319" s="336" t="s">
        <v>43</v>
      </c>
      <c r="G1319" s="383">
        <v>45315</v>
      </c>
      <c r="H1319" s="65" t="s">
        <v>1755</v>
      </c>
      <c r="I1319" s="349" t="s">
        <v>1616</v>
      </c>
      <c r="J1319" s="63" t="s">
        <v>4118</v>
      </c>
      <c r="K1319" s="63" t="s">
        <v>582</v>
      </c>
      <c r="L1319" s="63" t="s">
        <v>3300</v>
      </c>
    </row>
    <row r="1320" spans="1:12" ht="30" customHeight="1">
      <c r="A1320" s="172" t="str">
        <f t="shared" si="40"/>
        <v>24/01/20249</v>
      </c>
      <c r="B1320" s="166">
        <f t="shared" si="41"/>
        <v>9</v>
      </c>
      <c r="C1320" s="63" t="s">
        <v>5137</v>
      </c>
      <c r="D1320" s="64" t="s">
        <v>5138</v>
      </c>
      <c r="E1320" s="336">
        <v>1</v>
      </c>
      <c r="F1320" s="336" t="s">
        <v>4934</v>
      </c>
      <c r="G1320" s="349">
        <v>45315</v>
      </c>
      <c r="H1320" s="65" t="s">
        <v>77</v>
      </c>
      <c r="I1320" s="349" t="s">
        <v>1216</v>
      </c>
      <c r="J1320" s="336">
        <f>IFERROR(VLOOKUP(I1320,Jueces!$A$1:$B$11,2,FALSE),"")</f>
        <v>1</v>
      </c>
      <c r="K1320" s="63" t="s">
        <v>4782</v>
      </c>
      <c r="L1320" s="63" t="s">
        <v>1084</v>
      </c>
    </row>
    <row r="1321" spans="1:12" ht="30" customHeight="1">
      <c r="A1321" s="172" t="str">
        <f t="shared" si="40"/>
        <v>24/01/202410</v>
      </c>
      <c r="B1321" s="166">
        <f t="shared" si="41"/>
        <v>10</v>
      </c>
      <c r="C1321" s="63" t="s">
        <v>5215</v>
      </c>
      <c r="D1321" s="64" t="s">
        <v>5284</v>
      </c>
      <c r="E1321" s="63">
        <v>7</v>
      </c>
      <c r="F1321" s="336" t="s">
        <v>283</v>
      </c>
      <c r="G1321" s="349">
        <v>45315</v>
      </c>
      <c r="H1321" s="65" t="s">
        <v>77</v>
      </c>
      <c r="I1321" s="349" t="s">
        <v>33</v>
      </c>
      <c r="J1321" s="336">
        <f>IFERROR(VLOOKUP(I1321,Jueces!$A$1:$B$11,2,FALSE),"")</f>
        <v>4</v>
      </c>
      <c r="K1321" s="63" t="s">
        <v>806</v>
      </c>
      <c r="L1321" s="63" t="s">
        <v>885</v>
      </c>
    </row>
    <row r="1322" spans="1:12" ht="30" customHeight="1">
      <c r="A1322" s="172" t="str">
        <f t="shared" si="40"/>
        <v>24/01/202411</v>
      </c>
      <c r="B1322" s="166">
        <f t="shared" si="41"/>
        <v>11</v>
      </c>
      <c r="C1322" s="336" t="s">
        <v>5075</v>
      </c>
      <c r="D1322" s="64" t="s">
        <v>5293</v>
      </c>
      <c r="E1322" s="336">
        <v>7</v>
      </c>
      <c r="F1322" s="336" t="s">
        <v>1434</v>
      </c>
      <c r="G1322" s="349">
        <v>45315</v>
      </c>
      <c r="H1322" s="65" t="s">
        <v>228</v>
      </c>
      <c r="I1322" s="349" t="s">
        <v>1216</v>
      </c>
      <c r="J1322" s="336">
        <f>IFERROR(VLOOKUP(I1322,Jueces!$A$1:$B$11,2,FALSE),"")</f>
        <v>1</v>
      </c>
      <c r="K1322" s="63" t="s">
        <v>789</v>
      </c>
      <c r="L1322" s="63" t="s">
        <v>885</v>
      </c>
    </row>
    <row r="1323" spans="1:12" ht="30" customHeight="1">
      <c r="A1323" s="172" t="str">
        <f t="shared" si="40"/>
        <v>24/01/202412</v>
      </c>
      <c r="B1323" s="166">
        <f t="shared" si="41"/>
        <v>12</v>
      </c>
      <c r="C1323" s="63" t="s">
        <v>5110</v>
      </c>
      <c r="D1323" s="64" t="s">
        <v>5112</v>
      </c>
      <c r="E1323" s="336">
        <v>1</v>
      </c>
      <c r="F1323" s="336" t="s">
        <v>1433</v>
      </c>
      <c r="G1323" s="349">
        <v>45315</v>
      </c>
      <c r="H1323" s="65" t="s">
        <v>228</v>
      </c>
      <c r="I1323" s="349" t="s">
        <v>1217</v>
      </c>
      <c r="J1323" s="336">
        <f>IFERROR(VLOOKUP(I1323,Jueces!$A$1:$B$11,2,FALSE),"")</f>
        <v>7</v>
      </c>
      <c r="K1323" s="63" t="s">
        <v>4789</v>
      </c>
      <c r="L1323" s="63" t="s">
        <v>1084</v>
      </c>
    </row>
    <row r="1324" spans="1:12" ht="30" customHeight="1">
      <c r="A1324" s="172" t="str">
        <f t="shared" si="40"/>
        <v>25/01/20241</v>
      </c>
      <c r="B1324" s="166">
        <f t="shared" si="41"/>
        <v>1</v>
      </c>
      <c r="C1324" s="206" t="s">
        <v>5203</v>
      </c>
      <c r="D1324" s="207" t="s">
        <v>5204</v>
      </c>
      <c r="E1324" s="206">
        <v>2</v>
      </c>
      <c r="F1324" s="329" t="s">
        <v>2766</v>
      </c>
      <c r="G1324" s="351">
        <v>45316</v>
      </c>
      <c r="H1324" s="294" t="s">
        <v>76</v>
      </c>
      <c r="I1324" s="351" t="s">
        <v>1217</v>
      </c>
      <c r="J1324" s="329">
        <f>IFERROR(VLOOKUP(I1324,Jueces!$A$1:$B$11,2,FALSE),"")</f>
        <v>7</v>
      </c>
      <c r="K1324" s="206" t="s">
        <v>4789</v>
      </c>
      <c r="L1324" s="206" t="s">
        <v>1084</v>
      </c>
    </row>
    <row r="1325" spans="1:12" ht="30" customHeight="1">
      <c r="A1325" s="172" t="str">
        <f t="shared" si="40"/>
        <v>25/01/20242</v>
      </c>
      <c r="B1325" s="166">
        <f t="shared" si="41"/>
        <v>2</v>
      </c>
      <c r="C1325" s="63" t="s">
        <v>5161</v>
      </c>
      <c r="D1325" s="64" t="s">
        <v>5193</v>
      </c>
      <c r="E1325" s="63">
        <v>7</v>
      </c>
      <c r="F1325" s="336" t="s">
        <v>4934</v>
      </c>
      <c r="G1325" s="349">
        <v>45316</v>
      </c>
      <c r="H1325" s="65" t="s">
        <v>75</v>
      </c>
      <c r="I1325" s="349" t="s">
        <v>1216</v>
      </c>
      <c r="J1325" s="336">
        <f>IFERROR(VLOOKUP(I1325,Jueces!$A$1:$B$11,2,FALSE),"")</f>
        <v>1</v>
      </c>
      <c r="K1325" s="63" t="s">
        <v>790</v>
      </c>
      <c r="L1325" s="63" t="s">
        <v>767</v>
      </c>
    </row>
    <row r="1326" spans="1:12" ht="30" customHeight="1">
      <c r="A1326" s="172" t="str">
        <f t="shared" si="40"/>
        <v>25/01/20243</v>
      </c>
      <c r="B1326" s="166">
        <f t="shared" si="41"/>
        <v>3</v>
      </c>
      <c r="C1326" s="63" t="s">
        <v>3849</v>
      </c>
      <c r="D1326" s="64" t="s">
        <v>5189</v>
      </c>
      <c r="E1326" s="63">
        <v>4</v>
      </c>
      <c r="F1326" s="336" t="s">
        <v>1434</v>
      </c>
      <c r="G1326" s="349">
        <v>45316</v>
      </c>
      <c r="H1326" s="65" t="s">
        <v>77</v>
      </c>
      <c r="I1326" s="349" t="s">
        <v>1217</v>
      </c>
      <c r="J1326" s="336">
        <f>IFERROR(VLOOKUP(I1326,Jueces!$A$1:$B$11,2,FALSE),"")</f>
        <v>7</v>
      </c>
      <c r="K1326" s="63" t="s">
        <v>4791</v>
      </c>
      <c r="L1326" s="63" t="s">
        <v>1866</v>
      </c>
    </row>
    <row r="1327" spans="1:12" ht="30" customHeight="1">
      <c r="A1327" s="172" t="str">
        <f t="shared" si="40"/>
        <v>25/01/20244</v>
      </c>
      <c r="B1327" s="166">
        <f t="shared" si="41"/>
        <v>4</v>
      </c>
      <c r="C1327" s="63" t="s">
        <v>5205</v>
      </c>
      <c r="D1327" s="64" t="s">
        <v>5286</v>
      </c>
      <c r="E1327" s="63">
        <v>7</v>
      </c>
      <c r="F1327" s="336" t="s">
        <v>283</v>
      </c>
      <c r="G1327" s="349">
        <v>45316</v>
      </c>
      <c r="H1327" s="65" t="s">
        <v>77</v>
      </c>
      <c r="I1327" s="349" t="s">
        <v>1216</v>
      </c>
      <c r="J1327" s="336">
        <f>IFERROR(VLOOKUP(I1327,Jueces!$A$1:$B$11,2,FALSE),"")</f>
        <v>1</v>
      </c>
      <c r="K1327" s="63" t="s">
        <v>4767</v>
      </c>
      <c r="L1327" s="63" t="s">
        <v>5288</v>
      </c>
    </row>
    <row r="1328" spans="1:12" ht="30" customHeight="1">
      <c r="A1328" s="172" t="str">
        <f t="shared" si="40"/>
        <v>25/01/20245</v>
      </c>
      <c r="B1328" s="166">
        <f t="shared" si="41"/>
        <v>5</v>
      </c>
      <c r="C1328" s="63" t="s">
        <v>5159</v>
      </c>
      <c r="D1328" s="64" t="s">
        <v>5160</v>
      </c>
      <c r="E1328" s="336">
        <v>1</v>
      </c>
      <c r="F1328" s="336" t="s">
        <v>5009</v>
      </c>
      <c r="G1328" s="349">
        <v>45316</v>
      </c>
      <c r="H1328" s="65" t="s">
        <v>228</v>
      </c>
      <c r="I1328" s="349" t="s">
        <v>1217</v>
      </c>
      <c r="J1328" s="336">
        <f>IFERROR(VLOOKUP(I1328,Jueces!$A$1:$B$11,2,FALSE),"")</f>
        <v>7</v>
      </c>
      <c r="K1328" s="63" t="s">
        <v>4790</v>
      </c>
      <c r="L1328" s="63" t="s">
        <v>1084</v>
      </c>
    </row>
    <row r="1329" spans="1:12" ht="30" customHeight="1">
      <c r="A1329" s="172" t="str">
        <f t="shared" si="40"/>
        <v>25/01/20246</v>
      </c>
      <c r="B1329" s="166">
        <f t="shared" si="41"/>
        <v>6</v>
      </c>
      <c r="C1329" s="63" t="s">
        <v>3952</v>
      </c>
      <c r="D1329" s="64" t="s">
        <v>5493</v>
      </c>
      <c r="E1329" s="63">
        <v>3</v>
      </c>
      <c r="F1329" s="336" t="s">
        <v>1433</v>
      </c>
      <c r="G1329" s="349">
        <v>45316</v>
      </c>
      <c r="H1329" s="65" t="s">
        <v>228</v>
      </c>
      <c r="I1329" s="349" t="s">
        <v>1216</v>
      </c>
      <c r="J1329" s="336">
        <f>IFERROR(VLOOKUP(I1329,Jueces!$A$1:$B$11,2,FALSE),"")</f>
        <v>1</v>
      </c>
      <c r="K1329" s="63" t="s">
        <v>4779</v>
      </c>
      <c r="L1329" s="63" t="s">
        <v>695</v>
      </c>
    </row>
    <row r="1330" spans="1:12" ht="30" customHeight="1">
      <c r="A1330" s="172" t="str">
        <f t="shared" si="40"/>
        <v>25/01/20247</v>
      </c>
      <c r="B1330" s="166">
        <f t="shared" si="41"/>
        <v>7</v>
      </c>
      <c r="C1330" s="63" t="s">
        <v>3968</v>
      </c>
      <c r="D1330" s="64" t="s">
        <v>5208</v>
      </c>
      <c r="E1330" s="63">
        <v>4</v>
      </c>
      <c r="F1330" s="336" t="s">
        <v>3639</v>
      </c>
      <c r="G1330" s="349">
        <v>45316</v>
      </c>
      <c r="H1330" s="65" t="s">
        <v>228</v>
      </c>
      <c r="I1330" s="349" t="s">
        <v>33</v>
      </c>
      <c r="J1330" s="336">
        <f>IFERROR(VLOOKUP(I1330,Jueces!$A$1:$B$11,2,FALSE),"")</f>
        <v>4</v>
      </c>
      <c r="K1330" s="63" t="s">
        <v>4791</v>
      </c>
      <c r="L1330" s="63" t="s">
        <v>1866</v>
      </c>
    </row>
    <row r="1331" spans="1:12" ht="30" customHeight="1">
      <c r="A1331" s="172" t="str">
        <f t="shared" si="40"/>
        <v>26/01/20241</v>
      </c>
      <c r="B1331" s="166">
        <f t="shared" si="41"/>
        <v>1</v>
      </c>
      <c r="C1331" s="63" t="s">
        <v>4405</v>
      </c>
      <c r="D1331" s="355" t="s">
        <v>4406</v>
      </c>
      <c r="E1331" s="336">
        <v>4</v>
      </c>
      <c r="F1331" s="63" t="s">
        <v>3791</v>
      </c>
      <c r="G1331" s="428">
        <v>45317</v>
      </c>
      <c r="H1331" s="65" t="s">
        <v>76</v>
      </c>
      <c r="I1331" s="65" t="s">
        <v>33</v>
      </c>
      <c r="J1331" s="336">
        <f>IFERROR(VLOOKUP(I1331,Jueces!$A$1:$B$11,2,FALSE),"")</f>
        <v>4</v>
      </c>
      <c r="K1331" s="63" t="s">
        <v>2077</v>
      </c>
      <c r="L1331" s="356" t="s">
        <v>5561</v>
      </c>
    </row>
    <row r="1332" spans="1:12" ht="30" customHeight="1">
      <c r="A1332" s="172" t="str">
        <f t="shared" si="40"/>
        <v>26/01/20242</v>
      </c>
      <c r="B1332" s="166">
        <f t="shared" si="41"/>
        <v>2</v>
      </c>
      <c r="C1332" s="63" t="s">
        <v>5211</v>
      </c>
      <c r="D1332" s="64" t="s">
        <v>5212</v>
      </c>
      <c r="E1332" s="63">
        <v>2</v>
      </c>
      <c r="F1332" s="336" t="s">
        <v>1433</v>
      </c>
      <c r="G1332" s="349">
        <v>45317</v>
      </c>
      <c r="H1332" s="65" t="s">
        <v>76</v>
      </c>
      <c r="I1332" s="349" t="s">
        <v>1217</v>
      </c>
      <c r="J1332" s="336">
        <f>IFERROR(VLOOKUP(I1332,Jueces!$A$1:$B$11,2,FALSE),"")</f>
        <v>7</v>
      </c>
      <c r="K1332" s="63" t="s">
        <v>4788</v>
      </c>
      <c r="L1332" s="63" t="s">
        <v>711</v>
      </c>
    </row>
    <row r="1333" spans="1:12" ht="30" customHeight="1">
      <c r="A1333" s="172" t="str">
        <f t="shared" si="40"/>
        <v>26/01/20243</v>
      </c>
      <c r="B1333" s="166">
        <f t="shared" si="41"/>
        <v>3</v>
      </c>
      <c r="C1333" s="63" t="s">
        <v>4837</v>
      </c>
      <c r="D1333" s="64" t="s">
        <v>4838</v>
      </c>
      <c r="E1333" s="336">
        <v>5</v>
      </c>
      <c r="F1333" s="336" t="s">
        <v>43</v>
      </c>
      <c r="G1333" s="349">
        <v>45317</v>
      </c>
      <c r="H1333" s="65" t="s">
        <v>76</v>
      </c>
      <c r="I1333" s="349" t="s">
        <v>1216</v>
      </c>
      <c r="J1333" s="336">
        <f>IFERROR(VLOOKUP(I1333,Jueces!$A$1:$B$11,2,FALSE),"")</f>
        <v>1</v>
      </c>
      <c r="K1333" s="63" t="s">
        <v>4767</v>
      </c>
      <c r="L1333" s="63" t="s">
        <v>5347</v>
      </c>
    </row>
    <row r="1334" spans="1:12" ht="30" customHeight="1">
      <c r="A1334" s="172" t="str">
        <f t="shared" si="40"/>
        <v>26/01/20244</v>
      </c>
      <c r="B1334" s="166">
        <f t="shared" si="41"/>
        <v>4</v>
      </c>
      <c r="C1334" s="63" t="s">
        <v>5089</v>
      </c>
      <c r="D1334" s="64" t="s">
        <v>5129</v>
      </c>
      <c r="E1334" s="336">
        <v>8</v>
      </c>
      <c r="F1334" s="336" t="s">
        <v>283</v>
      </c>
      <c r="G1334" s="349">
        <v>45317</v>
      </c>
      <c r="H1334" s="65" t="s">
        <v>1206</v>
      </c>
      <c r="I1334" s="349" t="s">
        <v>33</v>
      </c>
      <c r="J1334" s="336">
        <f>IFERROR(VLOOKUP(I1334,Jueces!$A$1:$B$11,2,FALSE),"")</f>
        <v>4</v>
      </c>
      <c r="K1334" s="63" t="s">
        <v>4782</v>
      </c>
      <c r="L1334" s="335" t="s">
        <v>5090</v>
      </c>
    </row>
    <row r="1335" spans="1:12" ht="30" customHeight="1">
      <c r="A1335" s="172" t="str">
        <f t="shared" si="40"/>
        <v>26/01/20245</v>
      </c>
      <c r="B1335" s="166">
        <f t="shared" si="41"/>
        <v>5</v>
      </c>
      <c r="C1335" s="63" t="s">
        <v>5225</v>
      </c>
      <c r="D1335" s="64" t="s">
        <v>5226</v>
      </c>
      <c r="E1335" s="63">
        <v>1</v>
      </c>
      <c r="F1335" s="336" t="s">
        <v>2766</v>
      </c>
      <c r="G1335" s="349">
        <v>45317</v>
      </c>
      <c r="H1335" s="65" t="s">
        <v>1442</v>
      </c>
      <c r="I1335" s="349" t="s">
        <v>1217</v>
      </c>
      <c r="J1335" s="336">
        <v>7</v>
      </c>
      <c r="K1335" s="63" t="s">
        <v>4782</v>
      </c>
      <c r="L1335" s="63" t="s">
        <v>725</v>
      </c>
    </row>
    <row r="1336" spans="1:12" ht="30" customHeight="1">
      <c r="A1336" s="172" t="str">
        <f t="shared" si="40"/>
        <v>26/01/20246</v>
      </c>
      <c r="B1336" s="166">
        <f t="shared" si="41"/>
        <v>6</v>
      </c>
      <c r="C1336" s="63">
        <v>1882</v>
      </c>
      <c r="D1336" s="64" t="s">
        <v>5273</v>
      </c>
      <c r="E1336" s="63">
        <v>7</v>
      </c>
      <c r="F1336" s="336" t="s">
        <v>1434</v>
      </c>
      <c r="G1336" s="349">
        <v>45317</v>
      </c>
      <c r="H1336" s="65" t="s">
        <v>75</v>
      </c>
      <c r="I1336" s="349" t="s">
        <v>33</v>
      </c>
      <c r="J1336" s="336">
        <f>IFERROR(VLOOKUP(I1336,Jueces!$A$1:$B$11,2,FALSE),"")</f>
        <v>4</v>
      </c>
      <c r="K1336" s="63" t="s">
        <v>790</v>
      </c>
      <c r="L1336" s="63" t="s">
        <v>4186</v>
      </c>
    </row>
    <row r="1337" spans="1:12" ht="30" customHeight="1">
      <c r="A1337" s="172" t="str">
        <f t="shared" si="40"/>
        <v>26/01/20247</v>
      </c>
      <c r="B1337" s="166">
        <f t="shared" si="41"/>
        <v>7</v>
      </c>
      <c r="C1337" s="63" t="s">
        <v>5274</v>
      </c>
      <c r="D1337" s="64" t="s">
        <v>5375</v>
      </c>
      <c r="E1337" s="63">
        <v>7</v>
      </c>
      <c r="F1337" s="336" t="s">
        <v>283</v>
      </c>
      <c r="G1337" s="349">
        <v>45317</v>
      </c>
      <c r="H1337" s="65" t="s">
        <v>75</v>
      </c>
      <c r="I1337" s="349" t="s">
        <v>1216</v>
      </c>
      <c r="J1337" s="336">
        <f>IFERROR(VLOOKUP(I1337,Jueces!$A$1:$B$11,2,FALSE),"")</f>
        <v>1</v>
      </c>
      <c r="K1337" s="63" t="s">
        <v>791</v>
      </c>
      <c r="L1337" s="63" t="s">
        <v>885</v>
      </c>
    </row>
    <row r="1338" spans="1:12" ht="30" customHeight="1">
      <c r="A1338" s="172" t="str">
        <f t="shared" si="40"/>
        <v>26/01/20248</v>
      </c>
      <c r="B1338" s="166">
        <f t="shared" si="41"/>
        <v>8</v>
      </c>
      <c r="C1338" s="336" t="s">
        <v>5352</v>
      </c>
      <c r="D1338" s="355" t="s">
        <v>5353</v>
      </c>
      <c r="E1338" s="336">
        <v>1</v>
      </c>
      <c r="F1338" s="336" t="s">
        <v>4934</v>
      </c>
      <c r="G1338" s="349">
        <v>45317</v>
      </c>
      <c r="H1338" s="65" t="s">
        <v>1755</v>
      </c>
      <c r="I1338" s="349" t="s">
        <v>1217</v>
      </c>
      <c r="J1338" s="336">
        <f>IFERROR(VLOOKUP(I1338,Jueces!$A$1:$B$11,2,FALSE),"")</f>
        <v>7</v>
      </c>
      <c r="K1338" s="63" t="s">
        <v>806</v>
      </c>
      <c r="L1338" s="63" t="s">
        <v>1084</v>
      </c>
    </row>
    <row r="1339" spans="1:12" ht="30" customHeight="1">
      <c r="A1339" s="172" t="str">
        <f t="shared" si="40"/>
        <v>26/01/20249</v>
      </c>
      <c r="B1339" s="166">
        <f t="shared" si="41"/>
        <v>9</v>
      </c>
      <c r="C1339" s="63" t="s">
        <v>5156</v>
      </c>
      <c r="D1339" s="64" t="s">
        <v>5157</v>
      </c>
      <c r="E1339" s="336">
        <v>2</v>
      </c>
      <c r="F1339" s="336" t="s">
        <v>5009</v>
      </c>
      <c r="G1339" s="349">
        <v>45317</v>
      </c>
      <c r="H1339" s="65" t="s">
        <v>3738</v>
      </c>
      <c r="I1339" s="349" t="s">
        <v>1216</v>
      </c>
      <c r="J1339" s="336">
        <f>IFERROR(VLOOKUP(I1339,Jueces!$A$1:$B$11,2,FALSE),"")</f>
        <v>1</v>
      </c>
      <c r="K1339" s="63" t="s">
        <v>791</v>
      </c>
      <c r="L1339" s="63" t="s">
        <v>1084</v>
      </c>
    </row>
    <row r="1340" spans="1:12" ht="30" customHeight="1">
      <c r="A1340" s="172" t="str">
        <f t="shared" si="40"/>
        <v>29/01/20241</v>
      </c>
      <c r="B1340" s="166">
        <f t="shared" si="41"/>
        <v>1</v>
      </c>
      <c r="C1340" s="63" t="s">
        <v>5200</v>
      </c>
      <c r="D1340" s="64" t="s">
        <v>5201</v>
      </c>
      <c r="E1340" s="63">
        <v>2</v>
      </c>
      <c r="F1340" s="336" t="s">
        <v>2766</v>
      </c>
      <c r="G1340" s="349">
        <v>45320</v>
      </c>
      <c r="H1340" s="65" t="s">
        <v>76</v>
      </c>
      <c r="I1340" s="349" t="s">
        <v>1216</v>
      </c>
      <c r="J1340" s="336">
        <v>1</v>
      </c>
      <c r="K1340" s="63" t="s">
        <v>4790</v>
      </c>
      <c r="L1340" s="63" t="s">
        <v>711</v>
      </c>
    </row>
    <row r="1341" spans="1:12" ht="30" customHeight="1">
      <c r="A1341" s="172" t="str">
        <f t="shared" si="40"/>
        <v>29/01/20242</v>
      </c>
      <c r="B1341" s="166">
        <f t="shared" si="41"/>
        <v>2</v>
      </c>
      <c r="C1341" s="63" t="s">
        <v>5218</v>
      </c>
      <c r="D1341" s="64" t="s">
        <v>5219</v>
      </c>
      <c r="E1341" s="63">
        <v>2</v>
      </c>
      <c r="F1341" s="336" t="s">
        <v>283</v>
      </c>
      <c r="G1341" s="349">
        <v>45320</v>
      </c>
      <c r="H1341" s="65" t="s">
        <v>76</v>
      </c>
      <c r="I1341" s="349" t="s">
        <v>1217</v>
      </c>
      <c r="J1341" s="336">
        <f>IFERROR(VLOOKUP(I1341,Jueces!$A$1:$B$11,2,FALSE),"")</f>
        <v>7</v>
      </c>
      <c r="K1341" s="63" t="s">
        <v>4791</v>
      </c>
      <c r="L1341" s="63" t="s">
        <v>1084</v>
      </c>
    </row>
    <row r="1342" spans="1:12" ht="30" customHeight="1">
      <c r="A1342" s="172" t="str">
        <f t="shared" si="40"/>
        <v>29/01/20243</v>
      </c>
      <c r="B1342" s="166">
        <f t="shared" si="41"/>
        <v>3</v>
      </c>
      <c r="C1342" s="63" t="s">
        <v>5358</v>
      </c>
      <c r="D1342" s="64" t="s">
        <v>5359</v>
      </c>
      <c r="E1342" s="336">
        <v>7</v>
      </c>
      <c r="F1342" s="336" t="s">
        <v>43</v>
      </c>
      <c r="G1342" s="349">
        <v>45320</v>
      </c>
      <c r="H1342" s="65" t="s">
        <v>76</v>
      </c>
      <c r="I1342" s="349" t="s">
        <v>33</v>
      </c>
      <c r="J1342" s="336">
        <f>IFERROR(VLOOKUP(I1342,Jueces!$A$1:$B$11,2,FALSE),"")</f>
        <v>4</v>
      </c>
      <c r="K1342" s="63" t="s">
        <v>4788</v>
      </c>
      <c r="L1342" s="63" t="s">
        <v>885</v>
      </c>
    </row>
    <row r="1343" spans="1:12" ht="30" customHeight="1">
      <c r="A1343" s="172" t="str">
        <f t="shared" si="40"/>
        <v>29/01/20244</v>
      </c>
      <c r="B1343" s="166">
        <f t="shared" si="41"/>
        <v>4</v>
      </c>
      <c r="C1343" s="63" t="s">
        <v>5190</v>
      </c>
      <c r="D1343" s="64" t="s">
        <v>5191</v>
      </c>
      <c r="E1343" s="63">
        <v>7</v>
      </c>
      <c r="F1343" s="336" t="s">
        <v>4934</v>
      </c>
      <c r="G1343" s="349">
        <v>45320</v>
      </c>
      <c r="H1343" s="65" t="s">
        <v>75</v>
      </c>
      <c r="I1343" s="349" t="s">
        <v>1217</v>
      </c>
      <c r="J1343" s="336">
        <v>7</v>
      </c>
      <c r="K1343" s="63" t="s">
        <v>4776</v>
      </c>
      <c r="L1343" s="63" t="s">
        <v>885</v>
      </c>
    </row>
    <row r="1344" spans="1:12" ht="30" customHeight="1">
      <c r="A1344" s="172" t="str">
        <f t="shared" si="40"/>
        <v>29/01/20245</v>
      </c>
      <c r="B1344" s="166">
        <f t="shared" si="41"/>
        <v>5</v>
      </c>
      <c r="C1344" s="63" t="s">
        <v>5198</v>
      </c>
      <c r="D1344" s="355" t="s">
        <v>5199</v>
      </c>
      <c r="E1344" s="63">
        <v>2</v>
      </c>
      <c r="F1344" s="336" t="s">
        <v>1434</v>
      </c>
      <c r="G1344" s="349">
        <v>45320</v>
      </c>
      <c r="H1344" s="65" t="s">
        <v>77</v>
      </c>
      <c r="I1344" s="349" t="s">
        <v>33</v>
      </c>
      <c r="J1344" s="336">
        <f>IFERROR(VLOOKUP(I1344,Jueces!$A$1:$B$11,2,FALSE),"")</f>
        <v>4</v>
      </c>
      <c r="K1344" s="63" t="s">
        <v>4791</v>
      </c>
      <c r="L1344" s="63" t="s">
        <v>711</v>
      </c>
    </row>
    <row r="1345" spans="1:12" ht="30" customHeight="1">
      <c r="A1345" s="172" t="str">
        <f t="shared" si="40"/>
        <v>29/01/20246</v>
      </c>
      <c r="B1345" s="166">
        <f t="shared" si="41"/>
        <v>6</v>
      </c>
      <c r="C1345" s="63" t="s">
        <v>5206</v>
      </c>
      <c r="D1345" s="64" t="s">
        <v>5494</v>
      </c>
      <c r="E1345" s="63">
        <v>7</v>
      </c>
      <c r="F1345" s="336" t="s">
        <v>3639</v>
      </c>
      <c r="G1345" s="349">
        <v>45320</v>
      </c>
      <c r="H1345" s="65" t="s">
        <v>228</v>
      </c>
      <c r="I1345" s="349" t="s">
        <v>33</v>
      </c>
      <c r="J1345" s="336">
        <f>IFERROR(VLOOKUP(I1345,Jueces!$A$1:$B$11,2,FALSE),"")</f>
        <v>4</v>
      </c>
      <c r="K1345" s="63" t="s">
        <v>4779</v>
      </c>
      <c r="L1345" s="63" t="s">
        <v>885</v>
      </c>
    </row>
    <row r="1346" spans="1:12" ht="30" customHeight="1">
      <c r="A1346" s="172" t="str">
        <f t="shared" si="40"/>
        <v>30/01/20241</v>
      </c>
      <c r="B1346" s="166">
        <f t="shared" si="41"/>
        <v>1</v>
      </c>
      <c r="C1346" s="63" t="s">
        <v>5213</v>
      </c>
      <c r="D1346" s="64" t="s">
        <v>5214</v>
      </c>
      <c r="E1346" s="63">
        <v>2</v>
      </c>
      <c r="F1346" s="336" t="s">
        <v>3791</v>
      </c>
      <c r="G1346" s="349">
        <v>45321</v>
      </c>
      <c r="H1346" s="65" t="s">
        <v>76</v>
      </c>
      <c r="I1346" s="349" t="s">
        <v>33</v>
      </c>
      <c r="J1346" s="336">
        <f>IFERROR(VLOOKUP(I1346,Jueces!$A$1:$B$11,2,FALSE),"")</f>
        <v>4</v>
      </c>
      <c r="K1346" s="63" t="s">
        <v>4781</v>
      </c>
      <c r="L1346" s="63" t="s">
        <v>1084</v>
      </c>
    </row>
    <row r="1347" spans="1:12" ht="30" customHeight="1">
      <c r="A1347" s="172" t="str">
        <f t="shared" ref="A1347:A1410" si="42">CONCATENATE(TEXT($G1347,"dd/mm/yyyy"),$B1347)</f>
        <v>30/01/20242</v>
      </c>
      <c r="B1347" s="166">
        <f t="shared" si="41"/>
        <v>2</v>
      </c>
      <c r="C1347" s="63" t="s">
        <v>3008</v>
      </c>
      <c r="D1347" s="355" t="s">
        <v>3070</v>
      </c>
      <c r="E1347" s="63">
        <v>1</v>
      </c>
      <c r="F1347" s="336" t="s">
        <v>283</v>
      </c>
      <c r="G1347" s="349">
        <v>45321</v>
      </c>
      <c r="H1347" s="65" t="s">
        <v>76</v>
      </c>
      <c r="I1347" s="349" t="s">
        <v>1216</v>
      </c>
      <c r="J1347" s="336">
        <f>IFERROR(VLOOKUP(I1347,Jueces!$A$1:$B$11,2,FALSE),"")</f>
        <v>1</v>
      </c>
      <c r="K1347" s="63" t="s">
        <v>805</v>
      </c>
      <c r="L1347" s="63" t="s">
        <v>711</v>
      </c>
    </row>
    <row r="1348" spans="1:12" ht="30" customHeight="1">
      <c r="A1348" s="172" t="str">
        <f t="shared" si="42"/>
        <v>30/01/20243</v>
      </c>
      <c r="B1348" s="166">
        <f t="shared" ref="B1348:B1411" si="43">IF($G1348=$G1347,$B1347+1,1)</f>
        <v>3</v>
      </c>
      <c r="C1348" s="63" t="s">
        <v>5196</v>
      </c>
      <c r="D1348" s="64" t="s">
        <v>5197</v>
      </c>
      <c r="E1348" s="63">
        <v>7</v>
      </c>
      <c r="F1348" s="336" t="s">
        <v>43</v>
      </c>
      <c r="G1348" s="349">
        <v>45321</v>
      </c>
      <c r="H1348" s="65" t="s">
        <v>1206</v>
      </c>
      <c r="I1348" s="349" t="s">
        <v>33</v>
      </c>
      <c r="J1348" s="336">
        <f>IFERROR(VLOOKUP(I1348,Jueces!$A$1:$B$11,2,FALSE),"")</f>
        <v>4</v>
      </c>
      <c r="K1348" s="63" t="s">
        <v>4776</v>
      </c>
      <c r="L1348" s="63" t="s">
        <v>5283</v>
      </c>
    </row>
    <row r="1349" spans="1:12" ht="30" customHeight="1">
      <c r="A1349" s="172" t="str">
        <f t="shared" si="42"/>
        <v>30/01/20244</v>
      </c>
      <c r="B1349" s="166">
        <f t="shared" si="43"/>
        <v>4</v>
      </c>
      <c r="C1349" s="63" t="s">
        <v>5275</v>
      </c>
      <c r="D1349" s="64" t="s">
        <v>5276</v>
      </c>
      <c r="E1349" s="63">
        <v>2</v>
      </c>
      <c r="F1349" s="336" t="s">
        <v>43</v>
      </c>
      <c r="G1349" s="349">
        <v>45321</v>
      </c>
      <c r="H1349" s="65" t="s">
        <v>75</v>
      </c>
      <c r="I1349" s="349" t="s">
        <v>33</v>
      </c>
      <c r="J1349" s="336">
        <f>IFERROR(VLOOKUP(I1349,Jueces!$A$1:$B$11,2,FALSE),"")</f>
        <v>4</v>
      </c>
      <c r="K1349" s="63" t="s">
        <v>4781</v>
      </c>
      <c r="L1349" s="63" t="s">
        <v>711</v>
      </c>
    </row>
    <row r="1350" spans="1:12" ht="30" customHeight="1">
      <c r="A1350" s="172" t="str">
        <f t="shared" si="42"/>
        <v>30/01/20245</v>
      </c>
      <c r="B1350" s="166">
        <f t="shared" si="43"/>
        <v>5</v>
      </c>
      <c r="C1350" s="63" t="s">
        <v>5300</v>
      </c>
      <c r="D1350" s="64" t="s">
        <v>5301</v>
      </c>
      <c r="E1350" s="63">
        <v>7</v>
      </c>
      <c r="F1350" s="336" t="s">
        <v>2766</v>
      </c>
      <c r="G1350" s="65">
        <v>45321</v>
      </c>
      <c r="H1350" s="65" t="s">
        <v>75</v>
      </c>
      <c r="I1350" s="349" t="s">
        <v>1217</v>
      </c>
      <c r="J1350" s="336">
        <f>IFERROR(VLOOKUP(I1350,Jueces!$A$1:$B$11,2,FALSE),"")</f>
        <v>7</v>
      </c>
      <c r="K1350" s="63" t="s">
        <v>791</v>
      </c>
      <c r="L1350" s="63" t="s">
        <v>783</v>
      </c>
    </row>
    <row r="1351" spans="1:12" ht="30" customHeight="1">
      <c r="A1351" s="172" t="str">
        <f t="shared" si="42"/>
        <v>30/01/20246</v>
      </c>
      <c r="B1351" s="166">
        <f t="shared" si="43"/>
        <v>6</v>
      </c>
      <c r="C1351" s="63" t="s">
        <v>5227</v>
      </c>
      <c r="D1351" s="64" t="s">
        <v>5228</v>
      </c>
      <c r="E1351" s="63">
        <v>2</v>
      </c>
      <c r="F1351" s="336" t="s">
        <v>3791</v>
      </c>
      <c r="G1351" s="349">
        <v>45321</v>
      </c>
      <c r="H1351" s="65" t="s">
        <v>547</v>
      </c>
      <c r="I1351" s="349" t="s">
        <v>33</v>
      </c>
      <c r="J1351" s="336">
        <f>IFERROR(VLOOKUP(I1351,Jueces!$A$1:$B$11,2,FALSE),"")</f>
        <v>4</v>
      </c>
      <c r="K1351" s="63" t="s">
        <v>4791</v>
      </c>
      <c r="L1351" s="63" t="s">
        <v>711</v>
      </c>
    </row>
    <row r="1352" spans="1:12" ht="30" customHeight="1">
      <c r="A1352" s="172" t="str">
        <f t="shared" si="42"/>
        <v>30/01/20247</v>
      </c>
      <c r="B1352" s="166">
        <f t="shared" si="43"/>
        <v>7</v>
      </c>
      <c r="C1352" s="63" t="s">
        <v>5277</v>
      </c>
      <c r="D1352" s="64" t="s">
        <v>5278</v>
      </c>
      <c r="E1352" s="63">
        <v>2</v>
      </c>
      <c r="F1352" s="336" t="s">
        <v>1433</v>
      </c>
      <c r="G1352" s="349">
        <v>45321</v>
      </c>
      <c r="H1352" s="65" t="s">
        <v>77</v>
      </c>
      <c r="I1352" s="349" t="s">
        <v>1216</v>
      </c>
      <c r="J1352" s="336">
        <v>1</v>
      </c>
      <c r="K1352" s="63" t="s">
        <v>4781</v>
      </c>
      <c r="L1352" s="63" t="s">
        <v>1084</v>
      </c>
    </row>
    <row r="1353" spans="1:12" ht="30" customHeight="1">
      <c r="A1353" s="172" t="str">
        <f t="shared" si="42"/>
        <v>31/01/20241</v>
      </c>
      <c r="B1353" s="166">
        <f t="shared" si="43"/>
        <v>1</v>
      </c>
      <c r="C1353" s="63" t="s">
        <v>5281</v>
      </c>
      <c r="D1353" s="64" t="s">
        <v>5282</v>
      </c>
      <c r="E1353" s="63">
        <v>6</v>
      </c>
      <c r="F1353" s="336" t="s">
        <v>3639</v>
      </c>
      <c r="G1353" s="349">
        <v>45322</v>
      </c>
      <c r="H1353" s="65" t="s">
        <v>1083</v>
      </c>
      <c r="I1353" s="349" t="s">
        <v>33</v>
      </c>
      <c r="J1353" s="336">
        <v>4</v>
      </c>
      <c r="K1353" s="63" t="s">
        <v>4777</v>
      </c>
      <c r="L1353" s="63" t="s">
        <v>711</v>
      </c>
    </row>
    <row r="1354" spans="1:12" ht="30" customHeight="1">
      <c r="A1354" s="172" t="str">
        <f t="shared" si="42"/>
        <v>31/01/20242</v>
      </c>
      <c r="B1354" s="166">
        <f t="shared" si="43"/>
        <v>2</v>
      </c>
      <c r="C1354" s="63" t="s">
        <v>4936</v>
      </c>
      <c r="D1354" s="64" t="s">
        <v>4937</v>
      </c>
      <c r="E1354" s="336">
        <v>2</v>
      </c>
      <c r="F1354" s="336" t="s">
        <v>3639</v>
      </c>
      <c r="G1354" s="349">
        <v>45322</v>
      </c>
      <c r="H1354" s="65" t="s">
        <v>76</v>
      </c>
      <c r="I1354" s="349" t="s">
        <v>33</v>
      </c>
      <c r="J1354" s="336">
        <f>IFERROR(VLOOKUP(I1354,Jueces!$A$1:$B$11,2,FALSE),"")</f>
        <v>4</v>
      </c>
      <c r="K1354" s="63" t="s">
        <v>802</v>
      </c>
      <c r="L1354" s="63" t="s">
        <v>1956</v>
      </c>
    </row>
    <row r="1355" spans="1:12" ht="30" customHeight="1">
      <c r="A1355" s="172" t="str">
        <f t="shared" si="42"/>
        <v>31/01/20243</v>
      </c>
      <c r="B1355" s="166">
        <f t="shared" si="43"/>
        <v>3</v>
      </c>
      <c r="C1355" s="63" t="s">
        <v>5027</v>
      </c>
      <c r="D1355" s="64" t="s">
        <v>5028</v>
      </c>
      <c r="E1355" s="336">
        <v>6</v>
      </c>
      <c r="F1355" s="336" t="s">
        <v>2766</v>
      </c>
      <c r="G1355" s="349">
        <v>45322</v>
      </c>
      <c r="H1355" s="65" t="s">
        <v>76</v>
      </c>
      <c r="I1355" s="349" t="s">
        <v>1217</v>
      </c>
      <c r="J1355" s="336">
        <f>IFERROR(VLOOKUP(I1355,Jueces!$A$1:$B$11,2,FALSE),"")</f>
        <v>7</v>
      </c>
      <c r="K1355" s="63" t="s">
        <v>4791</v>
      </c>
      <c r="L1355" s="356" t="s">
        <v>2043</v>
      </c>
    </row>
    <row r="1356" spans="1:12" ht="30" customHeight="1">
      <c r="A1356" s="172" t="str">
        <f t="shared" si="42"/>
        <v>31/01/20244</v>
      </c>
      <c r="B1356" s="166">
        <f t="shared" si="43"/>
        <v>4</v>
      </c>
      <c r="C1356" s="63" t="s">
        <v>5298</v>
      </c>
      <c r="D1356" s="64" t="s">
        <v>5299</v>
      </c>
      <c r="E1356" s="63">
        <v>2</v>
      </c>
      <c r="F1356" s="336" t="s">
        <v>283</v>
      </c>
      <c r="G1356" s="349">
        <v>45322</v>
      </c>
      <c r="H1356" s="65" t="s">
        <v>76</v>
      </c>
      <c r="I1356" s="349" t="s">
        <v>1216</v>
      </c>
      <c r="J1356" s="336">
        <f>IFERROR(VLOOKUP(I1356,Jueces!$A$1:$B$11,2,FALSE),"")</f>
        <v>1</v>
      </c>
      <c r="K1356" s="63" t="s">
        <v>805</v>
      </c>
      <c r="L1356" s="63" t="s">
        <v>711</v>
      </c>
    </row>
    <row r="1357" spans="1:12" ht="30" customHeight="1">
      <c r="A1357" s="172" t="str">
        <f t="shared" si="42"/>
        <v>31/01/20245</v>
      </c>
      <c r="B1357" s="166">
        <f t="shared" si="43"/>
        <v>5</v>
      </c>
      <c r="C1357" s="63" t="s">
        <v>5223</v>
      </c>
      <c r="D1357" s="64" t="s">
        <v>5224</v>
      </c>
      <c r="E1357" s="63">
        <v>2</v>
      </c>
      <c r="F1357" s="336" t="s">
        <v>3791</v>
      </c>
      <c r="G1357" s="349">
        <v>45322</v>
      </c>
      <c r="H1357" s="65" t="s">
        <v>1206</v>
      </c>
      <c r="I1357" s="349" t="s">
        <v>33</v>
      </c>
      <c r="J1357" s="336">
        <f>IFERROR(VLOOKUP(I1357,Jueces!$A$1:$B$11,2,FALSE),"")</f>
        <v>4</v>
      </c>
      <c r="K1357" s="63" t="s">
        <v>4790</v>
      </c>
      <c r="L1357" s="63" t="s">
        <v>711</v>
      </c>
    </row>
    <row r="1358" spans="1:12" ht="30" customHeight="1">
      <c r="A1358" s="172" t="str">
        <f t="shared" si="42"/>
        <v>31/01/20246</v>
      </c>
      <c r="B1358" s="166">
        <f t="shared" si="43"/>
        <v>6</v>
      </c>
      <c r="C1358" s="63" t="s">
        <v>5130</v>
      </c>
      <c r="D1358" s="64" t="s">
        <v>5131</v>
      </c>
      <c r="E1358" s="336">
        <v>7</v>
      </c>
      <c r="F1358" s="336" t="s">
        <v>43</v>
      </c>
      <c r="G1358" s="349">
        <v>45322</v>
      </c>
      <c r="H1358" s="65" t="s">
        <v>75</v>
      </c>
      <c r="I1358" s="349" t="s">
        <v>1216</v>
      </c>
      <c r="J1358" s="336">
        <f>IFERROR(VLOOKUP(I1358,Jueces!$A$1:$B$11,2,FALSE),"")</f>
        <v>1</v>
      </c>
      <c r="K1358" s="63" t="s">
        <v>791</v>
      </c>
      <c r="L1358" s="63" t="s">
        <v>885</v>
      </c>
    </row>
    <row r="1359" spans="1:12" ht="30" customHeight="1">
      <c r="A1359" s="172" t="str">
        <f t="shared" si="42"/>
        <v>31/01/20247</v>
      </c>
      <c r="B1359" s="166">
        <f t="shared" si="43"/>
        <v>7</v>
      </c>
      <c r="C1359" s="63" t="s">
        <v>5279</v>
      </c>
      <c r="D1359" s="64" t="s">
        <v>5280</v>
      </c>
      <c r="E1359" s="63">
        <v>2</v>
      </c>
      <c r="F1359" s="336" t="s">
        <v>1434</v>
      </c>
      <c r="G1359" s="349">
        <v>45322</v>
      </c>
      <c r="H1359" s="65" t="s">
        <v>75</v>
      </c>
      <c r="I1359" s="349" t="s">
        <v>33</v>
      </c>
      <c r="J1359" s="336">
        <f>IFERROR(VLOOKUP(I1359,Jueces!$A$1:$B$11,2,FALSE),"")</f>
        <v>4</v>
      </c>
      <c r="K1359" s="63" t="s">
        <v>4791</v>
      </c>
      <c r="L1359" s="63" t="s">
        <v>711</v>
      </c>
    </row>
    <row r="1360" spans="1:12" ht="30" customHeight="1">
      <c r="A1360" s="172" t="str">
        <f t="shared" si="42"/>
        <v>31/01/20248</v>
      </c>
      <c r="B1360" s="166">
        <f t="shared" si="43"/>
        <v>8</v>
      </c>
      <c r="C1360" s="63" t="s">
        <v>5304</v>
      </c>
      <c r="D1360" s="64" t="s">
        <v>5305</v>
      </c>
      <c r="E1360" s="63">
        <v>2</v>
      </c>
      <c r="F1360" s="336" t="s">
        <v>5009</v>
      </c>
      <c r="G1360" s="349">
        <v>45322</v>
      </c>
      <c r="H1360" s="65" t="s">
        <v>75</v>
      </c>
      <c r="I1360" s="349" t="s">
        <v>1217</v>
      </c>
      <c r="J1360" s="336">
        <f>IFERROR(VLOOKUP(I1360,Jueces!$A$1:$B$11,2,FALSE),"")</f>
        <v>7</v>
      </c>
      <c r="K1360" s="63" t="s">
        <v>806</v>
      </c>
      <c r="L1360" s="63" t="s">
        <v>1084</v>
      </c>
    </row>
    <row r="1361" spans="1:12" ht="30" customHeight="1">
      <c r="A1361" s="172" t="str">
        <f t="shared" si="42"/>
        <v>31/01/20249</v>
      </c>
      <c r="B1361" s="166">
        <f t="shared" si="43"/>
        <v>9</v>
      </c>
      <c r="C1361" s="63" t="s">
        <v>5302</v>
      </c>
      <c r="D1361" s="64" t="s">
        <v>5303</v>
      </c>
      <c r="E1361" s="63">
        <v>2</v>
      </c>
      <c r="F1361" s="336" t="s">
        <v>3791</v>
      </c>
      <c r="G1361" s="349">
        <v>45322</v>
      </c>
      <c r="H1361" s="65" t="s">
        <v>77</v>
      </c>
      <c r="I1361" s="349" t="s">
        <v>33</v>
      </c>
      <c r="J1361" s="336">
        <f>IFERROR(VLOOKUP(I1361,Jueces!$A$1:$B$11,2,FALSE),"")</f>
        <v>4</v>
      </c>
      <c r="K1361" s="63" t="s">
        <v>4778</v>
      </c>
      <c r="L1361" s="63" t="s">
        <v>711</v>
      </c>
    </row>
    <row r="1362" spans="1:12" ht="30" customHeight="1">
      <c r="A1362" s="172" t="str">
        <f t="shared" si="42"/>
        <v>31/01/202410</v>
      </c>
      <c r="B1362" s="166">
        <f t="shared" si="43"/>
        <v>10</v>
      </c>
      <c r="C1362" s="63" t="s">
        <v>5291</v>
      </c>
      <c r="D1362" s="64" t="s">
        <v>5292</v>
      </c>
      <c r="E1362" s="63">
        <v>2</v>
      </c>
      <c r="F1362" s="336" t="s">
        <v>4934</v>
      </c>
      <c r="G1362" s="349">
        <v>45322</v>
      </c>
      <c r="H1362" s="65" t="s">
        <v>228</v>
      </c>
      <c r="I1362" s="349" t="s">
        <v>1217</v>
      </c>
      <c r="J1362" s="336">
        <f>IFERROR(VLOOKUP(I1362,Jueces!$A$1:$B$11,2,FALSE),"")</f>
        <v>7</v>
      </c>
      <c r="K1362" s="63" t="s">
        <v>806</v>
      </c>
      <c r="L1362" s="63" t="s">
        <v>711</v>
      </c>
    </row>
    <row r="1363" spans="1:12" ht="30" customHeight="1">
      <c r="A1363" s="172" t="str">
        <f t="shared" si="42"/>
        <v>01/02/20241</v>
      </c>
      <c r="B1363" s="166">
        <f t="shared" si="43"/>
        <v>1</v>
      </c>
      <c r="C1363" s="78" t="s">
        <v>5216</v>
      </c>
      <c r="D1363" s="79" t="s">
        <v>5217</v>
      </c>
      <c r="E1363" s="78">
        <v>2</v>
      </c>
      <c r="F1363" s="75" t="s">
        <v>1433</v>
      </c>
      <c r="G1363" s="77">
        <v>45323</v>
      </c>
      <c r="H1363" s="80" t="s">
        <v>73</v>
      </c>
      <c r="I1363" s="77" t="s">
        <v>31</v>
      </c>
      <c r="J1363" s="75">
        <f>IFERROR(VLOOKUP(I1363,Jueces!$A$1:$B$11,2,FALSE),"")</f>
        <v>2</v>
      </c>
      <c r="K1363" s="78" t="s">
        <v>802</v>
      </c>
      <c r="L1363" s="78" t="s">
        <v>1344</v>
      </c>
    </row>
    <row r="1364" spans="1:12" ht="30" customHeight="1">
      <c r="A1364" s="172" t="str">
        <f t="shared" si="42"/>
        <v>01/02/20242</v>
      </c>
      <c r="B1364" s="166">
        <f t="shared" si="43"/>
        <v>2</v>
      </c>
      <c r="C1364" s="63" t="s">
        <v>5373</v>
      </c>
      <c r="D1364" s="64" t="s">
        <v>5374</v>
      </c>
      <c r="E1364" s="63">
        <v>7</v>
      </c>
      <c r="F1364" s="336" t="s">
        <v>29</v>
      </c>
      <c r="G1364" s="349">
        <v>45323</v>
      </c>
      <c r="H1364" s="65" t="s">
        <v>73</v>
      </c>
      <c r="I1364" s="349" t="s">
        <v>35</v>
      </c>
      <c r="J1364" s="63">
        <v>3</v>
      </c>
      <c r="K1364" s="63" t="s">
        <v>806</v>
      </c>
      <c r="L1364" s="63" t="s">
        <v>885</v>
      </c>
    </row>
    <row r="1365" spans="1:12" ht="30" customHeight="1">
      <c r="A1365" s="172" t="str">
        <f t="shared" si="42"/>
        <v>01/02/20243</v>
      </c>
      <c r="B1365" s="166">
        <f t="shared" si="43"/>
        <v>3</v>
      </c>
      <c r="C1365" s="63" t="s">
        <v>5426</v>
      </c>
      <c r="D1365" s="64" t="s">
        <v>5427</v>
      </c>
      <c r="E1365" s="63">
        <v>2</v>
      </c>
      <c r="F1365" s="336" t="s">
        <v>3791</v>
      </c>
      <c r="G1365" s="349">
        <v>45323</v>
      </c>
      <c r="H1365" s="65" t="s">
        <v>73</v>
      </c>
      <c r="I1365" s="349" t="s">
        <v>4931</v>
      </c>
      <c r="J1365" s="63" t="s">
        <v>2324</v>
      </c>
      <c r="K1365" s="63" t="s">
        <v>789</v>
      </c>
      <c r="L1365" s="63" t="s">
        <v>1084</v>
      </c>
    </row>
    <row r="1366" spans="1:12" ht="30" customHeight="1">
      <c r="A1366" s="172" t="str">
        <f t="shared" si="42"/>
        <v>01/02/20244</v>
      </c>
      <c r="B1366" s="166">
        <f t="shared" si="43"/>
        <v>4</v>
      </c>
      <c r="C1366" s="78" t="s">
        <v>1268</v>
      </c>
      <c r="D1366" s="79" t="s">
        <v>5188</v>
      </c>
      <c r="E1366" s="78">
        <v>2</v>
      </c>
      <c r="F1366" s="75" t="s">
        <v>2815</v>
      </c>
      <c r="G1366" s="77">
        <v>45323</v>
      </c>
      <c r="H1366" s="80" t="s">
        <v>1083</v>
      </c>
      <c r="I1366" s="77" t="s">
        <v>31</v>
      </c>
      <c r="J1366" s="75">
        <f>IFERROR(VLOOKUP(I1366,Jueces!$A$1:$B$11,2,FALSE),"")</f>
        <v>2</v>
      </c>
      <c r="K1366" s="78" t="s">
        <v>4784</v>
      </c>
      <c r="L1366" s="78" t="s">
        <v>1280</v>
      </c>
    </row>
    <row r="1367" spans="1:12" ht="30" customHeight="1">
      <c r="A1367" s="172" t="str">
        <f t="shared" si="42"/>
        <v>01/02/20245</v>
      </c>
      <c r="B1367" s="166">
        <f t="shared" si="43"/>
        <v>5</v>
      </c>
      <c r="C1367" s="63" t="s">
        <v>5363</v>
      </c>
      <c r="D1367" s="64" t="s">
        <v>5632</v>
      </c>
      <c r="E1367" s="336">
        <v>1</v>
      </c>
      <c r="F1367" s="336" t="s">
        <v>568</v>
      </c>
      <c r="G1367" s="349">
        <v>45323</v>
      </c>
      <c r="H1367" s="65" t="s">
        <v>1083</v>
      </c>
      <c r="I1367" s="349" t="s">
        <v>4746</v>
      </c>
      <c r="J1367" s="63" t="s">
        <v>1916</v>
      </c>
      <c r="K1367" s="63" t="s">
        <v>4780</v>
      </c>
      <c r="L1367" s="63" t="s">
        <v>1084</v>
      </c>
    </row>
    <row r="1368" spans="1:12" ht="30" customHeight="1">
      <c r="A1368" s="172" t="str">
        <f t="shared" si="42"/>
        <v>01/02/20246</v>
      </c>
      <c r="B1368" s="166">
        <f t="shared" si="43"/>
        <v>6</v>
      </c>
      <c r="C1368" s="63" t="s">
        <v>5389</v>
      </c>
      <c r="D1368" s="64" t="s">
        <v>5390</v>
      </c>
      <c r="E1368" s="336">
        <v>3</v>
      </c>
      <c r="F1368" s="336" t="s">
        <v>1435</v>
      </c>
      <c r="G1368" s="349">
        <v>45323</v>
      </c>
      <c r="H1368" s="65" t="s">
        <v>1083</v>
      </c>
      <c r="I1368" s="349" t="s">
        <v>1216</v>
      </c>
      <c r="J1368" s="336">
        <f>IFERROR(VLOOKUP(I1368,Jueces!$A$1:$B$11,2,FALSE),"")</f>
        <v>1</v>
      </c>
      <c r="K1368" s="63" t="s">
        <v>4790</v>
      </c>
      <c r="L1368" s="63" t="s">
        <v>712</v>
      </c>
    </row>
    <row r="1369" spans="1:12" ht="30" customHeight="1">
      <c r="A1369" s="172" t="str">
        <f t="shared" si="42"/>
        <v>01/02/20247</v>
      </c>
      <c r="B1369" s="166">
        <f t="shared" si="43"/>
        <v>7</v>
      </c>
      <c r="C1369" s="336" t="s">
        <v>5225</v>
      </c>
      <c r="D1369" s="355" t="s">
        <v>5226</v>
      </c>
      <c r="E1369" s="336">
        <v>1</v>
      </c>
      <c r="F1369" s="63" t="s">
        <v>2766</v>
      </c>
      <c r="G1369" s="383">
        <v>45323</v>
      </c>
      <c r="H1369" s="65" t="s">
        <v>1083</v>
      </c>
      <c r="I1369" s="349" t="s">
        <v>1217</v>
      </c>
      <c r="J1369" s="336">
        <f>IFERROR(VLOOKUP(I1369,Jueces!$A$1:$B$11,2,FALSE),"")</f>
        <v>7</v>
      </c>
      <c r="K1369" s="63" t="s">
        <v>4782</v>
      </c>
      <c r="L1369" s="63" t="s">
        <v>725</v>
      </c>
    </row>
    <row r="1370" spans="1:12" ht="30" customHeight="1">
      <c r="A1370" s="172" t="str">
        <f t="shared" si="42"/>
        <v>01/02/20248</v>
      </c>
      <c r="B1370" s="166">
        <f t="shared" si="43"/>
        <v>8</v>
      </c>
      <c r="C1370" s="78" t="s">
        <v>5433</v>
      </c>
      <c r="D1370" s="79" t="s">
        <v>5434</v>
      </c>
      <c r="E1370" s="78">
        <v>8</v>
      </c>
      <c r="F1370" s="75" t="s">
        <v>3324</v>
      </c>
      <c r="G1370" s="77">
        <v>45323</v>
      </c>
      <c r="H1370" s="80" t="s">
        <v>1206</v>
      </c>
      <c r="I1370" s="77" t="s">
        <v>35</v>
      </c>
      <c r="J1370" s="75">
        <f>IFERROR(VLOOKUP(I1370,Jueces!$A$1:$B$11,2,FALSE),"")</f>
        <v>3</v>
      </c>
      <c r="K1370" s="78" t="s">
        <v>4777</v>
      </c>
      <c r="L1370" s="78" t="s">
        <v>1084</v>
      </c>
    </row>
    <row r="1371" spans="1:12" ht="30" customHeight="1">
      <c r="A1371" s="172" t="str">
        <f t="shared" si="42"/>
        <v>01/02/20249</v>
      </c>
      <c r="B1371" s="166">
        <f t="shared" si="43"/>
        <v>9</v>
      </c>
      <c r="C1371" s="325" t="s">
        <v>3039</v>
      </c>
      <c r="D1371" s="79" t="s">
        <v>5673</v>
      </c>
      <c r="E1371" s="78">
        <v>1</v>
      </c>
      <c r="F1371" s="75" t="s">
        <v>1434</v>
      </c>
      <c r="G1371" s="77">
        <v>45323</v>
      </c>
      <c r="H1371" s="80" t="s">
        <v>547</v>
      </c>
      <c r="I1371" s="77" t="s">
        <v>35</v>
      </c>
      <c r="J1371" s="75">
        <v>3</v>
      </c>
      <c r="K1371" s="78" t="s">
        <v>4791</v>
      </c>
      <c r="L1371" s="78" t="s">
        <v>711</v>
      </c>
    </row>
    <row r="1372" spans="1:12" ht="30" customHeight="1">
      <c r="A1372" s="172" t="str">
        <f t="shared" si="42"/>
        <v>02/02/20241</v>
      </c>
      <c r="B1372" s="166">
        <f t="shared" si="43"/>
        <v>1</v>
      </c>
      <c r="C1372" s="78" t="s">
        <v>5294</v>
      </c>
      <c r="D1372" s="79" t="s">
        <v>5295</v>
      </c>
      <c r="E1372" s="78">
        <v>1</v>
      </c>
      <c r="F1372" s="75" t="s">
        <v>2815</v>
      </c>
      <c r="G1372" s="80">
        <v>45324</v>
      </c>
      <c r="H1372" s="80" t="s">
        <v>73</v>
      </c>
      <c r="I1372" s="77" t="s">
        <v>35</v>
      </c>
      <c r="J1372" s="75">
        <f>IFERROR(VLOOKUP(I1372,Jueces!$A$1:$B$11,2,FALSE),"")</f>
        <v>3</v>
      </c>
      <c r="K1372" s="78" t="s">
        <v>4777</v>
      </c>
      <c r="L1372" s="78" t="s">
        <v>700</v>
      </c>
    </row>
    <row r="1373" spans="1:12" ht="30" customHeight="1">
      <c r="A1373" s="172" t="str">
        <f t="shared" si="42"/>
        <v>02/02/20242</v>
      </c>
      <c r="B1373" s="166">
        <f t="shared" si="43"/>
        <v>2</v>
      </c>
      <c r="C1373" s="78" t="s">
        <v>5408</v>
      </c>
      <c r="D1373" s="79" t="s">
        <v>5409</v>
      </c>
      <c r="E1373" s="75">
        <v>2</v>
      </c>
      <c r="F1373" s="75" t="s">
        <v>3324</v>
      </c>
      <c r="G1373" s="77">
        <v>45324</v>
      </c>
      <c r="H1373" s="80" t="s">
        <v>73</v>
      </c>
      <c r="I1373" s="77" t="s">
        <v>31</v>
      </c>
      <c r="J1373" s="75">
        <f>IFERROR(VLOOKUP(I1373,Jueces!$A$1:$B$11,2,FALSE),"")</f>
        <v>2</v>
      </c>
      <c r="K1373" s="78" t="s">
        <v>4778</v>
      </c>
      <c r="L1373" s="78" t="s">
        <v>711</v>
      </c>
    </row>
    <row r="1374" spans="1:12" ht="30" customHeight="1">
      <c r="A1374" s="172" t="str">
        <f t="shared" si="42"/>
        <v>02/02/20243</v>
      </c>
      <c r="B1374" s="166">
        <f t="shared" si="43"/>
        <v>3</v>
      </c>
      <c r="C1374" s="75" t="s">
        <v>4943</v>
      </c>
      <c r="D1374" s="347" t="s">
        <v>4944</v>
      </c>
      <c r="E1374" s="75">
        <v>7</v>
      </c>
      <c r="F1374" s="78" t="s">
        <v>4934</v>
      </c>
      <c r="G1374" s="424">
        <v>45324</v>
      </c>
      <c r="H1374" s="80" t="s">
        <v>73</v>
      </c>
      <c r="I1374" s="77" t="s">
        <v>1217</v>
      </c>
      <c r="J1374" s="75">
        <v>7</v>
      </c>
      <c r="K1374" s="78" t="s">
        <v>4791</v>
      </c>
      <c r="L1374" s="78" t="s">
        <v>314</v>
      </c>
    </row>
    <row r="1375" spans="1:12" ht="30" customHeight="1">
      <c r="A1375" s="172" t="str">
        <f t="shared" si="42"/>
        <v>02/02/20244</v>
      </c>
      <c r="B1375" s="166">
        <f t="shared" si="43"/>
        <v>4</v>
      </c>
      <c r="C1375" s="78" t="s">
        <v>5430</v>
      </c>
      <c r="D1375" s="79" t="s">
        <v>5431</v>
      </c>
      <c r="E1375" s="78">
        <v>8</v>
      </c>
      <c r="F1375" s="75" t="s">
        <v>568</v>
      </c>
      <c r="G1375" s="77">
        <v>45324</v>
      </c>
      <c r="H1375" s="80" t="s">
        <v>73</v>
      </c>
      <c r="I1375" s="77" t="s">
        <v>4746</v>
      </c>
      <c r="J1375" s="78" t="s">
        <v>1916</v>
      </c>
      <c r="K1375" s="78" t="s">
        <v>805</v>
      </c>
      <c r="L1375" s="78" t="s">
        <v>1084</v>
      </c>
    </row>
    <row r="1376" spans="1:12" ht="30" customHeight="1">
      <c r="A1376" s="172" t="str">
        <f t="shared" si="42"/>
        <v>02/02/20245</v>
      </c>
      <c r="B1376" s="166">
        <f t="shared" si="43"/>
        <v>5</v>
      </c>
      <c r="C1376" s="78" t="s">
        <v>5365</v>
      </c>
      <c r="D1376" s="79" t="s">
        <v>5366</v>
      </c>
      <c r="E1376" s="78">
        <v>5</v>
      </c>
      <c r="F1376" s="75" t="s">
        <v>3323</v>
      </c>
      <c r="G1376" s="77">
        <v>45324</v>
      </c>
      <c r="H1376" s="80" t="s">
        <v>1083</v>
      </c>
      <c r="I1376" s="77" t="s">
        <v>1221</v>
      </c>
      <c r="J1376" s="75">
        <f>IFERROR(VLOOKUP(I1376,Jueces!$A$1:$B$11,2,FALSE),"")</f>
        <v>6</v>
      </c>
      <c r="K1376" s="78" t="s">
        <v>4779</v>
      </c>
      <c r="L1376" s="78" t="s">
        <v>2085</v>
      </c>
    </row>
    <row r="1377" spans="1:12" ht="30" customHeight="1">
      <c r="A1377" s="172" t="str">
        <f t="shared" si="42"/>
        <v>02/02/20246</v>
      </c>
      <c r="B1377" s="166">
        <f t="shared" si="43"/>
        <v>6</v>
      </c>
      <c r="C1377" s="78" t="s">
        <v>5445</v>
      </c>
      <c r="D1377" s="79" t="s">
        <v>5446</v>
      </c>
      <c r="E1377" s="75">
        <v>3</v>
      </c>
      <c r="F1377" s="75" t="s">
        <v>1435</v>
      </c>
      <c r="G1377" s="77">
        <v>45324</v>
      </c>
      <c r="H1377" s="80" t="s">
        <v>1083</v>
      </c>
      <c r="I1377" s="77" t="s">
        <v>35</v>
      </c>
      <c r="J1377" s="75">
        <f>IFERROR(VLOOKUP(I1377,Jueces!$A$1:$B$11,2,FALSE),"")</f>
        <v>3</v>
      </c>
      <c r="K1377" s="78" t="s">
        <v>4791</v>
      </c>
      <c r="L1377" s="78" t="s">
        <v>712</v>
      </c>
    </row>
    <row r="1378" spans="1:12" ht="30" customHeight="1">
      <c r="A1378" s="172" t="str">
        <f t="shared" si="42"/>
        <v>02/02/20247</v>
      </c>
      <c r="B1378" s="166">
        <f t="shared" si="43"/>
        <v>7</v>
      </c>
      <c r="C1378" s="78" t="s">
        <v>5452</v>
      </c>
      <c r="D1378" s="79" t="s">
        <v>5701</v>
      </c>
      <c r="E1378" s="78">
        <v>2</v>
      </c>
      <c r="F1378" s="75" t="s">
        <v>283</v>
      </c>
      <c r="G1378" s="80">
        <v>45324</v>
      </c>
      <c r="H1378" s="80" t="s">
        <v>1083</v>
      </c>
      <c r="I1378" s="77" t="s">
        <v>4746</v>
      </c>
      <c r="J1378" s="78" t="s">
        <v>1916</v>
      </c>
      <c r="K1378" s="78" t="s">
        <v>789</v>
      </c>
      <c r="L1378" s="78" t="s">
        <v>711</v>
      </c>
    </row>
    <row r="1379" spans="1:12" ht="30" customHeight="1">
      <c r="A1379" s="172" t="str">
        <f t="shared" si="42"/>
        <v>02/02/20248</v>
      </c>
      <c r="B1379" s="166">
        <f t="shared" si="43"/>
        <v>8</v>
      </c>
      <c r="C1379" s="78" t="s">
        <v>5453</v>
      </c>
      <c r="D1379" s="79" t="s">
        <v>5454</v>
      </c>
      <c r="E1379" s="78">
        <v>2</v>
      </c>
      <c r="F1379" s="75" t="s">
        <v>2766</v>
      </c>
      <c r="G1379" s="77">
        <v>45324</v>
      </c>
      <c r="H1379" s="80" t="s">
        <v>1083</v>
      </c>
      <c r="I1379" s="77" t="s">
        <v>1217</v>
      </c>
      <c r="J1379" s="75">
        <v>7</v>
      </c>
      <c r="K1379" s="78" t="s">
        <v>4780</v>
      </c>
      <c r="L1379" s="78" t="s">
        <v>1084</v>
      </c>
    </row>
    <row r="1380" spans="1:12" ht="30" customHeight="1">
      <c r="A1380" s="172" t="str">
        <f t="shared" si="42"/>
        <v>02/02/20249</v>
      </c>
      <c r="B1380" s="166">
        <f t="shared" si="43"/>
        <v>9</v>
      </c>
      <c r="C1380" s="75" t="s">
        <v>5410</v>
      </c>
      <c r="D1380" s="347" t="s">
        <v>5411</v>
      </c>
      <c r="E1380" s="75">
        <v>3</v>
      </c>
      <c r="F1380" s="75" t="s">
        <v>1434</v>
      </c>
      <c r="G1380" s="77">
        <v>45324</v>
      </c>
      <c r="H1380" s="80" t="s">
        <v>1206</v>
      </c>
      <c r="I1380" s="77" t="s">
        <v>31</v>
      </c>
      <c r="J1380" s="75">
        <f>IFERROR(VLOOKUP(I1380,Jueces!$A$1:$B$11,2,FALSE),"")</f>
        <v>2</v>
      </c>
      <c r="K1380" s="78" t="s">
        <v>4789</v>
      </c>
      <c r="L1380" s="78" t="s">
        <v>712</v>
      </c>
    </row>
    <row r="1381" spans="1:12" ht="30" customHeight="1">
      <c r="A1381" s="172" t="str">
        <f t="shared" si="42"/>
        <v>02/02/202410</v>
      </c>
      <c r="B1381" s="166">
        <f t="shared" si="43"/>
        <v>10</v>
      </c>
      <c r="C1381" s="78" t="s">
        <v>5441</v>
      </c>
      <c r="D1381" s="79" t="s">
        <v>5442</v>
      </c>
      <c r="E1381" s="75">
        <v>3</v>
      </c>
      <c r="F1381" s="75" t="s">
        <v>1433</v>
      </c>
      <c r="G1381" s="77">
        <v>45324</v>
      </c>
      <c r="H1381" s="80" t="s">
        <v>3171</v>
      </c>
      <c r="I1381" s="77" t="s">
        <v>1216</v>
      </c>
      <c r="J1381" s="75">
        <f>IFERROR(VLOOKUP(I1381,Jueces!$A$1:$B$11,2,FALSE),"")</f>
        <v>1</v>
      </c>
      <c r="K1381" s="78" t="s">
        <v>4791</v>
      </c>
      <c r="L1381" s="78" t="s">
        <v>712</v>
      </c>
    </row>
    <row r="1382" spans="1:12" ht="30" customHeight="1">
      <c r="A1382" s="172" t="str">
        <f t="shared" si="42"/>
        <v>02/02/202411</v>
      </c>
      <c r="B1382" s="166">
        <f t="shared" si="43"/>
        <v>11</v>
      </c>
      <c r="C1382" s="78" t="s">
        <v>5449</v>
      </c>
      <c r="D1382" s="79" t="s">
        <v>5450</v>
      </c>
      <c r="E1382" s="78">
        <v>2</v>
      </c>
      <c r="F1382" s="75" t="s">
        <v>3791</v>
      </c>
      <c r="G1382" s="77">
        <v>45324</v>
      </c>
      <c r="H1382" s="80" t="s">
        <v>77</v>
      </c>
      <c r="I1382" s="77" t="s">
        <v>1216</v>
      </c>
      <c r="J1382" s="75">
        <f>IFERROR(VLOOKUP(I1382,Jueces!$A$1:$B$11,2,FALSE),"")</f>
        <v>1</v>
      </c>
      <c r="K1382" s="78" t="s">
        <v>4781</v>
      </c>
      <c r="L1382" s="78" t="s">
        <v>712</v>
      </c>
    </row>
    <row r="1383" spans="1:12" ht="30" customHeight="1">
      <c r="A1383" s="172" t="str">
        <f t="shared" si="42"/>
        <v>05/02/20241</v>
      </c>
      <c r="B1383" s="166">
        <f t="shared" si="43"/>
        <v>1</v>
      </c>
      <c r="C1383" s="78" t="s">
        <v>5428</v>
      </c>
      <c r="D1383" s="79" t="s">
        <v>5429</v>
      </c>
      <c r="E1383" s="78">
        <v>7</v>
      </c>
      <c r="F1383" s="75" t="s">
        <v>3324</v>
      </c>
      <c r="G1383" s="77">
        <v>45327</v>
      </c>
      <c r="H1383" s="80" t="s">
        <v>73</v>
      </c>
      <c r="I1383" s="77" t="s">
        <v>4931</v>
      </c>
      <c r="J1383" s="78" t="s">
        <v>1916</v>
      </c>
      <c r="K1383" s="78" t="s">
        <v>805</v>
      </c>
      <c r="L1383" s="78" t="s">
        <v>1084</v>
      </c>
    </row>
    <row r="1384" spans="1:12" ht="30" customHeight="1">
      <c r="A1384" s="172" t="str">
        <f t="shared" si="42"/>
        <v>05/02/20242</v>
      </c>
      <c r="B1384" s="166">
        <f t="shared" si="43"/>
        <v>2</v>
      </c>
      <c r="C1384" s="78" t="s">
        <v>5443</v>
      </c>
      <c r="D1384" s="79" t="s">
        <v>5444</v>
      </c>
      <c r="E1384" s="75">
        <v>3</v>
      </c>
      <c r="F1384" s="75" t="s">
        <v>1433</v>
      </c>
      <c r="G1384" s="77">
        <v>45327</v>
      </c>
      <c r="H1384" s="80" t="s">
        <v>73</v>
      </c>
      <c r="I1384" s="77" t="s">
        <v>35</v>
      </c>
      <c r="J1384" s="75">
        <f>IFERROR(VLOOKUP(I1384,Jueces!$A$1:$B$11,2,FALSE),"")</f>
        <v>3</v>
      </c>
      <c r="K1384" s="78" t="s">
        <v>791</v>
      </c>
      <c r="L1384" s="78" t="s">
        <v>711</v>
      </c>
    </row>
    <row r="1385" spans="1:12" ht="30" customHeight="1">
      <c r="A1385" s="172" t="str">
        <f t="shared" si="42"/>
        <v>05/02/20243</v>
      </c>
      <c r="B1385" s="166">
        <f t="shared" si="43"/>
        <v>3</v>
      </c>
      <c r="C1385" s="78" t="s">
        <v>5500</v>
      </c>
      <c r="D1385" s="79" t="s">
        <v>5501</v>
      </c>
      <c r="E1385" s="75">
        <v>8</v>
      </c>
      <c r="F1385" s="75" t="s">
        <v>3323</v>
      </c>
      <c r="G1385" s="77">
        <v>45327</v>
      </c>
      <c r="H1385" s="80" t="s">
        <v>73</v>
      </c>
      <c r="I1385" s="77" t="s">
        <v>1217</v>
      </c>
      <c r="J1385" s="75">
        <f>IFERROR(VLOOKUP(I1385,Jueces!$A$1:$B$11,2,FALSE),"")</f>
        <v>7</v>
      </c>
      <c r="K1385" s="78" t="s">
        <v>4789</v>
      </c>
      <c r="L1385" s="78" t="s">
        <v>711</v>
      </c>
    </row>
    <row r="1386" spans="1:12" ht="30" customHeight="1">
      <c r="A1386" s="172" t="str">
        <f t="shared" si="42"/>
        <v>05/02/20244</v>
      </c>
      <c r="B1386" s="166">
        <f t="shared" si="43"/>
        <v>4</v>
      </c>
      <c r="C1386" s="78" t="s">
        <v>5503</v>
      </c>
      <c r="D1386" s="79" t="s">
        <v>5504</v>
      </c>
      <c r="E1386" s="75">
        <v>2</v>
      </c>
      <c r="F1386" s="75" t="s">
        <v>29</v>
      </c>
      <c r="G1386" s="77">
        <v>45327</v>
      </c>
      <c r="H1386" s="80" t="s">
        <v>73</v>
      </c>
      <c r="I1386" s="77" t="s">
        <v>4932</v>
      </c>
      <c r="J1386" s="78" t="s">
        <v>1916</v>
      </c>
      <c r="K1386" s="78" t="s">
        <v>2077</v>
      </c>
      <c r="L1386" s="78" t="s">
        <v>3695</v>
      </c>
    </row>
    <row r="1387" spans="1:12" ht="30" customHeight="1">
      <c r="A1387" s="172" t="str">
        <f t="shared" si="42"/>
        <v>05/02/20245</v>
      </c>
      <c r="B1387" s="166">
        <f t="shared" si="43"/>
        <v>5</v>
      </c>
      <c r="C1387" s="78" t="s">
        <v>5307</v>
      </c>
      <c r="D1387" s="79" t="s">
        <v>5308</v>
      </c>
      <c r="E1387" s="78">
        <v>1</v>
      </c>
      <c r="F1387" s="75" t="s">
        <v>1435</v>
      </c>
      <c r="G1387" s="77">
        <v>45327</v>
      </c>
      <c r="H1387" s="80" t="s">
        <v>1083</v>
      </c>
      <c r="I1387" s="77" t="s">
        <v>31</v>
      </c>
      <c r="J1387" s="75">
        <f>IFERROR(VLOOKUP(I1387,Jueces!$A$1:$B$11,2,FALSE),"")</f>
        <v>2</v>
      </c>
      <c r="K1387" s="78" t="s">
        <v>4789</v>
      </c>
      <c r="L1387" s="78" t="s">
        <v>1084</v>
      </c>
    </row>
    <row r="1388" spans="1:12" ht="30" customHeight="1">
      <c r="A1388" s="172" t="str">
        <f t="shared" si="42"/>
        <v>05/02/20246</v>
      </c>
      <c r="B1388" s="166">
        <f t="shared" si="43"/>
        <v>6</v>
      </c>
      <c r="C1388" s="78" t="s">
        <v>5350</v>
      </c>
      <c r="D1388" s="79" t="s">
        <v>5351</v>
      </c>
      <c r="E1388" s="75">
        <v>7</v>
      </c>
      <c r="F1388" s="75" t="s">
        <v>2766</v>
      </c>
      <c r="G1388" s="77">
        <v>45327</v>
      </c>
      <c r="H1388" s="80" t="s">
        <v>1083</v>
      </c>
      <c r="I1388" s="77" t="s">
        <v>1221</v>
      </c>
      <c r="J1388" s="75">
        <f>IFERROR(VLOOKUP(I1388,Jueces!$A$1:$B$11,2,FALSE),"")</f>
        <v>6</v>
      </c>
      <c r="K1388" s="78" t="s">
        <v>4790</v>
      </c>
      <c r="L1388" s="78" t="s">
        <v>885</v>
      </c>
    </row>
    <row r="1389" spans="1:12" ht="30" customHeight="1">
      <c r="A1389" s="172" t="str">
        <f t="shared" si="42"/>
        <v>05/02/20247</v>
      </c>
      <c r="B1389" s="166">
        <f t="shared" si="43"/>
        <v>7</v>
      </c>
      <c r="C1389" s="78" t="s">
        <v>5498</v>
      </c>
      <c r="D1389" s="79" t="s">
        <v>5499</v>
      </c>
      <c r="E1389" s="75">
        <v>3</v>
      </c>
      <c r="F1389" s="75" t="s">
        <v>568</v>
      </c>
      <c r="G1389" s="80">
        <v>45327</v>
      </c>
      <c r="H1389" s="80" t="s">
        <v>1083</v>
      </c>
      <c r="I1389" s="77" t="s">
        <v>78</v>
      </c>
      <c r="J1389" s="75">
        <f>IFERROR(VLOOKUP(I1389,Jueces!$A$1:$B$11,2,FALSE),"")</f>
        <v>8</v>
      </c>
      <c r="K1389" s="78" t="s">
        <v>4781</v>
      </c>
      <c r="L1389" s="78" t="s">
        <v>712</v>
      </c>
    </row>
    <row r="1390" spans="1:12" ht="30" customHeight="1">
      <c r="A1390" s="172" t="str">
        <f t="shared" si="42"/>
        <v>05/02/20248</v>
      </c>
      <c r="B1390" s="166">
        <f t="shared" si="43"/>
        <v>8</v>
      </c>
      <c r="C1390" s="75" t="s">
        <v>5553</v>
      </c>
      <c r="D1390" s="347" t="s">
        <v>5554</v>
      </c>
      <c r="E1390" s="75">
        <v>3</v>
      </c>
      <c r="F1390" s="75" t="s">
        <v>2815</v>
      </c>
      <c r="G1390" s="77">
        <v>45327</v>
      </c>
      <c r="H1390" s="80" t="s">
        <v>1083</v>
      </c>
      <c r="I1390" s="77" t="s">
        <v>1216</v>
      </c>
      <c r="J1390" s="75">
        <f>IFERROR(VLOOKUP(I1390,Jueces!$A$1:$B$11,2,FALSE),"")</f>
        <v>1</v>
      </c>
      <c r="K1390" s="78" t="s">
        <v>4785</v>
      </c>
      <c r="L1390" s="78" t="s">
        <v>1994</v>
      </c>
    </row>
    <row r="1391" spans="1:12" ht="30" customHeight="1">
      <c r="A1391" s="172" t="str">
        <f t="shared" si="42"/>
        <v>05/02/20249</v>
      </c>
      <c r="B1391" s="166">
        <f t="shared" si="43"/>
        <v>9</v>
      </c>
      <c r="C1391" s="75" t="s">
        <v>5169</v>
      </c>
      <c r="D1391" s="347" t="s">
        <v>4551</v>
      </c>
      <c r="E1391" s="75">
        <v>5</v>
      </c>
      <c r="F1391" s="75" t="s">
        <v>3791</v>
      </c>
      <c r="G1391" s="425">
        <v>45327</v>
      </c>
      <c r="H1391" s="80" t="s">
        <v>1083</v>
      </c>
      <c r="I1391" s="77" t="s">
        <v>35</v>
      </c>
      <c r="J1391" s="75">
        <f>IFERROR(VLOOKUP(I1391,Jueces!$A$1:$B$11,2,FALSE),"")</f>
        <v>3</v>
      </c>
      <c r="K1391" s="78" t="s">
        <v>508</v>
      </c>
      <c r="L1391" s="78" t="s">
        <v>1426</v>
      </c>
    </row>
    <row r="1392" spans="1:12" ht="30" customHeight="1">
      <c r="A1392" s="172" t="str">
        <f t="shared" si="42"/>
        <v>05/02/202410</v>
      </c>
      <c r="B1392" s="166">
        <f t="shared" si="43"/>
        <v>10</v>
      </c>
      <c r="C1392" s="75" t="s">
        <v>5389</v>
      </c>
      <c r="D1392" s="347" t="s">
        <v>5390</v>
      </c>
      <c r="E1392" s="75">
        <v>3</v>
      </c>
      <c r="F1392" s="78" t="s">
        <v>5709</v>
      </c>
      <c r="G1392" s="424">
        <v>45327</v>
      </c>
      <c r="H1392" s="80" t="s">
        <v>1206</v>
      </c>
      <c r="I1392" s="80" t="s">
        <v>78</v>
      </c>
      <c r="J1392" s="75">
        <f>IFERROR(VLOOKUP(I1392,Jueces!$A$1:$B$11,2,FALSE),"")</f>
        <v>8</v>
      </c>
      <c r="K1392" s="78" t="s">
        <v>4790</v>
      </c>
      <c r="L1392" s="78" t="s">
        <v>712</v>
      </c>
    </row>
    <row r="1393" spans="1:12" ht="30" customHeight="1">
      <c r="A1393" s="172" t="str">
        <f t="shared" si="42"/>
        <v>06/02/20241</v>
      </c>
      <c r="B1393" s="166">
        <f t="shared" si="43"/>
        <v>1</v>
      </c>
      <c r="C1393" s="78" t="s">
        <v>5424</v>
      </c>
      <c r="D1393" s="79" t="s">
        <v>5425</v>
      </c>
      <c r="E1393" s="78">
        <v>2</v>
      </c>
      <c r="F1393" s="75" t="s">
        <v>1434</v>
      </c>
      <c r="G1393" s="77">
        <v>45328</v>
      </c>
      <c r="H1393" s="80" t="s">
        <v>73</v>
      </c>
      <c r="I1393" s="77" t="s">
        <v>31</v>
      </c>
      <c r="J1393" s="75">
        <f>IFERROR(VLOOKUP(I1393,Jueces!$A$1:$B$11,2,FALSE),"")</f>
        <v>2</v>
      </c>
      <c r="K1393" s="78" t="s">
        <v>4788</v>
      </c>
      <c r="L1393" s="78" t="s">
        <v>711</v>
      </c>
    </row>
    <row r="1394" spans="1:12" ht="30" customHeight="1">
      <c r="A1394" s="172" t="str">
        <f t="shared" si="42"/>
        <v>06/02/20242</v>
      </c>
      <c r="B1394" s="166">
        <f t="shared" si="43"/>
        <v>2</v>
      </c>
      <c r="C1394" s="78" t="s">
        <v>5455</v>
      </c>
      <c r="D1394" s="79" t="s">
        <v>5456</v>
      </c>
      <c r="E1394" s="75">
        <v>8</v>
      </c>
      <c r="F1394" s="75" t="s">
        <v>2752</v>
      </c>
      <c r="G1394" s="77">
        <v>45328</v>
      </c>
      <c r="H1394" s="80" t="s">
        <v>73</v>
      </c>
      <c r="I1394" s="77" t="s">
        <v>78</v>
      </c>
      <c r="J1394" s="75">
        <f>IFERROR(VLOOKUP(I1394,Jueces!$A$1:$B$11,2,FALSE),"")</f>
        <v>8</v>
      </c>
      <c r="K1394" s="78" t="s">
        <v>4782</v>
      </c>
      <c r="L1394" s="78" t="s">
        <v>712</v>
      </c>
    </row>
    <row r="1395" spans="1:12" ht="30" customHeight="1">
      <c r="A1395" s="172" t="str">
        <f t="shared" si="42"/>
        <v>06/02/20243</v>
      </c>
      <c r="B1395" s="166">
        <f t="shared" si="43"/>
        <v>3</v>
      </c>
      <c r="C1395" s="78" t="s">
        <v>5473</v>
      </c>
      <c r="D1395" s="79" t="s">
        <v>5700</v>
      </c>
      <c r="E1395" s="78">
        <v>7</v>
      </c>
      <c r="F1395" s="75" t="s">
        <v>2815</v>
      </c>
      <c r="G1395" s="77">
        <v>45328</v>
      </c>
      <c r="H1395" s="80" t="s">
        <v>73</v>
      </c>
      <c r="I1395" s="77" t="s">
        <v>4932</v>
      </c>
      <c r="J1395" s="78" t="s">
        <v>1916</v>
      </c>
      <c r="K1395" s="78" t="s">
        <v>789</v>
      </c>
      <c r="L1395" s="78" t="s">
        <v>885</v>
      </c>
    </row>
    <row r="1396" spans="1:12" ht="30" customHeight="1">
      <c r="A1396" s="172" t="str">
        <f t="shared" si="42"/>
        <v>06/02/20244</v>
      </c>
      <c r="B1396" s="166">
        <f t="shared" si="43"/>
        <v>4</v>
      </c>
      <c r="C1396" s="75" t="s">
        <v>5110</v>
      </c>
      <c r="D1396" s="79" t="s">
        <v>5574</v>
      </c>
      <c r="E1396" s="75">
        <v>1</v>
      </c>
      <c r="F1396" s="78" t="s">
        <v>283</v>
      </c>
      <c r="G1396" s="424">
        <v>45328</v>
      </c>
      <c r="H1396" s="80" t="s">
        <v>73</v>
      </c>
      <c r="I1396" s="77" t="s">
        <v>1217</v>
      </c>
      <c r="J1396" s="75">
        <f>IFERROR(VLOOKUP(I1396,Jueces!$A$1:$B$11,2,FALSE),"")</f>
        <v>7</v>
      </c>
      <c r="K1396" s="78" t="s">
        <v>4789</v>
      </c>
      <c r="L1396" s="78" t="s">
        <v>1084</v>
      </c>
    </row>
    <row r="1397" spans="1:12" ht="30" customHeight="1">
      <c r="A1397" s="172" t="str">
        <f t="shared" si="42"/>
        <v>06/02/20245</v>
      </c>
      <c r="B1397" s="166">
        <f t="shared" si="43"/>
        <v>5</v>
      </c>
      <c r="C1397" s="78" t="s">
        <v>5406</v>
      </c>
      <c r="D1397" s="79" t="s">
        <v>5407</v>
      </c>
      <c r="E1397" s="78">
        <v>2</v>
      </c>
      <c r="F1397" s="75" t="s">
        <v>3324</v>
      </c>
      <c r="G1397" s="77">
        <v>45328</v>
      </c>
      <c r="H1397" s="80" t="s">
        <v>1083</v>
      </c>
      <c r="I1397" s="77" t="s">
        <v>35</v>
      </c>
      <c r="J1397" s="78">
        <v>3</v>
      </c>
      <c r="K1397" s="78" t="s">
        <v>4779</v>
      </c>
      <c r="L1397" s="78" t="s">
        <v>1084</v>
      </c>
    </row>
    <row r="1398" spans="1:12" ht="30" customHeight="1">
      <c r="A1398" s="172" t="str">
        <f t="shared" si="42"/>
        <v>06/02/20246</v>
      </c>
      <c r="B1398" s="166">
        <f t="shared" si="43"/>
        <v>6</v>
      </c>
      <c r="C1398" s="78" t="s">
        <v>5464</v>
      </c>
      <c r="D1398" s="79" t="s">
        <v>5465</v>
      </c>
      <c r="E1398" s="75">
        <v>8</v>
      </c>
      <c r="F1398" s="75" t="s">
        <v>568</v>
      </c>
      <c r="G1398" s="77">
        <v>45328</v>
      </c>
      <c r="H1398" s="80" t="s">
        <v>1083</v>
      </c>
      <c r="I1398" s="77" t="s">
        <v>1217</v>
      </c>
      <c r="J1398" s="75">
        <f>IFERROR(VLOOKUP(I1398,Jueces!$A$1:$B$11,2,FALSE),"")</f>
        <v>7</v>
      </c>
      <c r="K1398" s="78" t="s">
        <v>4788</v>
      </c>
      <c r="L1398" s="78" t="s">
        <v>1144</v>
      </c>
    </row>
    <row r="1399" spans="1:12" ht="30" customHeight="1">
      <c r="A1399" s="172" t="str">
        <f t="shared" si="42"/>
        <v>06/02/20247</v>
      </c>
      <c r="B1399" s="166">
        <f t="shared" si="43"/>
        <v>7</v>
      </c>
      <c r="C1399" s="78" t="s">
        <v>5466</v>
      </c>
      <c r="D1399" s="79" t="s">
        <v>5573</v>
      </c>
      <c r="E1399" s="75">
        <v>8</v>
      </c>
      <c r="F1399" s="75" t="s">
        <v>29</v>
      </c>
      <c r="G1399" s="77">
        <v>45328</v>
      </c>
      <c r="H1399" s="80" t="s">
        <v>1083</v>
      </c>
      <c r="I1399" s="77" t="s">
        <v>1216</v>
      </c>
      <c r="J1399" s="75">
        <f>IFERROR(VLOOKUP(I1399,Jueces!$A$1:$B$11,2,FALSE),"")</f>
        <v>1</v>
      </c>
      <c r="K1399" s="78" t="s">
        <v>805</v>
      </c>
      <c r="L1399" s="78" t="s">
        <v>712</v>
      </c>
    </row>
    <row r="1400" spans="1:12" ht="30" customHeight="1">
      <c r="A1400" s="172" t="str">
        <f t="shared" si="42"/>
        <v>06/02/20248</v>
      </c>
      <c r="B1400" s="166">
        <f t="shared" si="43"/>
        <v>8</v>
      </c>
      <c r="C1400" s="78" t="s">
        <v>5474</v>
      </c>
      <c r="D1400" s="79" t="s">
        <v>5475</v>
      </c>
      <c r="E1400" s="78">
        <v>7</v>
      </c>
      <c r="F1400" s="75" t="s">
        <v>1435</v>
      </c>
      <c r="G1400" s="77">
        <v>45328</v>
      </c>
      <c r="H1400" s="80" t="s">
        <v>1083</v>
      </c>
      <c r="I1400" s="77" t="s">
        <v>1221</v>
      </c>
      <c r="J1400" s="75">
        <f>IFERROR(VLOOKUP(I1400,Jueces!$A$1:$B$11,2,FALSE),"")</f>
        <v>6</v>
      </c>
      <c r="K1400" s="78" t="s">
        <v>4789</v>
      </c>
      <c r="L1400" s="78" t="s">
        <v>885</v>
      </c>
    </row>
    <row r="1401" spans="1:12" ht="30" customHeight="1">
      <c r="A1401" s="172" t="str">
        <f t="shared" si="42"/>
        <v>06/02/20249</v>
      </c>
      <c r="B1401" s="166">
        <f t="shared" si="43"/>
        <v>9</v>
      </c>
      <c r="C1401" s="78" t="s">
        <v>5510</v>
      </c>
      <c r="D1401" s="79" t="s">
        <v>5511</v>
      </c>
      <c r="E1401" s="75">
        <v>2</v>
      </c>
      <c r="F1401" s="75" t="s">
        <v>3791</v>
      </c>
      <c r="G1401" s="77">
        <v>45328</v>
      </c>
      <c r="H1401" s="80" t="s">
        <v>1083</v>
      </c>
      <c r="I1401" s="77" t="s">
        <v>78</v>
      </c>
      <c r="J1401" s="75">
        <v>8</v>
      </c>
      <c r="K1401" s="78" t="s">
        <v>4778</v>
      </c>
      <c r="L1401" s="78" t="s">
        <v>711</v>
      </c>
    </row>
    <row r="1402" spans="1:12" ht="30" customHeight="1">
      <c r="A1402" s="172" t="str">
        <f t="shared" si="42"/>
        <v>06/02/202410</v>
      </c>
      <c r="B1402" s="166">
        <f t="shared" si="43"/>
        <v>10</v>
      </c>
      <c r="C1402" s="78" t="s">
        <v>5522</v>
      </c>
      <c r="D1402" s="79" t="s">
        <v>5523</v>
      </c>
      <c r="E1402" s="75">
        <v>3</v>
      </c>
      <c r="F1402" s="75" t="s">
        <v>3323</v>
      </c>
      <c r="G1402" s="80">
        <v>45328</v>
      </c>
      <c r="H1402" s="80" t="s">
        <v>1206</v>
      </c>
      <c r="I1402" s="77" t="s">
        <v>31</v>
      </c>
      <c r="J1402" s="75">
        <f>IFERROR(VLOOKUP(I1402,Jueces!$A$1:$B$11,2,FALSE),"")</f>
        <v>2</v>
      </c>
      <c r="K1402" s="78" t="s">
        <v>4788</v>
      </c>
      <c r="L1402" s="78" t="s">
        <v>712</v>
      </c>
    </row>
    <row r="1403" spans="1:12" ht="30" customHeight="1">
      <c r="A1403" s="172" t="str">
        <f t="shared" si="42"/>
        <v>07/02/20241</v>
      </c>
      <c r="B1403" s="166">
        <f t="shared" si="43"/>
        <v>1</v>
      </c>
      <c r="C1403" s="78" t="s">
        <v>5457</v>
      </c>
      <c r="D1403" s="79" t="s">
        <v>5458</v>
      </c>
      <c r="E1403" s="78">
        <v>2</v>
      </c>
      <c r="F1403" s="75" t="s">
        <v>2815</v>
      </c>
      <c r="G1403" s="80">
        <v>45329</v>
      </c>
      <c r="H1403" s="80" t="s">
        <v>73</v>
      </c>
      <c r="I1403" s="77" t="s">
        <v>4932</v>
      </c>
      <c r="J1403" s="78" t="s">
        <v>1916</v>
      </c>
      <c r="K1403" s="78" t="s">
        <v>4767</v>
      </c>
      <c r="L1403" s="78" t="s">
        <v>711</v>
      </c>
    </row>
    <row r="1404" spans="1:12" ht="30" customHeight="1">
      <c r="A1404" s="172" t="str">
        <f t="shared" si="42"/>
        <v>07/02/20242</v>
      </c>
      <c r="B1404" s="166">
        <f t="shared" si="43"/>
        <v>2</v>
      </c>
      <c r="C1404" s="78" t="s">
        <v>5459</v>
      </c>
      <c r="D1404" s="79" t="s">
        <v>5460</v>
      </c>
      <c r="E1404" s="78">
        <v>2</v>
      </c>
      <c r="F1404" s="75" t="s">
        <v>1434</v>
      </c>
      <c r="G1404" s="77">
        <v>45329</v>
      </c>
      <c r="H1404" s="80" t="s">
        <v>73</v>
      </c>
      <c r="I1404" s="77" t="s">
        <v>31</v>
      </c>
      <c r="J1404" s="75">
        <f>IFERROR(VLOOKUP(I1404,Jueces!$A$1:$B$11,2,FALSE),"")</f>
        <v>2</v>
      </c>
      <c r="K1404" s="78" t="s">
        <v>4789</v>
      </c>
      <c r="L1404" s="78" t="s">
        <v>1084</v>
      </c>
    </row>
    <row r="1405" spans="1:12" ht="30" customHeight="1">
      <c r="A1405" s="172" t="str">
        <f t="shared" si="42"/>
        <v>07/02/20243</v>
      </c>
      <c r="B1405" s="166">
        <f t="shared" si="43"/>
        <v>3</v>
      </c>
      <c r="C1405" s="78" t="s">
        <v>5468</v>
      </c>
      <c r="D1405" s="79" t="s">
        <v>5469</v>
      </c>
      <c r="E1405" s="75">
        <v>7</v>
      </c>
      <c r="F1405" s="75" t="s">
        <v>3324</v>
      </c>
      <c r="G1405" s="77">
        <v>45329</v>
      </c>
      <c r="H1405" s="80" t="s">
        <v>73</v>
      </c>
      <c r="I1405" s="77" t="s">
        <v>1217</v>
      </c>
      <c r="J1405" s="75">
        <f>IFERROR(VLOOKUP(I1405,Jueces!$A$1:$B$11,2,FALSE),"")</f>
        <v>7</v>
      </c>
      <c r="K1405" s="78" t="s">
        <v>4788</v>
      </c>
      <c r="L1405" s="78" t="s">
        <v>885</v>
      </c>
    </row>
    <row r="1406" spans="1:12" ht="30" customHeight="1">
      <c r="A1406" s="172" t="str">
        <f t="shared" si="42"/>
        <v>07/02/20244</v>
      </c>
      <c r="B1406" s="166">
        <f t="shared" si="43"/>
        <v>4</v>
      </c>
      <c r="C1406" s="78" t="s">
        <v>5470</v>
      </c>
      <c r="D1406" s="79" t="s">
        <v>5698</v>
      </c>
      <c r="E1406" s="78">
        <v>2</v>
      </c>
      <c r="F1406" s="75" t="s">
        <v>1435</v>
      </c>
      <c r="G1406" s="77">
        <v>45329</v>
      </c>
      <c r="H1406" s="80" t="s">
        <v>73</v>
      </c>
      <c r="I1406" s="77" t="s">
        <v>4746</v>
      </c>
      <c r="J1406" s="78" t="s">
        <v>1321</v>
      </c>
      <c r="K1406" s="78" t="s">
        <v>789</v>
      </c>
      <c r="L1406" s="78" t="s">
        <v>5550</v>
      </c>
    </row>
    <row r="1407" spans="1:12" ht="30" customHeight="1">
      <c r="A1407" s="172" t="str">
        <f t="shared" si="42"/>
        <v>07/02/20245</v>
      </c>
      <c r="B1407" s="166">
        <f t="shared" si="43"/>
        <v>5</v>
      </c>
      <c r="C1407" s="78" t="s">
        <v>5569</v>
      </c>
      <c r="D1407" s="79" t="s">
        <v>5495</v>
      </c>
      <c r="E1407" s="75">
        <v>3</v>
      </c>
      <c r="F1407" s="75" t="s">
        <v>3323</v>
      </c>
      <c r="G1407" s="77">
        <v>45329</v>
      </c>
      <c r="H1407" s="80" t="s">
        <v>73</v>
      </c>
      <c r="I1407" s="77" t="s">
        <v>78</v>
      </c>
      <c r="J1407" s="75">
        <f>IFERROR(VLOOKUP(I1407,Jueces!$A$1:$B$11,2,FALSE),"")</f>
        <v>8</v>
      </c>
      <c r="K1407" s="78" t="s">
        <v>4790</v>
      </c>
      <c r="L1407" s="78" t="s">
        <v>712</v>
      </c>
    </row>
    <row r="1408" spans="1:12" ht="30" customHeight="1">
      <c r="A1408" s="172" t="str">
        <f t="shared" si="42"/>
        <v>07/02/20246</v>
      </c>
      <c r="B1408" s="166">
        <f t="shared" si="43"/>
        <v>6</v>
      </c>
      <c r="C1408" s="325" t="s">
        <v>5435</v>
      </c>
      <c r="D1408" s="79" t="s">
        <v>5436</v>
      </c>
      <c r="E1408" s="78">
        <v>2</v>
      </c>
      <c r="F1408" s="75" t="s">
        <v>1433</v>
      </c>
      <c r="G1408" s="77">
        <v>45329</v>
      </c>
      <c r="H1408" s="80" t="s">
        <v>1083</v>
      </c>
      <c r="I1408" s="77" t="s">
        <v>31</v>
      </c>
      <c r="J1408" s="75">
        <v>2</v>
      </c>
      <c r="K1408" s="78" t="s">
        <v>806</v>
      </c>
      <c r="L1408" s="78" t="s">
        <v>1084</v>
      </c>
    </row>
    <row r="1409" spans="1:12" ht="30" customHeight="1">
      <c r="A1409" s="172" t="str">
        <f t="shared" si="42"/>
        <v>07/02/20247</v>
      </c>
      <c r="B1409" s="166">
        <f t="shared" si="43"/>
        <v>7</v>
      </c>
      <c r="C1409" s="78" t="s">
        <v>5502</v>
      </c>
      <c r="D1409" s="79" t="s">
        <v>5532</v>
      </c>
      <c r="E1409" s="75">
        <v>8</v>
      </c>
      <c r="F1409" s="75" t="s">
        <v>568</v>
      </c>
      <c r="G1409" s="77">
        <v>45329</v>
      </c>
      <c r="H1409" s="80" t="s">
        <v>1083</v>
      </c>
      <c r="I1409" s="77" t="s">
        <v>4931</v>
      </c>
      <c r="J1409" s="78" t="s">
        <v>4118</v>
      </c>
      <c r="K1409" s="78" t="s">
        <v>4780</v>
      </c>
      <c r="L1409" s="78" t="s">
        <v>5533</v>
      </c>
    </row>
    <row r="1410" spans="1:12" ht="30" customHeight="1">
      <c r="A1410" s="172" t="str">
        <f t="shared" si="42"/>
        <v>07/02/20248</v>
      </c>
      <c r="B1410" s="166">
        <f t="shared" si="43"/>
        <v>8</v>
      </c>
      <c r="C1410" s="78" t="s">
        <v>5530</v>
      </c>
      <c r="D1410" s="79" t="s">
        <v>5531</v>
      </c>
      <c r="E1410" s="75">
        <v>2</v>
      </c>
      <c r="F1410" s="75" t="s">
        <v>2752</v>
      </c>
      <c r="G1410" s="80">
        <v>45329</v>
      </c>
      <c r="H1410" s="80" t="s">
        <v>1083</v>
      </c>
      <c r="I1410" s="77" t="s">
        <v>35</v>
      </c>
      <c r="J1410" s="75">
        <v>3</v>
      </c>
      <c r="K1410" s="78" t="s">
        <v>805</v>
      </c>
      <c r="L1410" s="78" t="s">
        <v>1378</v>
      </c>
    </row>
    <row r="1411" spans="1:12" ht="30" customHeight="1">
      <c r="A1411" s="172" t="str">
        <f t="shared" ref="A1411:A1474" si="44">CONCATENATE(TEXT($G1411,"dd/mm/yyyy"),$B1411)</f>
        <v>07/02/20249</v>
      </c>
      <c r="B1411" s="166">
        <f t="shared" si="43"/>
        <v>9</v>
      </c>
      <c r="C1411" s="78" t="s">
        <v>5516</v>
      </c>
      <c r="D1411" s="79" t="s">
        <v>5517</v>
      </c>
      <c r="E1411" s="75">
        <v>2</v>
      </c>
      <c r="F1411" s="75" t="s">
        <v>2766</v>
      </c>
      <c r="G1411" s="77">
        <v>45329</v>
      </c>
      <c r="H1411" s="80" t="s">
        <v>75</v>
      </c>
      <c r="I1411" s="77" t="s">
        <v>1216</v>
      </c>
      <c r="J1411" s="75">
        <f>IFERROR(VLOOKUP(I1411,Jueces!$A$1:$B$11,2,FALSE),"")</f>
        <v>1</v>
      </c>
      <c r="K1411" s="78" t="s">
        <v>791</v>
      </c>
      <c r="L1411" s="78" t="s">
        <v>711</v>
      </c>
    </row>
    <row r="1412" spans="1:12" ht="30" customHeight="1">
      <c r="A1412" s="172" t="str">
        <f t="shared" si="44"/>
        <v>07/02/202410</v>
      </c>
      <c r="B1412" s="166">
        <f t="shared" ref="B1412:B1475" si="45">IF($G1412=$G1411,$B1411+1,1)</f>
        <v>10</v>
      </c>
      <c r="C1412" s="78" t="s">
        <v>5476</v>
      </c>
      <c r="D1412" s="79" t="s">
        <v>5477</v>
      </c>
      <c r="E1412" s="78">
        <v>2</v>
      </c>
      <c r="F1412" s="75" t="s">
        <v>29</v>
      </c>
      <c r="G1412" s="77">
        <v>45329</v>
      </c>
      <c r="H1412" s="80" t="s">
        <v>77</v>
      </c>
      <c r="I1412" s="77" t="s">
        <v>1216</v>
      </c>
      <c r="J1412" s="75">
        <v>1</v>
      </c>
      <c r="K1412" s="78" t="s">
        <v>4788</v>
      </c>
      <c r="L1412" s="78" t="s">
        <v>885</v>
      </c>
    </row>
    <row r="1413" spans="1:12" ht="30" customHeight="1">
      <c r="A1413" s="172" t="str">
        <f t="shared" si="44"/>
        <v>07/02/202411</v>
      </c>
      <c r="B1413" s="166">
        <f t="shared" si="45"/>
        <v>11</v>
      </c>
      <c r="C1413" s="78" t="s">
        <v>5209</v>
      </c>
      <c r="D1413" s="79" t="s">
        <v>5210</v>
      </c>
      <c r="E1413" s="78">
        <v>2</v>
      </c>
      <c r="F1413" s="75" t="s">
        <v>283</v>
      </c>
      <c r="G1413" s="77">
        <v>45329</v>
      </c>
      <c r="H1413" s="80" t="s">
        <v>1146</v>
      </c>
      <c r="I1413" s="77" t="s">
        <v>1216</v>
      </c>
      <c r="J1413" s="75">
        <f>IFERROR(VLOOKUP(I1413,Jueces!$A$1:$B$11,2,FALSE),"")</f>
        <v>1</v>
      </c>
      <c r="K1413" s="78" t="s">
        <v>4791</v>
      </c>
      <c r="L1413" s="78" t="s">
        <v>711</v>
      </c>
    </row>
    <row r="1414" spans="1:12" ht="30" customHeight="1">
      <c r="A1414" s="172" t="str">
        <f t="shared" si="44"/>
        <v>08/02/20241</v>
      </c>
      <c r="B1414" s="166">
        <f t="shared" si="45"/>
        <v>1</v>
      </c>
      <c r="C1414" s="78" t="s">
        <v>5402</v>
      </c>
      <c r="D1414" s="79" t="s">
        <v>5403</v>
      </c>
      <c r="E1414" s="78">
        <v>2</v>
      </c>
      <c r="F1414" s="75" t="s">
        <v>2815</v>
      </c>
      <c r="G1414" s="77">
        <v>45330</v>
      </c>
      <c r="H1414" s="80" t="s">
        <v>73</v>
      </c>
      <c r="I1414" s="77" t="s">
        <v>1217</v>
      </c>
      <c r="J1414" s="75">
        <f>IFERROR(VLOOKUP(I1414,Jueces!$A$1:$B$11,2,FALSE),"")</f>
        <v>7</v>
      </c>
      <c r="K1414" s="78" t="s">
        <v>4790</v>
      </c>
      <c r="L1414" s="78" t="s">
        <v>1084</v>
      </c>
    </row>
    <row r="1415" spans="1:12" ht="30" customHeight="1">
      <c r="A1415" s="172" t="str">
        <f t="shared" si="44"/>
        <v>08/02/20242</v>
      </c>
      <c r="B1415" s="166">
        <f t="shared" si="45"/>
        <v>2</v>
      </c>
      <c r="C1415" s="78" t="s">
        <v>5514</v>
      </c>
      <c r="D1415" s="79" t="s">
        <v>5515</v>
      </c>
      <c r="E1415" s="75">
        <v>2</v>
      </c>
      <c r="F1415" s="75" t="s">
        <v>3791</v>
      </c>
      <c r="G1415" s="77">
        <v>45330</v>
      </c>
      <c r="H1415" s="80" t="s">
        <v>73</v>
      </c>
      <c r="I1415" s="77" t="s">
        <v>4932</v>
      </c>
      <c r="J1415" s="78" t="s">
        <v>1341</v>
      </c>
      <c r="K1415" s="78" t="s">
        <v>4792</v>
      </c>
      <c r="L1415" s="78" t="s">
        <v>711</v>
      </c>
    </row>
    <row r="1416" spans="1:12" ht="30" customHeight="1">
      <c r="A1416" s="172" t="str">
        <f t="shared" si="44"/>
        <v>08/02/20243</v>
      </c>
      <c r="B1416" s="166">
        <f t="shared" si="45"/>
        <v>3</v>
      </c>
      <c r="C1416" s="78" t="s">
        <v>5526</v>
      </c>
      <c r="D1416" s="79" t="s">
        <v>5527</v>
      </c>
      <c r="E1416" s="75">
        <v>3</v>
      </c>
      <c r="F1416" s="75" t="s">
        <v>29</v>
      </c>
      <c r="G1416" s="77">
        <v>45330</v>
      </c>
      <c r="H1416" s="80" t="s">
        <v>73</v>
      </c>
      <c r="I1416" s="77" t="s">
        <v>35</v>
      </c>
      <c r="J1416" s="75">
        <v>3</v>
      </c>
      <c r="K1416" s="78" t="s">
        <v>805</v>
      </c>
      <c r="L1416" s="78" t="s">
        <v>712</v>
      </c>
    </row>
    <row r="1417" spans="1:12" ht="30" customHeight="1">
      <c r="A1417" s="172" t="str">
        <f t="shared" si="44"/>
        <v>08/02/20244</v>
      </c>
      <c r="B1417" s="166">
        <f t="shared" si="45"/>
        <v>4</v>
      </c>
      <c r="C1417" s="78" t="s">
        <v>5513</v>
      </c>
      <c r="D1417" s="79" t="s">
        <v>5512</v>
      </c>
      <c r="E1417" s="75">
        <v>2</v>
      </c>
      <c r="F1417" s="75" t="s">
        <v>3323</v>
      </c>
      <c r="G1417" s="77">
        <v>45330</v>
      </c>
      <c r="H1417" s="80" t="s">
        <v>1083</v>
      </c>
      <c r="I1417" s="77" t="s">
        <v>1221</v>
      </c>
      <c r="J1417" s="75">
        <f>IFERROR(VLOOKUP(I1417,Jueces!$A$1:$B$11,2,FALSE),"")</f>
        <v>6</v>
      </c>
      <c r="K1417" s="78" t="s">
        <v>4781</v>
      </c>
      <c r="L1417" s="78" t="s">
        <v>711</v>
      </c>
    </row>
    <row r="1418" spans="1:12" ht="30" customHeight="1">
      <c r="A1418" s="172" t="str">
        <f t="shared" si="44"/>
        <v>08/02/20245</v>
      </c>
      <c r="B1418" s="166">
        <f t="shared" si="45"/>
        <v>5</v>
      </c>
      <c r="C1418" s="78" t="s">
        <v>5524</v>
      </c>
      <c r="D1418" s="79" t="s">
        <v>5525</v>
      </c>
      <c r="E1418" s="75">
        <v>3</v>
      </c>
      <c r="F1418" s="75" t="s">
        <v>3324</v>
      </c>
      <c r="G1418" s="77">
        <v>45330</v>
      </c>
      <c r="H1418" s="80" t="s">
        <v>1083</v>
      </c>
      <c r="I1418" s="77" t="s">
        <v>78</v>
      </c>
      <c r="J1418" s="75">
        <v>8</v>
      </c>
      <c r="K1418" s="78" t="s">
        <v>4788</v>
      </c>
      <c r="L1418" s="78" t="s">
        <v>712</v>
      </c>
    </row>
    <row r="1419" spans="1:12" ht="30" customHeight="1">
      <c r="A1419" s="172" t="str">
        <f t="shared" si="44"/>
        <v>08/02/20246</v>
      </c>
      <c r="B1419" s="166">
        <f t="shared" si="45"/>
        <v>6</v>
      </c>
      <c r="C1419" s="75" t="s">
        <v>5274</v>
      </c>
      <c r="D1419" s="347" t="s">
        <v>5375</v>
      </c>
      <c r="E1419" s="75">
        <v>7</v>
      </c>
      <c r="F1419" s="75" t="s">
        <v>2752</v>
      </c>
      <c r="G1419" s="424">
        <v>45330</v>
      </c>
      <c r="H1419" s="77" t="s">
        <v>1083</v>
      </c>
      <c r="I1419" s="77" t="s">
        <v>1216</v>
      </c>
      <c r="J1419" s="75">
        <f>IFERROR(VLOOKUP(I1419,Jueces!$A$1:$B$11,2,FALSE),"")</f>
        <v>1</v>
      </c>
      <c r="K1419" s="78" t="s">
        <v>791</v>
      </c>
      <c r="L1419" s="78" t="s">
        <v>885</v>
      </c>
    </row>
    <row r="1420" spans="1:12" ht="30" customHeight="1">
      <c r="A1420" s="172" t="str">
        <f t="shared" si="44"/>
        <v>08/02/20247</v>
      </c>
      <c r="B1420" s="166">
        <f t="shared" si="45"/>
        <v>7</v>
      </c>
      <c r="C1420" s="78" t="s">
        <v>5463</v>
      </c>
      <c r="D1420" s="79" t="s">
        <v>5699</v>
      </c>
      <c r="E1420" s="75">
        <v>2</v>
      </c>
      <c r="F1420" s="75" t="s">
        <v>1434</v>
      </c>
      <c r="G1420" s="77">
        <v>45330</v>
      </c>
      <c r="H1420" s="80" t="s">
        <v>1206</v>
      </c>
      <c r="I1420" s="77" t="s">
        <v>4931</v>
      </c>
      <c r="J1420" s="78" t="s">
        <v>1512</v>
      </c>
      <c r="K1420" s="78" t="s">
        <v>789</v>
      </c>
      <c r="L1420" s="78" t="s">
        <v>711</v>
      </c>
    </row>
    <row r="1421" spans="1:12" ht="30" customHeight="1">
      <c r="A1421" s="172" t="str">
        <f t="shared" si="44"/>
        <v>08/02/20248</v>
      </c>
      <c r="B1421" s="166">
        <f t="shared" si="45"/>
        <v>8</v>
      </c>
      <c r="C1421" s="78" t="s">
        <v>5505</v>
      </c>
      <c r="D1421" s="79" t="s">
        <v>5506</v>
      </c>
      <c r="E1421" s="75">
        <v>2</v>
      </c>
      <c r="F1421" s="75" t="s">
        <v>2766</v>
      </c>
      <c r="G1421" s="77">
        <v>45330</v>
      </c>
      <c r="H1421" s="80" t="s">
        <v>1206</v>
      </c>
      <c r="I1421" s="77" t="s">
        <v>1216</v>
      </c>
      <c r="J1421" s="75">
        <f>IFERROR(VLOOKUP(I1421,Jueces!$A$1:$B$11,2,FALSE),"")</f>
        <v>1</v>
      </c>
      <c r="K1421" s="78" t="s">
        <v>4789</v>
      </c>
      <c r="L1421" s="78" t="s">
        <v>1084</v>
      </c>
    </row>
    <row r="1422" spans="1:12" ht="30" customHeight="1">
      <c r="A1422" s="172" t="str">
        <f t="shared" si="44"/>
        <v>08/02/20249</v>
      </c>
      <c r="B1422" s="166">
        <f t="shared" si="45"/>
        <v>9</v>
      </c>
      <c r="C1422" s="78" t="s">
        <v>5471</v>
      </c>
      <c r="D1422" s="79" t="s">
        <v>5472</v>
      </c>
      <c r="E1422" s="75">
        <v>8</v>
      </c>
      <c r="F1422" s="75" t="s">
        <v>568</v>
      </c>
      <c r="G1422" s="77">
        <v>45330</v>
      </c>
      <c r="H1422" s="80" t="s">
        <v>547</v>
      </c>
      <c r="I1422" s="77" t="s">
        <v>31</v>
      </c>
      <c r="J1422" s="75">
        <f>IFERROR(VLOOKUP(I1422,Jueces!$A$1:$B$11,2,FALSE),"")</f>
        <v>2</v>
      </c>
      <c r="K1422" s="78" t="s">
        <v>806</v>
      </c>
      <c r="L1422" s="78" t="s">
        <v>711</v>
      </c>
    </row>
    <row r="1423" spans="1:12" ht="30" customHeight="1">
      <c r="A1423" s="172" t="str">
        <f t="shared" si="44"/>
        <v>08/02/202410</v>
      </c>
      <c r="B1423" s="166">
        <f t="shared" si="45"/>
        <v>10</v>
      </c>
      <c r="C1423" s="78" t="s">
        <v>5461</v>
      </c>
      <c r="D1423" s="79" t="s">
        <v>5462</v>
      </c>
      <c r="E1423" s="78">
        <v>2</v>
      </c>
      <c r="F1423" s="75" t="s">
        <v>1435</v>
      </c>
      <c r="G1423" s="77">
        <v>45330</v>
      </c>
      <c r="H1423" s="80" t="s">
        <v>1554</v>
      </c>
      <c r="I1423" s="77" t="s">
        <v>35</v>
      </c>
      <c r="J1423" s="75">
        <f>IFERROR(VLOOKUP(I1423,Jueces!$A$1:$B$11,2,FALSE),"")</f>
        <v>3</v>
      </c>
      <c r="K1423" s="78" t="s">
        <v>806</v>
      </c>
      <c r="L1423" s="78" t="s">
        <v>711</v>
      </c>
    </row>
    <row r="1424" spans="1:12" ht="30" customHeight="1">
      <c r="A1424" s="172" t="str">
        <f t="shared" si="44"/>
        <v>09/02/20241</v>
      </c>
      <c r="B1424" s="166">
        <f t="shared" si="45"/>
        <v>1</v>
      </c>
      <c r="C1424" s="78" t="s">
        <v>4093</v>
      </c>
      <c r="D1424" s="79" t="s">
        <v>5306</v>
      </c>
      <c r="E1424" s="78">
        <v>2</v>
      </c>
      <c r="F1424" s="75" t="s">
        <v>3324</v>
      </c>
      <c r="G1424" s="77">
        <v>45331</v>
      </c>
      <c r="H1424" s="80" t="s">
        <v>73</v>
      </c>
      <c r="I1424" s="77" t="s">
        <v>4746</v>
      </c>
      <c r="J1424" s="78" t="s">
        <v>1341</v>
      </c>
      <c r="K1424" s="78" t="s">
        <v>4791</v>
      </c>
      <c r="L1424" s="78" t="s">
        <v>1956</v>
      </c>
    </row>
    <row r="1425" spans="1:12" ht="30" customHeight="1">
      <c r="A1425" s="172" t="str">
        <f t="shared" si="44"/>
        <v>09/02/20242</v>
      </c>
      <c r="B1425" s="166">
        <f t="shared" si="45"/>
        <v>2</v>
      </c>
      <c r="C1425" s="78" t="s">
        <v>5478</v>
      </c>
      <c r="D1425" s="79" t="s">
        <v>5479</v>
      </c>
      <c r="E1425" s="78">
        <v>2</v>
      </c>
      <c r="F1425" s="75" t="s">
        <v>29</v>
      </c>
      <c r="G1425" s="77">
        <v>45331</v>
      </c>
      <c r="H1425" s="80" t="s">
        <v>73</v>
      </c>
      <c r="I1425" s="77" t="s">
        <v>78</v>
      </c>
      <c r="J1425" s="75">
        <v>8</v>
      </c>
      <c r="K1425" s="78" t="s">
        <v>1693</v>
      </c>
      <c r="L1425" s="78" t="s">
        <v>5508</v>
      </c>
    </row>
    <row r="1426" spans="1:12" ht="30" customHeight="1">
      <c r="A1426" s="172" t="str">
        <f t="shared" si="44"/>
        <v>09/02/20243</v>
      </c>
      <c r="B1426" s="166">
        <f t="shared" si="45"/>
        <v>3</v>
      </c>
      <c r="C1426" s="75" t="s">
        <v>5555</v>
      </c>
      <c r="D1426" s="79" t="s">
        <v>5697</v>
      </c>
      <c r="E1426" s="75">
        <v>2</v>
      </c>
      <c r="F1426" s="75" t="s">
        <v>3791</v>
      </c>
      <c r="G1426" s="80">
        <v>45331</v>
      </c>
      <c r="H1426" s="80" t="s">
        <v>73</v>
      </c>
      <c r="I1426" s="77" t="s">
        <v>1217</v>
      </c>
      <c r="J1426" s="75">
        <v>7</v>
      </c>
      <c r="K1426" s="78" t="s">
        <v>789</v>
      </c>
      <c r="L1426" s="78" t="s">
        <v>4592</v>
      </c>
    </row>
    <row r="1427" spans="1:12" ht="30" customHeight="1">
      <c r="A1427" s="172" t="str">
        <f t="shared" si="44"/>
        <v>09/02/20244</v>
      </c>
      <c r="B1427" s="166">
        <f t="shared" si="45"/>
        <v>4</v>
      </c>
      <c r="C1427" s="75" t="s">
        <v>5558</v>
      </c>
      <c r="D1427" s="347" t="s">
        <v>5559</v>
      </c>
      <c r="E1427" s="75">
        <v>3</v>
      </c>
      <c r="F1427" s="75" t="s">
        <v>1433</v>
      </c>
      <c r="G1427" s="80">
        <v>45331</v>
      </c>
      <c r="H1427" s="80" t="s">
        <v>73</v>
      </c>
      <c r="I1427" s="77" t="s">
        <v>31</v>
      </c>
      <c r="J1427" s="75">
        <f>IFERROR(VLOOKUP(I1427,Jueces!$A$1:$B$11,2,FALSE),"")</f>
        <v>2</v>
      </c>
      <c r="K1427" s="78" t="s">
        <v>4788</v>
      </c>
      <c r="L1427" s="78" t="s">
        <v>692</v>
      </c>
    </row>
    <row r="1428" spans="1:12" ht="30" customHeight="1">
      <c r="A1428" s="172" t="str">
        <f t="shared" si="44"/>
        <v>09/02/20245</v>
      </c>
      <c r="B1428" s="166">
        <f t="shared" si="45"/>
        <v>5</v>
      </c>
      <c r="C1428" s="78" t="s">
        <v>5296</v>
      </c>
      <c r="D1428" s="79" t="s">
        <v>5297</v>
      </c>
      <c r="E1428" s="78">
        <v>2</v>
      </c>
      <c r="F1428" s="75" t="s">
        <v>3323</v>
      </c>
      <c r="G1428" s="77">
        <v>45331</v>
      </c>
      <c r="H1428" s="80" t="s">
        <v>1083</v>
      </c>
      <c r="I1428" s="77" t="s">
        <v>4931</v>
      </c>
      <c r="J1428" s="78" t="s">
        <v>2324</v>
      </c>
      <c r="K1428" s="78" t="s">
        <v>4777</v>
      </c>
      <c r="L1428" s="78" t="s">
        <v>711</v>
      </c>
    </row>
    <row r="1429" spans="1:12" ht="30" customHeight="1">
      <c r="A1429" s="172" t="str">
        <f t="shared" si="44"/>
        <v>09/02/20246</v>
      </c>
      <c r="B1429" s="166">
        <f t="shared" si="45"/>
        <v>6</v>
      </c>
      <c r="C1429" s="78" t="s">
        <v>5439</v>
      </c>
      <c r="D1429" s="79" t="s">
        <v>5440</v>
      </c>
      <c r="E1429" s="78">
        <v>7</v>
      </c>
      <c r="F1429" s="75" t="s">
        <v>1435</v>
      </c>
      <c r="G1429" s="80">
        <v>45331</v>
      </c>
      <c r="H1429" s="80" t="s">
        <v>1083</v>
      </c>
      <c r="I1429" s="77" t="s">
        <v>31</v>
      </c>
      <c r="J1429" s="75">
        <f>IFERROR(VLOOKUP(I1429,Jueces!$A$1:$B$11,2,FALSE),"")</f>
        <v>2</v>
      </c>
      <c r="K1429" s="78" t="s">
        <v>4767</v>
      </c>
      <c r="L1429" s="78" t="s">
        <v>3209</v>
      </c>
    </row>
    <row r="1430" spans="1:12" ht="30" customHeight="1">
      <c r="A1430" s="172" t="str">
        <f t="shared" si="44"/>
        <v>09/02/20247</v>
      </c>
      <c r="B1430" s="166">
        <f t="shared" si="45"/>
        <v>7</v>
      </c>
      <c r="C1430" s="75" t="s">
        <v>5557</v>
      </c>
      <c r="D1430" s="79" t="s">
        <v>5628</v>
      </c>
      <c r="E1430" s="75">
        <v>3</v>
      </c>
      <c r="F1430" s="75" t="s">
        <v>2766</v>
      </c>
      <c r="G1430" s="77">
        <v>45331</v>
      </c>
      <c r="H1430" s="80" t="s">
        <v>1083</v>
      </c>
      <c r="I1430" s="77" t="s">
        <v>4932</v>
      </c>
      <c r="J1430" s="78" t="s">
        <v>2375</v>
      </c>
      <c r="K1430" s="78" t="s">
        <v>805</v>
      </c>
      <c r="L1430" s="78" t="s">
        <v>712</v>
      </c>
    </row>
    <row r="1431" spans="1:12" ht="30" customHeight="1">
      <c r="A1431" s="172" t="str">
        <f t="shared" si="44"/>
        <v>09/02/20248</v>
      </c>
      <c r="B1431" s="166">
        <f t="shared" si="45"/>
        <v>8</v>
      </c>
      <c r="C1431" s="75" t="s">
        <v>4429</v>
      </c>
      <c r="D1431" s="347" t="s">
        <v>4430</v>
      </c>
      <c r="E1431" s="75">
        <v>5</v>
      </c>
      <c r="F1431" s="75" t="s">
        <v>568</v>
      </c>
      <c r="G1431" s="424">
        <v>45331</v>
      </c>
      <c r="H1431" s="80" t="s">
        <v>1083</v>
      </c>
      <c r="I1431" s="77" t="s">
        <v>35</v>
      </c>
      <c r="J1431" s="75">
        <f>IFERROR(VLOOKUP(I1431,Jueces!$A$1:$B$11,2,FALSE),"")</f>
        <v>3</v>
      </c>
      <c r="K1431" s="78" t="s">
        <v>790</v>
      </c>
      <c r="L1431" s="78" t="s">
        <v>5533</v>
      </c>
    </row>
    <row r="1432" spans="1:12" ht="30" customHeight="1">
      <c r="A1432" s="172" t="str">
        <f t="shared" si="44"/>
        <v>09/02/20249</v>
      </c>
      <c r="B1432" s="166">
        <f t="shared" si="45"/>
        <v>9</v>
      </c>
      <c r="C1432" s="78" t="s">
        <v>5311</v>
      </c>
      <c r="D1432" s="79" t="s">
        <v>5312</v>
      </c>
      <c r="E1432" s="78">
        <v>2</v>
      </c>
      <c r="F1432" s="75" t="s">
        <v>2815</v>
      </c>
      <c r="G1432" s="77">
        <v>45331</v>
      </c>
      <c r="H1432" s="80" t="s">
        <v>1206</v>
      </c>
      <c r="I1432" s="77" t="s">
        <v>35</v>
      </c>
      <c r="J1432" s="78" t="s">
        <v>2375</v>
      </c>
      <c r="K1432" s="78" t="s">
        <v>4791</v>
      </c>
      <c r="L1432" s="78" t="s">
        <v>783</v>
      </c>
    </row>
    <row r="1433" spans="1:12" ht="30" customHeight="1">
      <c r="A1433" s="172" t="str">
        <f t="shared" si="44"/>
        <v>09/02/202410</v>
      </c>
      <c r="B1433" s="166">
        <f t="shared" si="45"/>
        <v>10</v>
      </c>
      <c r="C1433" s="75" t="s">
        <v>3325</v>
      </c>
      <c r="D1433" s="347" t="s">
        <v>3326</v>
      </c>
      <c r="E1433" s="75">
        <v>5</v>
      </c>
      <c r="F1433" s="75" t="s">
        <v>2753</v>
      </c>
      <c r="G1433" s="424">
        <v>45331</v>
      </c>
      <c r="H1433" s="80" t="s">
        <v>1206</v>
      </c>
      <c r="I1433" s="77" t="s">
        <v>1216</v>
      </c>
      <c r="J1433" s="78" t="s">
        <v>5576</v>
      </c>
      <c r="K1433" s="78" t="s">
        <v>795</v>
      </c>
      <c r="L1433" s="78" t="s">
        <v>3327</v>
      </c>
    </row>
    <row r="1434" spans="1:12" ht="30" customHeight="1">
      <c r="A1434" s="172" t="str">
        <f t="shared" si="44"/>
        <v>14/02/20241</v>
      </c>
      <c r="B1434" s="166">
        <f t="shared" si="45"/>
        <v>1</v>
      </c>
      <c r="C1434" s="78" t="s">
        <v>5518</v>
      </c>
      <c r="D1434" s="79" t="s">
        <v>5519</v>
      </c>
      <c r="E1434" s="75">
        <v>2</v>
      </c>
      <c r="F1434" s="75" t="s">
        <v>2815</v>
      </c>
      <c r="G1434" s="77">
        <v>45336</v>
      </c>
      <c r="H1434" s="80" t="s">
        <v>73</v>
      </c>
      <c r="I1434" s="77" t="s">
        <v>4931</v>
      </c>
      <c r="J1434" s="78" t="s">
        <v>2324</v>
      </c>
      <c r="K1434" s="78" t="s">
        <v>805</v>
      </c>
      <c r="L1434" s="78" t="s">
        <v>712</v>
      </c>
    </row>
    <row r="1435" spans="1:12" ht="30" customHeight="1">
      <c r="A1435" s="172" t="str">
        <f t="shared" si="44"/>
        <v>14/02/20242</v>
      </c>
      <c r="B1435" s="166">
        <f t="shared" si="45"/>
        <v>2</v>
      </c>
      <c r="C1435" s="78" t="s">
        <v>5520</v>
      </c>
      <c r="D1435" s="79" t="s">
        <v>5521</v>
      </c>
      <c r="E1435" s="75">
        <v>2</v>
      </c>
      <c r="F1435" s="75" t="s">
        <v>3639</v>
      </c>
      <c r="G1435" s="77">
        <v>45336</v>
      </c>
      <c r="H1435" s="80" t="s">
        <v>73</v>
      </c>
      <c r="I1435" s="77" t="s">
        <v>1217</v>
      </c>
      <c r="J1435" s="75">
        <f>IFERROR(VLOOKUP(I1435,Jueces!$A$1:$B$11,2,FALSE),"")</f>
        <v>7</v>
      </c>
      <c r="K1435" s="78" t="s">
        <v>4779</v>
      </c>
      <c r="L1435" s="78" t="s">
        <v>711</v>
      </c>
    </row>
    <row r="1436" spans="1:12" ht="30" customHeight="1">
      <c r="A1436" s="172" t="str">
        <f t="shared" si="44"/>
        <v>14/02/20243</v>
      </c>
      <c r="B1436" s="166">
        <f t="shared" si="45"/>
        <v>3</v>
      </c>
      <c r="C1436" s="375" t="s">
        <v>5556</v>
      </c>
      <c r="D1436" s="79" t="s">
        <v>5625</v>
      </c>
      <c r="E1436" s="75">
        <v>3</v>
      </c>
      <c r="F1436" s="75" t="s">
        <v>1435</v>
      </c>
      <c r="G1436" s="77">
        <v>45336</v>
      </c>
      <c r="H1436" s="80" t="s">
        <v>73</v>
      </c>
      <c r="I1436" s="77" t="s">
        <v>4746</v>
      </c>
      <c r="J1436" s="78" t="s">
        <v>1512</v>
      </c>
      <c r="K1436" s="78" t="s">
        <v>791</v>
      </c>
      <c r="L1436" s="78" t="s">
        <v>5626</v>
      </c>
    </row>
    <row r="1437" spans="1:12" ht="30" customHeight="1">
      <c r="A1437" s="172" t="str">
        <f t="shared" si="44"/>
        <v>14/02/20244</v>
      </c>
      <c r="B1437" s="166">
        <f t="shared" si="45"/>
        <v>4</v>
      </c>
      <c r="C1437" s="78" t="s">
        <v>5593</v>
      </c>
      <c r="D1437" s="79" t="s">
        <v>5594</v>
      </c>
      <c r="E1437" s="75">
        <v>3</v>
      </c>
      <c r="F1437" s="75" t="s">
        <v>29</v>
      </c>
      <c r="G1437" s="77">
        <v>45336</v>
      </c>
      <c r="H1437" s="80" t="s">
        <v>73</v>
      </c>
      <c r="I1437" s="77" t="s">
        <v>1216</v>
      </c>
      <c r="J1437" s="75">
        <f>IFERROR(VLOOKUP(I1437,Jueces!$A$1:$B$11,2,FALSE),"")</f>
        <v>1</v>
      </c>
      <c r="K1437" s="78" t="s">
        <v>4789</v>
      </c>
      <c r="L1437" s="78" t="s">
        <v>5596</v>
      </c>
    </row>
    <row r="1438" spans="1:12" ht="30" customHeight="1">
      <c r="A1438" s="172" t="str">
        <f t="shared" si="44"/>
        <v>14/02/20245</v>
      </c>
      <c r="B1438" s="166">
        <f t="shared" si="45"/>
        <v>5</v>
      </c>
      <c r="C1438" s="78" t="s">
        <v>5608</v>
      </c>
      <c r="D1438" s="79" t="s">
        <v>5609</v>
      </c>
      <c r="E1438" s="75">
        <v>7</v>
      </c>
      <c r="F1438" s="75" t="s">
        <v>3323</v>
      </c>
      <c r="G1438" s="80">
        <v>45336</v>
      </c>
      <c r="H1438" s="80" t="s">
        <v>73</v>
      </c>
      <c r="I1438" s="77" t="s">
        <v>35</v>
      </c>
      <c r="J1438" s="75">
        <f>IFERROR(VLOOKUP(I1438,Jueces!$A$1:$B$11,2,FALSE),"")</f>
        <v>3</v>
      </c>
      <c r="K1438" s="78" t="s">
        <v>4790</v>
      </c>
      <c r="L1438" s="78" t="s">
        <v>5610</v>
      </c>
    </row>
    <row r="1439" spans="1:12" ht="30" customHeight="1">
      <c r="A1439" s="172" t="str">
        <f t="shared" si="44"/>
        <v>14/02/20246</v>
      </c>
      <c r="B1439" s="166">
        <f t="shared" si="45"/>
        <v>6</v>
      </c>
      <c r="C1439" s="78" t="s">
        <v>5482</v>
      </c>
      <c r="D1439" s="79" t="s">
        <v>5483</v>
      </c>
      <c r="E1439" s="75">
        <v>2</v>
      </c>
      <c r="F1439" s="75" t="s">
        <v>3791</v>
      </c>
      <c r="G1439" s="77">
        <v>45336</v>
      </c>
      <c r="H1439" s="80" t="s">
        <v>1083</v>
      </c>
      <c r="I1439" s="77" t="s">
        <v>78</v>
      </c>
      <c r="J1439" s="75">
        <v>8</v>
      </c>
      <c r="K1439" s="78" t="s">
        <v>4778</v>
      </c>
      <c r="L1439" s="78" t="s">
        <v>712</v>
      </c>
    </row>
    <row r="1440" spans="1:12" ht="30" customHeight="1">
      <c r="A1440" s="172" t="str">
        <f t="shared" si="44"/>
        <v>14/02/20247</v>
      </c>
      <c r="B1440" s="166">
        <f t="shared" si="45"/>
        <v>7</v>
      </c>
      <c r="C1440" s="75" t="s">
        <v>5565</v>
      </c>
      <c r="D1440" s="347" t="s">
        <v>5566</v>
      </c>
      <c r="E1440" s="75">
        <v>2</v>
      </c>
      <c r="F1440" s="75" t="s">
        <v>3324</v>
      </c>
      <c r="G1440" s="77">
        <v>45336</v>
      </c>
      <c r="H1440" s="80" t="s">
        <v>1083</v>
      </c>
      <c r="I1440" s="77" t="s">
        <v>1217</v>
      </c>
      <c r="J1440" s="75">
        <f>IFERROR(VLOOKUP(I1440,Jueces!$A$1:$B$11,2,FALSE),"")</f>
        <v>7</v>
      </c>
      <c r="K1440" s="78" t="s">
        <v>4789</v>
      </c>
      <c r="L1440" s="78" t="s">
        <v>711</v>
      </c>
    </row>
    <row r="1441" spans="1:12" ht="30" customHeight="1">
      <c r="A1441" s="172" t="str">
        <f t="shared" si="44"/>
        <v>14/02/20248</v>
      </c>
      <c r="B1441" s="166">
        <f t="shared" si="45"/>
        <v>8</v>
      </c>
      <c r="C1441" s="78" t="s">
        <v>5592</v>
      </c>
      <c r="D1441" s="79" t="s">
        <v>5621</v>
      </c>
      <c r="E1441" s="75">
        <v>3</v>
      </c>
      <c r="F1441" s="75" t="s">
        <v>2752</v>
      </c>
      <c r="G1441" s="77">
        <v>45336</v>
      </c>
      <c r="H1441" s="80" t="s">
        <v>1083</v>
      </c>
      <c r="I1441" s="77" t="s">
        <v>31</v>
      </c>
      <c r="J1441" s="75">
        <f>IFERROR(VLOOKUP(I1441,Jueces!$A$1:$B$11,2,FALSE),"")</f>
        <v>2</v>
      </c>
      <c r="K1441" s="78" t="s">
        <v>4790</v>
      </c>
      <c r="L1441" s="78" t="s">
        <v>692</v>
      </c>
    </row>
    <row r="1442" spans="1:12" ht="30" customHeight="1">
      <c r="A1442" s="172" t="str">
        <f t="shared" si="44"/>
        <v>14/02/20249</v>
      </c>
      <c r="B1442" s="166">
        <f t="shared" si="45"/>
        <v>9</v>
      </c>
      <c r="C1442" s="78" t="s">
        <v>5578</v>
      </c>
      <c r="D1442" s="79" t="s">
        <v>5579</v>
      </c>
      <c r="E1442" s="75">
        <v>8</v>
      </c>
      <c r="F1442" s="75" t="s">
        <v>1434</v>
      </c>
      <c r="G1442" s="77">
        <v>45336</v>
      </c>
      <c r="H1442" s="80" t="s">
        <v>1206</v>
      </c>
      <c r="I1442" s="77" t="s">
        <v>78</v>
      </c>
      <c r="J1442" s="75">
        <f>IFERROR(VLOOKUP(I1442,Jueces!$A$1:$B$11,2,FALSE),"")</f>
        <v>8</v>
      </c>
      <c r="K1442" s="78" t="s">
        <v>4786</v>
      </c>
      <c r="L1442" s="78" t="s">
        <v>712</v>
      </c>
    </row>
    <row r="1443" spans="1:12" ht="30" customHeight="1">
      <c r="A1443" s="172" t="str">
        <f t="shared" si="44"/>
        <v>14/02/202410</v>
      </c>
      <c r="B1443" s="166">
        <f t="shared" si="45"/>
        <v>10</v>
      </c>
      <c r="C1443" s="78" t="s">
        <v>5484</v>
      </c>
      <c r="D1443" s="79" t="s">
        <v>5485</v>
      </c>
      <c r="E1443" s="75">
        <v>3</v>
      </c>
      <c r="F1443" s="75" t="s">
        <v>283</v>
      </c>
      <c r="G1443" s="77">
        <v>45336</v>
      </c>
      <c r="H1443" s="80" t="s">
        <v>547</v>
      </c>
      <c r="I1443" s="77" t="s">
        <v>31</v>
      </c>
      <c r="J1443" s="75">
        <v>2</v>
      </c>
      <c r="K1443" s="78" t="s">
        <v>791</v>
      </c>
      <c r="L1443" s="78" t="s">
        <v>712</v>
      </c>
    </row>
    <row r="1444" spans="1:12" ht="30" customHeight="1">
      <c r="A1444" s="172" t="str">
        <f t="shared" si="44"/>
        <v>15/02/20241</v>
      </c>
      <c r="B1444" s="166">
        <f t="shared" si="45"/>
        <v>1</v>
      </c>
      <c r="C1444" s="78" t="s">
        <v>5588</v>
      </c>
      <c r="D1444" s="79" t="s">
        <v>5589</v>
      </c>
      <c r="E1444" s="75">
        <v>8</v>
      </c>
      <c r="F1444" s="75" t="s">
        <v>3324</v>
      </c>
      <c r="G1444" s="77">
        <v>45337</v>
      </c>
      <c r="H1444" s="80" t="s">
        <v>73</v>
      </c>
      <c r="I1444" s="77" t="s">
        <v>35</v>
      </c>
      <c r="J1444" s="75">
        <f>IFERROR(VLOOKUP(I1444,Jueces!$A$1:$B$11,2,FALSE),"")</f>
        <v>3</v>
      </c>
      <c r="K1444" s="78" t="s">
        <v>788</v>
      </c>
      <c r="L1444" s="78" t="s">
        <v>711</v>
      </c>
    </row>
    <row r="1445" spans="1:12" ht="30" customHeight="1">
      <c r="A1445" s="172" t="str">
        <f t="shared" si="44"/>
        <v>15/02/20242</v>
      </c>
      <c r="B1445" s="166">
        <f t="shared" si="45"/>
        <v>2</v>
      </c>
      <c r="C1445" s="78" t="s">
        <v>5591</v>
      </c>
      <c r="D1445" s="79" t="s">
        <v>5624</v>
      </c>
      <c r="E1445" s="75">
        <v>3</v>
      </c>
      <c r="F1445" s="75" t="s">
        <v>3791</v>
      </c>
      <c r="G1445" s="77">
        <v>45337</v>
      </c>
      <c r="H1445" s="80" t="s">
        <v>73</v>
      </c>
      <c r="I1445" s="77" t="s">
        <v>4932</v>
      </c>
      <c r="J1445" s="78" t="s">
        <v>2324</v>
      </c>
      <c r="K1445" s="78" t="s">
        <v>805</v>
      </c>
      <c r="L1445" s="78" t="s">
        <v>692</v>
      </c>
    </row>
    <row r="1446" spans="1:12" ht="30" customHeight="1">
      <c r="A1446" s="172" t="str">
        <f t="shared" si="44"/>
        <v>15/02/20243</v>
      </c>
      <c r="B1446" s="166">
        <f t="shared" si="45"/>
        <v>3</v>
      </c>
      <c r="C1446" s="78" t="s">
        <v>5622</v>
      </c>
      <c r="D1446" s="79" t="s">
        <v>5623</v>
      </c>
      <c r="E1446" s="75">
        <v>3</v>
      </c>
      <c r="F1446" s="75" t="s">
        <v>29</v>
      </c>
      <c r="G1446" s="77">
        <v>45337</v>
      </c>
      <c r="H1446" s="80" t="s">
        <v>73</v>
      </c>
      <c r="I1446" s="77" t="s">
        <v>4746</v>
      </c>
      <c r="J1446" s="78" t="s">
        <v>1341</v>
      </c>
      <c r="K1446" s="78" t="s">
        <v>791</v>
      </c>
      <c r="L1446" s="78" t="s">
        <v>712</v>
      </c>
    </row>
    <row r="1447" spans="1:12" ht="30" customHeight="1">
      <c r="A1447" s="172" t="str">
        <f t="shared" si="44"/>
        <v>15/02/20244</v>
      </c>
      <c r="B1447" s="166">
        <f t="shared" si="45"/>
        <v>4</v>
      </c>
      <c r="C1447" s="75" t="s">
        <v>4960</v>
      </c>
      <c r="D1447" s="347" t="s">
        <v>5116</v>
      </c>
      <c r="E1447" s="75">
        <v>7</v>
      </c>
      <c r="F1447" s="75" t="s">
        <v>568</v>
      </c>
      <c r="G1447" s="424">
        <v>45337</v>
      </c>
      <c r="H1447" s="80" t="s">
        <v>73</v>
      </c>
      <c r="I1447" s="77" t="s">
        <v>31</v>
      </c>
      <c r="J1447" s="75">
        <f>IFERROR(VLOOKUP(I1447,Jueces!$A$1:$B$11,2,FALSE),"")</f>
        <v>2</v>
      </c>
      <c r="K1447" s="78" t="s">
        <v>802</v>
      </c>
      <c r="L1447" s="78" t="s">
        <v>5656</v>
      </c>
    </row>
    <row r="1448" spans="1:12" ht="30" customHeight="1">
      <c r="A1448" s="172" t="str">
        <f t="shared" si="44"/>
        <v>15/02/20245</v>
      </c>
      <c r="B1448" s="166">
        <f t="shared" si="45"/>
        <v>5</v>
      </c>
      <c r="C1448" s="78" t="s">
        <v>5580</v>
      </c>
      <c r="D1448" s="79" t="s">
        <v>5696</v>
      </c>
      <c r="E1448" s="75">
        <v>3</v>
      </c>
      <c r="F1448" s="75" t="s">
        <v>2815</v>
      </c>
      <c r="G1448" s="77">
        <v>45337</v>
      </c>
      <c r="H1448" s="80" t="s">
        <v>76</v>
      </c>
      <c r="I1448" s="77" t="s">
        <v>1216</v>
      </c>
      <c r="J1448" s="75">
        <f>IFERROR(VLOOKUP(I1448,Jueces!$A$1:$B$11,2,FALSE),"")</f>
        <v>1</v>
      </c>
      <c r="K1448" s="78" t="s">
        <v>789</v>
      </c>
      <c r="L1448" s="78" t="s">
        <v>712</v>
      </c>
    </row>
    <row r="1449" spans="1:12" ht="30" customHeight="1">
      <c r="A1449" s="172" t="str">
        <f t="shared" si="44"/>
        <v>15/02/20246</v>
      </c>
      <c r="B1449" s="166">
        <f t="shared" si="45"/>
        <v>6</v>
      </c>
      <c r="C1449" s="78" t="s">
        <v>5599</v>
      </c>
      <c r="D1449" s="79" t="s">
        <v>5600</v>
      </c>
      <c r="E1449" s="75">
        <v>3</v>
      </c>
      <c r="F1449" s="75" t="s">
        <v>3323</v>
      </c>
      <c r="G1449" s="77">
        <v>45337</v>
      </c>
      <c r="H1449" s="80" t="s">
        <v>1442</v>
      </c>
      <c r="I1449" s="77" t="s">
        <v>78</v>
      </c>
      <c r="J1449" s="75">
        <f>IFERROR(VLOOKUP(I1449,Jueces!$A$1:$B$11,2,FALSE),"")</f>
        <v>8</v>
      </c>
      <c r="K1449" s="78" t="s">
        <v>4789</v>
      </c>
      <c r="L1449" s="78" t="s">
        <v>692</v>
      </c>
    </row>
    <row r="1450" spans="1:12" ht="30" customHeight="1">
      <c r="A1450" s="172" t="str">
        <f t="shared" si="44"/>
        <v>15/02/20247</v>
      </c>
      <c r="B1450" s="166">
        <f t="shared" si="45"/>
        <v>7</v>
      </c>
      <c r="C1450" s="75" t="s">
        <v>5551</v>
      </c>
      <c r="D1450" s="347" t="s">
        <v>5552</v>
      </c>
      <c r="E1450" s="75">
        <v>3</v>
      </c>
      <c r="F1450" s="75" t="s">
        <v>2752</v>
      </c>
      <c r="G1450" s="77">
        <v>45337</v>
      </c>
      <c r="H1450" s="80" t="s">
        <v>547</v>
      </c>
      <c r="I1450" s="77" t="s">
        <v>1216</v>
      </c>
      <c r="J1450" s="75">
        <f>IFERROR(VLOOKUP(I1450,Jueces!$A$1:$B$11,2,FALSE),"")</f>
        <v>1</v>
      </c>
      <c r="K1450" s="78" t="s">
        <v>4789</v>
      </c>
      <c r="L1450" s="78" t="s">
        <v>692</v>
      </c>
    </row>
    <row r="1451" spans="1:12" ht="30" customHeight="1">
      <c r="A1451" s="172" t="str">
        <f t="shared" si="44"/>
        <v>16/02/20241</v>
      </c>
      <c r="B1451" s="166">
        <f t="shared" si="45"/>
        <v>1</v>
      </c>
      <c r="C1451" s="75" t="s">
        <v>5567</v>
      </c>
      <c r="D1451" s="347" t="s">
        <v>5568</v>
      </c>
      <c r="E1451" s="75">
        <v>3</v>
      </c>
      <c r="F1451" s="75" t="s">
        <v>3323</v>
      </c>
      <c r="G1451" s="77">
        <v>45338</v>
      </c>
      <c r="H1451" s="80" t="s">
        <v>73</v>
      </c>
      <c r="I1451" s="77" t="s">
        <v>31</v>
      </c>
      <c r="J1451" s="75">
        <f>IFERROR(VLOOKUP(I1451,Jueces!$A$1:$B$11,2,FALSE),"")</f>
        <v>2</v>
      </c>
      <c r="K1451" s="78" t="s">
        <v>805</v>
      </c>
      <c r="L1451" s="78" t="s">
        <v>712</v>
      </c>
    </row>
    <row r="1452" spans="1:12" ht="30" customHeight="1">
      <c r="A1452" s="172" t="str">
        <f t="shared" si="44"/>
        <v>16/02/20242</v>
      </c>
      <c r="B1452" s="166">
        <f t="shared" si="45"/>
        <v>2</v>
      </c>
      <c r="C1452" s="329" t="s">
        <v>4405</v>
      </c>
      <c r="D1452" s="402" t="s">
        <v>4406</v>
      </c>
      <c r="E1452" s="329">
        <v>4</v>
      </c>
      <c r="F1452" s="329" t="s">
        <v>3791</v>
      </c>
      <c r="G1452" s="399">
        <v>45338</v>
      </c>
      <c r="H1452" s="294" t="s">
        <v>73</v>
      </c>
      <c r="I1452" s="351" t="s">
        <v>1217</v>
      </c>
      <c r="J1452" s="329">
        <f>IFERROR(VLOOKUP(I1452,Jueces!$A$1:$B$11,2,FALSE),"")</f>
        <v>7</v>
      </c>
      <c r="K1452" s="206" t="s">
        <v>2077</v>
      </c>
      <c r="L1452" s="206" t="s">
        <v>5561</v>
      </c>
    </row>
    <row r="1453" spans="1:12" ht="30" customHeight="1">
      <c r="A1453" s="172" t="str">
        <f t="shared" si="44"/>
        <v>19/02/20241</v>
      </c>
      <c r="B1453" s="166">
        <f t="shared" si="45"/>
        <v>1</v>
      </c>
      <c r="C1453" s="329" t="s">
        <v>5156</v>
      </c>
      <c r="D1453" s="402" t="s">
        <v>5157</v>
      </c>
      <c r="E1453" s="329">
        <v>2</v>
      </c>
      <c r="F1453" s="329" t="s">
        <v>2766</v>
      </c>
      <c r="G1453" s="399">
        <v>45341</v>
      </c>
      <c r="H1453" s="351" t="s">
        <v>73</v>
      </c>
      <c r="I1453" s="351" t="s">
        <v>1216</v>
      </c>
      <c r="J1453" s="329">
        <f>IFERROR(VLOOKUP(I1453,Jueces!$A$1:$B$11,2,FALSE),"")</f>
        <v>1</v>
      </c>
      <c r="K1453" s="206" t="s">
        <v>791</v>
      </c>
      <c r="L1453" s="206" t="s">
        <v>1084</v>
      </c>
    </row>
    <row r="1454" spans="1:12" ht="30" customHeight="1">
      <c r="A1454" s="172" t="str">
        <f t="shared" si="44"/>
        <v>15/03/20241</v>
      </c>
      <c r="B1454" s="166">
        <f t="shared" si="45"/>
        <v>1</v>
      </c>
      <c r="C1454" s="206" t="s">
        <v>4259</v>
      </c>
      <c r="D1454" s="207" t="s">
        <v>4417</v>
      </c>
      <c r="E1454" s="329">
        <v>3</v>
      </c>
      <c r="F1454" s="329" t="s">
        <v>3791</v>
      </c>
      <c r="G1454" s="399">
        <v>45366</v>
      </c>
      <c r="H1454" s="294" t="s">
        <v>73</v>
      </c>
      <c r="I1454" s="351" t="s">
        <v>35</v>
      </c>
      <c r="J1454" s="206" t="s">
        <v>1321</v>
      </c>
      <c r="K1454" s="206" t="s">
        <v>2077</v>
      </c>
      <c r="L1454" s="206" t="s">
        <v>694</v>
      </c>
    </row>
    <row r="1455" spans="1:12" ht="30" customHeight="1">
      <c r="A1455" s="172" t="str">
        <f t="shared" si="44"/>
        <v>01/04/20241</v>
      </c>
      <c r="B1455" s="166">
        <f t="shared" si="45"/>
        <v>1</v>
      </c>
      <c r="C1455" s="329" t="s">
        <v>5225</v>
      </c>
      <c r="D1455" s="402" t="s">
        <v>5226</v>
      </c>
      <c r="E1455" s="329">
        <v>7</v>
      </c>
      <c r="F1455" s="206" t="s">
        <v>2766</v>
      </c>
      <c r="G1455" s="399">
        <v>45383</v>
      </c>
      <c r="H1455" s="294" t="s">
        <v>73</v>
      </c>
      <c r="I1455" s="294" t="s">
        <v>1217</v>
      </c>
      <c r="J1455" s="329">
        <f>IFERROR(VLOOKUP(I1455,Jueces!$A$1:$B$11,2,FALSE),"")</f>
        <v>7</v>
      </c>
      <c r="K1455" s="206" t="s">
        <v>4782</v>
      </c>
      <c r="L1455" s="206" t="s">
        <v>725</v>
      </c>
    </row>
    <row r="1456" spans="1:12" ht="30" customHeight="1">
      <c r="A1456" s="172" t="str">
        <f t="shared" si="44"/>
        <v>00/01/19001</v>
      </c>
      <c r="B1456" s="166">
        <f t="shared" si="45"/>
        <v>1</v>
      </c>
      <c r="C1456" s="233" t="s">
        <v>5480</v>
      </c>
      <c r="D1456" s="235" t="s">
        <v>5679</v>
      </c>
      <c r="E1456" s="426">
        <v>2</v>
      </c>
      <c r="F1456" s="426"/>
      <c r="G1456" s="427"/>
      <c r="H1456" s="427"/>
      <c r="I1456" s="427"/>
      <c r="J1456" s="426" t="str">
        <f>IFERROR(VLOOKUP(I1456,Jueces!$A$1:$B$11,2,FALSE),"")</f>
        <v/>
      </c>
      <c r="K1456" s="233" t="s">
        <v>806</v>
      </c>
      <c r="L1456" s="233" t="s">
        <v>712</v>
      </c>
    </row>
    <row r="1457" spans="1:12" ht="30" customHeight="1">
      <c r="A1457" s="172" t="str">
        <f t="shared" si="44"/>
        <v>00/01/19002</v>
      </c>
      <c r="B1457" s="166">
        <f t="shared" si="45"/>
        <v>2</v>
      </c>
      <c r="C1457" s="233" t="s">
        <v>5509</v>
      </c>
      <c r="D1457" s="235" t="s">
        <v>5695</v>
      </c>
      <c r="E1457" s="426">
        <v>3</v>
      </c>
      <c r="F1457" s="426"/>
      <c r="G1457" s="427"/>
      <c r="H1457" s="427"/>
      <c r="I1457" s="427"/>
      <c r="J1457" s="426" t="str">
        <f>IFERROR(VLOOKUP(I1457,Jueces!$A$1:$B$11,2,FALSE),"")</f>
        <v/>
      </c>
      <c r="K1457" s="233" t="s">
        <v>4778</v>
      </c>
      <c r="L1457" s="233" t="s">
        <v>692</v>
      </c>
    </row>
    <row r="1458" spans="1:12" ht="30" customHeight="1">
      <c r="A1458" s="172" t="str">
        <f t="shared" si="44"/>
        <v>00/01/19003</v>
      </c>
      <c r="B1458" s="166">
        <f t="shared" si="45"/>
        <v>3</v>
      </c>
      <c r="C1458" s="233" t="s">
        <v>5528</v>
      </c>
      <c r="D1458" s="235" t="s">
        <v>5529</v>
      </c>
      <c r="E1458" s="426">
        <v>2</v>
      </c>
      <c r="F1458" s="426"/>
      <c r="G1458" s="427"/>
      <c r="H1458" s="427"/>
      <c r="I1458" s="427"/>
      <c r="J1458" s="426" t="str">
        <f>IFERROR(VLOOKUP(I1458,Jueces!$A$1:$B$11,2,FALSE),"")</f>
        <v/>
      </c>
      <c r="K1458" s="233" t="s">
        <v>4766</v>
      </c>
      <c r="L1458" s="233" t="s">
        <v>712</v>
      </c>
    </row>
    <row r="1459" spans="1:12" ht="30" customHeight="1">
      <c r="A1459" s="172" t="str">
        <f t="shared" si="44"/>
        <v>00/01/19004</v>
      </c>
      <c r="B1459" s="166">
        <f t="shared" si="45"/>
        <v>4</v>
      </c>
      <c r="C1459" s="329" t="s">
        <v>5562</v>
      </c>
      <c r="D1459" s="402" t="s">
        <v>5563</v>
      </c>
      <c r="E1459" s="329">
        <v>8</v>
      </c>
      <c r="F1459" s="329"/>
      <c r="G1459" s="351"/>
      <c r="H1459" s="351"/>
      <c r="I1459" s="351"/>
      <c r="J1459" s="329" t="str">
        <f>IFERROR(VLOOKUP(I1459,Jueces!$A$1:$B$11,2,FALSE),"")</f>
        <v/>
      </c>
      <c r="K1459" s="206" t="s">
        <v>4778</v>
      </c>
      <c r="L1459" s="206" t="s">
        <v>711</v>
      </c>
    </row>
    <row r="1460" spans="1:12" ht="30" customHeight="1">
      <c r="A1460" s="172" t="str">
        <f t="shared" si="44"/>
        <v>00/01/19005</v>
      </c>
      <c r="B1460" s="166">
        <f t="shared" si="45"/>
        <v>5</v>
      </c>
      <c r="C1460" s="78" t="s">
        <v>5581</v>
      </c>
      <c r="D1460" s="79" t="s">
        <v>5582</v>
      </c>
      <c r="E1460" s="75">
        <v>3</v>
      </c>
      <c r="F1460" s="75"/>
      <c r="G1460" s="77"/>
      <c r="H1460" s="80"/>
      <c r="I1460" s="77"/>
      <c r="J1460" s="75"/>
      <c r="K1460" s="78" t="s">
        <v>4789</v>
      </c>
      <c r="L1460" s="78" t="s">
        <v>692</v>
      </c>
    </row>
    <row r="1461" spans="1:12" ht="30" customHeight="1">
      <c r="A1461" s="172" t="str">
        <f t="shared" si="44"/>
        <v>00/01/19006</v>
      </c>
      <c r="B1461" s="166">
        <f t="shared" si="45"/>
        <v>6</v>
      </c>
      <c r="C1461" s="206" t="s">
        <v>5583</v>
      </c>
      <c r="D1461" s="207" t="s">
        <v>5584</v>
      </c>
      <c r="E1461" s="329">
        <v>8</v>
      </c>
      <c r="F1461" s="329"/>
      <c r="G1461" s="351"/>
      <c r="H1461" s="351"/>
      <c r="I1461" s="351"/>
      <c r="J1461" s="329" t="str">
        <f>IFERROR(VLOOKUP(I1461,Jueces!$A$1:$B$11,2,FALSE),"")</f>
        <v/>
      </c>
      <c r="K1461" s="206" t="s">
        <v>4791</v>
      </c>
      <c r="L1461" s="206" t="s">
        <v>5633</v>
      </c>
    </row>
    <row r="1462" spans="1:12" ht="30" customHeight="1">
      <c r="A1462" s="172" t="str">
        <f t="shared" si="44"/>
        <v>00/01/19007</v>
      </c>
      <c r="B1462" s="166">
        <f t="shared" si="45"/>
        <v>7</v>
      </c>
      <c r="C1462" s="233" t="s">
        <v>5590</v>
      </c>
      <c r="D1462" s="235" t="s">
        <v>5675</v>
      </c>
      <c r="E1462" s="426">
        <v>3</v>
      </c>
      <c r="F1462" s="426"/>
      <c r="G1462" s="427"/>
      <c r="H1462" s="427"/>
      <c r="I1462" s="427"/>
      <c r="J1462" s="426" t="str">
        <f>IFERROR(VLOOKUP(I1462,Jueces!$A$1:$B$11,2,FALSE),"")</f>
        <v/>
      </c>
      <c r="K1462" s="233" t="s">
        <v>4788</v>
      </c>
      <c r="L1462" s="233" t="s">
        <v>692</v>
      </c>
    </row>
    <row r="1463" spans="1:12" ht="30" customHeight="1">
      <c r="A1463" s="172" t="str">
        <f t="shared" si="44"/>
        <v>00/01/19008</v>
      </c>
      <c r="B1463" s="166">
        <f t="shared" si="45"/>
        <v>8</v>
      </c>
      <c r="C1463" s="78" t="s">
        <v>5597</v>
      </c>
      <c r="D1463" s="79" t="s">
        <v>5598</v>
      </c>
      <c r="E1463" s="75">
        <v>8</v>
      </c>
      <c r="F1463" s="75"/>
      <c r="G1463" s="77"/>
      <c r="H1463" s="80"/>
      <c r="I1463" s="77"/>
      <c r="J1463" s="75"/>
      <c r="K1463" s="78" t="s">
        <v>4781</v>
      </c>
      <c r="L1463" s="78" t="s">
        <v>885</v>
      </c>
    </row>
    <row r="1464" spans="1:12" ht="30" customHeight="1">
      <c r="A1464" s="172" t="str">
        <f t="shared" si="44"/>
        <v>00/01/19009</v>
      </c>
      <c r="B1464" s="166">
        <f t="shared" si="45"/>
        <v>9</v>
      </c>
      <c r="C1464" s="78" t="s">
        <v>5611</v>
      </c>
      <c r="D1464" s="79" t="s">
        <v>5612</v>
      </c>
      <c r="E1464" s="75">
        <v>1</v>
      </c>
      <c r="F1464" s="75"/>
      <c r="G1464" s="77"/>
      <c r="H1464" s="80"/>
      <c r="I1464" s="77"/>
      <c r="J1464" s="75"/>
      <c r="K1464" s="78" t="s">
        <v>569</v>
      </c>
      <c r="L1464" s="78" t="s">
        <v>885</v>
      </c>
    </row>
    <row r="1465" spans="1:12" ht="30" customHeight="1">
      <c r="A1465" s="172" t="str">
        <f t="shared" si="44"/>
        <v>00/01/190010</v>
      </c>
      <c r="B1465" s="166">
        <f t="shared" si="45"/>
        <v>10</v>
      </c>
      <c r="C1465" s="78" t="s">
        <v>5613</v>
      </c>
      <c r="D1465" s="79" t="s">
        <v>5614</v>
      </c>
      <c r="E1465" s="75">
        <v>7</v>
      </c>
      <c r="F1465" s="75"/>
      <c r="G1465" s="80"/>
      <c r="H1465" s="80"/>
      <c r="I1465" s="77"/>
      <c r="J1465" s="75"/>
      <c r="K1465" s="78" t="s">
        <v>805</v>
      </c>
      <c r="L1465" s="78" t="s">
        <v>692</v>
      </c>
    </row>
    <row r="1466" spans="1:12" ht="30" customHeight="1">
      <c r="A1466" s="172" t="str">
        <f t="shared" si="44"/>
        <v>00/01/190011</v>
      </c>
      <c r="B1466" s="166">
        <f t="shared" si="45"/>
        <v>11</v>
      </c>
      <c r="C1466" s="233" t="s">
        <v>5616</v>
      </c>
      <c r="D1466" s="235" t="s">
        <v>5676</v>
      </c>
      <c r="E1466" s="426">
        <v>3</v>
      </c>
      <c r="F1466" s="426"/>
      <c r="G1466" s="427"/>
      <c r="H1466" s="427"/>
      <c r="I1466" s="427"/>
      <c r="J1466" s="426" t="str">
        <f>IFERROR(VLOOKUP(I1466,Jueces!$A$1:$B$11,2,FALSE),"")</f>
        <v/>
      </c>
      <c r="K1466" s="233" t="s">
        <v>4779</v>
      </c>
      <c r="L1466" s="233" t="s">
        <v>712</v>
      </c>
    </row>
    <row r="1467" spans="1:12" ht="30" customHeight="1">
      <c r="A1467" s="172" t="str">
        <f t="shared" si="44"/>
        <v>00/01/190012</v>
      </c>
      <c r="B1467" s="166">
        <f t="shared" si="45"/>
        <v>12</v>
      </c>
      <c r="C1467" s="326" t="s">
        <v>4587</v>
      </c>
      <c r="D1467" s="168" t="s">
        <v>4588</v>
      </c>
      <c r="E1467" s="326">
        <v>3</v>
      </c>
      <c r="F1467" s="326"/>
      <c r="G1467" s="401"/>
      <c r="H1467" s="338"/>
      <c r="I1467" s="338"/>
      <c r="J1467" s="326" t="str">
        <f>IFERROR(VLOOKUP(I1467,Jueces!$A$1:$B$11,2,FALSE),"")</f>
        <v/>
      </c>
      <c r="K1467" s="167" t="s">
        <v>192</v>
      </c>
      <c r="L1467" s="167" t="s">
        <v>725</v>
      </c>
    </row>
    <row r="1468" spans="1:12" ht="30" customHeight="1">
      <c r="A1468" s="172" t="str">
        <f t="shared" si="44"/>
        <v>00/01/190013</v>
      </c>
      <c r="B1468" s="166">
        <f t="shared" si="45"/>
        <v>13</v>
      </c>
      <c r="C1468" s="233" t="s">
        <v>5618</v>
      </c>
      <c r="D1468" s="235" t="s">
        <v>5678</v>
      </c>
      <c r="E1468" s="426">
        <v>3</v>
      </c>
      <c r="F1468" s="426"/>
      <c r="G1468" s="427"/>
      <c r="H1468" s="427"/>
      <c r="I1468" s="427"/>
      <c r="J1468" s="426" t="str">
        <f>IFERROR(VLOOKUP(I1468,Jueces!$A$1:$B$11,2,FALSE),"")</f>
        <v/>
      </c>
      <c r="K1468" s="233" t="s">
        <v>4791</v>
      </c>
      <c r="L1468" s="233" t="s">
        <v>712</v>
      </c>
    </row>
    <row r="1469" spans="1:12" ht="30" customHeight="1">
      <c r="A1469" s="172" t="str">
        <f t="shared" si="44"/>
        <v>00/01/190014</v>
      </c>
      <c r="B1469" s="166">
        <f t="shared" si="45"/>
        <v>14</v>
      </c>
      <c r="C1469" s="78" t="s">
        <v>5619</v>
      </c>
      <c r="D1469" s="79" t="s">
        <v>5620</v>
      </c>
      <c r="E1469" s="75">
        <v>8</v>
      </c>
      <c r="F1469" s="75"/>
      <c r="G1469" s="77"/>
      <c r="H1469" s="80"/>
      <c r="I1469" s="77"/>
      <c r="J1469" s="75"/>
      <c r="K1469" s="78" t="s">
        <v>789</v>
      </c>
      <c r="L1469" s="78" t="s">
        <v>885</v>
      </c>
    </row>
    <row r="1470" spans="1:12" ht="30" customHeight="1">
      <c r="A1470" s="172" t="str">
        <f t="shared" si="44"/>
        <v>00/01/190015</v>
      </c>
      <c r="B1470" s="166">
        <f t="shared" si="45"/>
        <v>15</v>
      </c>
      <c r="C1470" s="233" t="s">
        <v>5629</v>
      </c>
      <c r="D1470" s="235" t="s">
        <v>5674</v>
      </c>
      <c r="E1470" s="426">
        <v>3</v>
      </c>
      <c r="F1470" s="426"/>
      <c r="G1470" s="427"/>
      <c r="H1470" s="427"/>
      <c r="I1470" s="427"/>
      <c r="J1470" s="426" t="str">
        <f>IFERROR(VLOOKUP(I1470,Jueces!$A$1:$B$11,2,FALSE),"")</f>
        <v/>
      </c>
      <c r="K1470" s="233" t="s">
        <v>4791</v>
      </c>
      <c r="L1470" s="233" t="s">
        <v>692</v>
      </c>
    </row>
    <row r="1471" spans="1:12" ht="30" customHeight="1">
      <c r="A1471" s="172" t="str">
        <f t="shared" si="44"/>
        <v>00/01/190016</v>
      </c>
      <c r="B1471" s="166">
        <f t="shared" si="45"/>
        <v>16</v>
      </c>
      <c r="C1471" s="233" t="s">
        <v>5630</v>
      </c>
      <c r="D1471" s="235" t="s">
        <v>5677</v>
      </c>
      <c r="E1471" s="426">
        <v>3</v>
      </c>
      <c r="F1471" s="426"/>
      <c r="G1471" s="427"/>
      <c r="H1471" s="427"/>
      <c r="I1471" s="427"/>
      <c r="J1471" s="426" t="str">
        <f>IFERROR(VLOOKUP(I1471,Jueces!$A$1:$B$11,2,FALSE),"")</f>
        <v/>
      </c>
      <c r="K1471" s="233" t="s">
        <v>805</v>
      </c>
      <c r="L1471" s="233" t="s">
        <v>712</v>
      </c>
    </row>
    <row r="1472" spans="1:12" ht="30" customHeight="1">
      <c r="A1472" s="172" t="str">
        <f t="shared" si="44"/>
        <v>00/01/190017</v>
      </c>
      <c r="B1472" s="166">
        <f t="shared" si="45"/>
        <v>17</v>
      </c>
      <c r="C1472" s="233" t="s">
        <v>5631</v>
      </c>
      <c r="D1472" s="235" t="s">
        <v>5681</v>
      </c>
      <c r="E1472" s="426">
        <v>3</v>
      </c>
      <c r="F1472" s="426"/>
      <c r="G1472" s="427"/>
      <c r="H1472" s="427"/>
      <c r="I1472" s="427"/>
      <c r="J1472" s="426" t="str">
        <f>IFERROR(VLOOKUP(I1472,Jueces!$A$1:$B$11,2,FALSE),"")</f>
        <v/>
      </c>
      <c r="K1472" s="233" t="s">
        <v>569</v>
      </c>
      <c r="L1472" s="233" t="s">
        <v>712</v>
      </c>
    </row>
    <row r="1473" spans="1:12" ht="30" customHeight="1">
      <c r="A1473" s="172" t="str">
        <f t="shared" si="44"/>
        <v>00/01/190018</v>
      </c>
      <c r="B1473" s="166">
        <f t="shared" si="45"/>
        <v>18</v>
      </c>
      <c r="C1473" s="233" t="s">
        <v>5680</v>
      </c>
      <c r="D1473" s="235" t="s">
        <v>5682</v>
      </c>
      <c r="E1473" s="426">
        <v>3</v>
      </c>
      <c r="F1473" s="426"/>
      <c r="G1473" s="427"/>
      <c r="H1473" s="427"/>
      <c r="I1473" s="427"/>
      <c r="J1473" s="426" t="str">
        <f>IFERROR(VLOOKUP(I1473,Jueces!$A$1:$B$11,2,FALSE),"")</f>
        <v/>
      </c>
      <c r="K1473" s="233" t="s">
        <v>4781</v>
      </c>
      <c r="L1473" s="233" t="s">
        <v>692</v>
      </c>
    </row>
    <row r="1474" spans="1:12" ht="30" customHeight="1">
      <c r="A1474" s="172" t="str">
        <f t="shared" si="44"/>
        <v>00/01/190019</v>
      </c>
      <c r="B1474" s="166">
        <f t="shared" si="45"/>
        <v>19</v>
      </c>
      <c r="C1474" s="233" t="s">
        <v>5683</v>
      </c>
      <c r="D1474" s="235" t="s">
        <v>5684</v>
      </c>
      <c r="E1474" s="426">
        <v>3</v>
      </c>
      <c r="F1474" s="426"/>
      <c r="G1474" s="427"/>
      <c r="H1474" s="427"/>
      <c r="I1474" s="427"/>
      <c r="J1474" s="426" t="str">
        <f>IFERROR(VLOOKUP(I1474,Jueces!$A$1:$B$11,2,FALSE),"")</f>
        <v/>
      </c>
      <c r="K1474" s="233" t="s">
        <v>4789</v>
      </c>
      <c r="L1474" s="233" t="s">
        <v>692</v>
      </c>
    </row>
    <row r="1475" spans="1:12" ht="30" customHeight="1">
      <c r="A1475" s="172" t="str">
        <f t="shared" ref="A1475:A1500" si="46">CONCATENATE(TEXT($G1475,"dd/mm/yyyy"),$B1475)</f>
        <v>00/01/190020</v>
      </c>
      <c r="B1475" s="166">
        <f t="shared" si="45"/>
        <v>20</v>
      </c>
      <c r="C1475" s="233" t="s">
        <v>5685</v>
      </c>
      <c r="D1475" s="235" t="s">
        <v>5686</v>
      </c>
      <c r="E1475" s="426">
        <v>3</v>
      </c>
      <c r="F1475" s="426"/>
      <c r="G1475" s="427"/>
      <c r="H1475" s="427"/>
      <c r="I1475" s="427"/>
      <c r="J1475" s="426" t="str">
        <f>IFERROR(VLOOKUP(I1475,Jueces!$A$1:$B$11,2,FALSE),"")</f>
        <v/>
      </c>
      <c r="K1475" s="233" t="s">
        <v>806</v>
      </c>
      <c r="L1475" s="233" t="s">
        <v>692</v>
      </c>
    </row>
    <row r="1476" spans="1:12" ht="30" customHeight="1">
      <c r="A1476" s="172" t="str">
        <f t="shared" si="46"/>
        <v>00/01/190021</v>
      </c>
      <c r="B1476" s="166">
        <f t="shared" ref="B1476:B1500" si="47">IF($G1476=$G1475,$B1475+1,1)</f>
        <v>21</v>
      </c>
      <c r="C1476" s="233" t="s">
        <v>5687</v>
      </c>
      <c r="D1476" s="235" t="s">
        <v>5688</v>
      </c>
      <c r="E1476" s="426">
        <v>2</v>
      </c>
      <c r="F1476" s="426"/>
      <c r="G1476" s="427"/>
      <c r="H1476" s="427"/>
      <c r="I1476" s="427"/>
      <c r="J1476" s="426" t="str">
        <f>IFERROR(VLOOKUP(I1476,Jueces!$A$1:$B$11,2,FALSE),"")</f>
        <v/>
      </c>
      <c r="K1476" s="233" t="s">
        <v>789</v>
      </c>
      <c r="L1476" s="233" t="s">
        <v>711</v>
      </c>
    </row>
    <row r="1477" spans="1:12" ht="30" customHeight="1">
      <c r="A1477" s="172" t="str">
        <f t="shared" si="46"/>
        <v>00/01/190022</v>
      </c>
      <c r="B1477" s="166">
        <f t="shared" si="47"/>
        <v>22</v>
      </c>
      <c r="C1477" s="233" t="s">
        <v>5689</v>
      </c>
      <c r="D1477" s="235" t="s">
        <v>5690</v>
      </c>
      <c r="E1477" s="426">
        <v>3</v>
      </c>
      <c r="F1477" s="426"/>
      <c r="G1477" s="427"/>
      <c r="H1477" s="427"/>
      <c r="I1477" s="427"/>
      <c r="J1477" s="426" t="str">
        <f>IFERROR(VLOOKUP(I1477,Jueces!$A$1:$B$11,2,FALSE),"")</f>
        <v/>
      </c>
      <c r="K1477" s="233" t="s">
        <v>4789</v>
      </c>
      <c r="L1477" s="233" t="s">
        <v>712</v>
      </c>
    </row>
    <row r="1478" spans="1:12" ht="30" customHeight="1">
      <c r="A1478" s="172" t="str">
        <f t="shared" si="46"/>
        <v>00/01/190023</v>
      </c>
      <c r="B1478" s="166">
        <f t="shared" si="47"/>
        <v>23</v>
      </c>
      <c r="C1478" s="233" t="s">
        <v>5691</v>
      </c>
      <c r="D1478" s="235" t="s">
        <v>5692</v>
      </c>
      <c r="E1478" s="426">
        <v>3</v>
      </c>
      <c r="F1478" s="426"/>
      <c r="G1478" s="427"/>
      <c r="H1478" s="427"/>
      <c r="I1478" s="427"/>
      <c r="J1478" s="426" t="str">
        <f>IFERROR(VLOOKUP(I1478,Jueces!$A$1:$B$11,2,FALSE),"")</f>
        <v/>
      </c>
      <c r="K1478" s="233" t="s">
        <v>791</v>
      </c>
      <c r="L1478" s="233" t="s">
        <v>693</v>
      </c>
    </row>
    <row r="1479" spans="1:12" ht="30" customHeight="1">
      <c r="A1479" s="172" t="str">
        <f t="shared" si="46"/>
        <v>00/01/190024</v>
      </c>
      <c r="B1479" s="166">
        <f t="shared" si="47"/>
        <v>24</v>
      </c>
      <c r="C1479" s="167" t="s">
        <v>5693</v>
      </c>
      <c r="D1479" s="168" t="s">
        <v>5694</v>
      </c>
      <c r="E1479" s="326">
        <v>3</v>
      </c>
      <c r="F1479" s="326"/>
      <c r="G1479" s="338"/>
      <c r="H1479" s="338"/>
      <c r="I1479" s="338"/>
      <c r="J1479" s="326" t="str">
        <f>IFERROR(VLOOKUP(I1479,Jueces!$A$1:$B$11,2,FALSE),"")</f>
        <v/>
      </c>
      <c r="K1479" s="167" t="s">
        <v>4766</v>
      </c>
      <c r="L1479" s="167"/>
    </row>
    <row r="1480" spans="1:12" ht="30" customHeight="1">
      <c r="A1480" s="172" t="str">
        <f t="shared" si="46"/>
        <v>00/01/190025</v>
      </c>
      <c r="B1480" s="166">
        <f t="shared" si="47"/>
        <v>25</v>
      </c>
      <c r="C1480" s="431" t="s">
        <v>5586</v>
      </c>
      <c r="D1480" s="433" t="s">
        <v>5587</v>
      </c>
      <c r="E1480" s="434">
        <v>3</v>
      </c>
      <c r="F1480" s="434"/>
      <c r="G1480" s="432"/>
      <c r="H1480" s="432"/>
      <c r="I1480" s="432"/>
      <c r="J1480" s="434" t="str">
        <f>IFERROR(VLOOKUP(I1480,Jueces!$A$1:$B$11,2,FALSE),"")</f>
        <v/>
      </c>
      <c r="K1480" s="431" t="s">
        <v>791</v>
      </c>
      <c r="L1480" s="431" t="s">
        <v>712</v>
      </c>
    </row>
    <row r="1481" spans="1:12" ht="30" customHeight="1">
      <c r="A1481" s="172" t="str">
        <f t="shared" si="46"/>
        <v>00/01/190026</v>
      </c>
      <c r="B1481" s="166">
        <f t="shared" si="47"/>
        <v>26</v>
      </c>
    </row>
    <row r="1482" spans="1:12" ht="30" customHeight="1">
      <c r="A1482" s="172" t="str">
        <f t="shared" si="46"/>
        <v>00/01/190027</v>
      </c>
      <c r="B1482" s="166">
        <f t="shared" si="47"/>
        <v>27</v>
      </c>
    </row>
    <row r="1483" spans="1:12" ht="30" customHeight="1">
      <c r="A1483" s="172" t="str">
        <f t="shared" si="46"/>
        <v>00/01/190028</v>
      </c>
      <c r="B1483" s="166">
        <f t="shared" si="47"/>
        <v>28</v>
      </c>
    </row>
    <row r="1484" spans="1:12" ht="30" customHeight="1">
      <c r="A1484" s="172" t="str">
        <f t="shared" si="46"/>
        <v>00/01/190029</v>
      </c>
      <c r="B1484" s="166">
        <f t="shared" si="47"/>
        <v>29</v>
      </c>
    </row>
    <row r="1485" spans="1:12" ht="30" customHeight="1">
      <c r="A1485" s="172" t="str">
        <f t="shared" si="46"/>
        <v>00/01/190030</v>
      </c>
      <c r="B1485" s="166">
        <f t="shared" si="47"/>
        <v>30</v>
      </c>
    </row>
    <row r="1486" spans="1:12" ht="30" customHeight="1">
      <c r="A1486" s="172" t="str">
        <f t="shared" si="46"/>
        <v>00/01/190031</v>
      </c>
      <c r="B1486" s="166">
        <f t="shared" si="47"/>
        <v>31</v>
      </c>
    </row>
    <row r="1487" spans="1:12" ht="30" customHeight="1">
      <c r="A1487" s="172" t="str">
        <f t="shared" si="46"/>
        <v>00/01/190032</v>
      </c>
      <c r="B1487" s="166">
        <f t="shared" si="47"/>
        <v>32</v>
      </c>
    </row>
    <row r="1488" spans="1:12" ht="30" customHeight="1">
      <c r="A1488" s="172" t="str">
        <f t="shared" si="46"/>
        <v>00/01/190033</v>
      </c>
      <c r="B1488" s="166">
        <f t="shared" si="47"/>
        <v>33</v>
      </c>
    </row>
    <row r="1489" spans="1:2" ht="30" customHeight="1">
      <c r="A1489" s="172" t="str">
        <f t="shared" si="46"/>
        <v>00/01/190034</v>
      </c>
      <c r="B1489" s="166">
        <f t="shared" si="47"/>
        <v>34</v>
      </c>
    </row>
    <row r="1490" spans="1:2" ht="30" customHeight="1">
      <c r="A1490" s="172" t="str">
        <f t="shared" si="46"/>
        <v>00/01/190035</v>
      </c>
      <c r="B1490" s="166">
        <f t="shared" si="47"/>
        <v>35</v>
      </c>
    </row>
    <row r="1491" spans="1:2" ht="30" customHeight="1">
      <c r="A1491" s="172" t="str">
        <f t="shared" si="46"/>
        <v>00/01/190036</v>
      </c>
      <c r="B1491" s="166">
        <f t="shared" si="47"/>
        <v>36</v>
      </c>
    </row>
    <row r="1492" spans="1:2" ht="30" customHeight="1">
      <c r="A1492" s="172" t="str">
        <f t="shared" si="46"/>
        <v>00/01/190037</v>
      </c>
      <c r="B1492" s="166">
        <f t="shared" si="47"/>
        <v>37</v>
      </c>
    </row>
    <row r="1493" spans="1:2" ht="30" customHeight="1">
      <c r="A1493" s="172" t="str">
        <f t="shared" si="46"/>
        <v>00/01/190038</v>
      </c>
      <c r="B1493" s="166">
        <f t="shared" si="47"/>
        <v>38</v>
      </c>
    </row>
    <row r="1494" spans="1:2" ht="30" customHeight="1">
      <c r="A1494" s="172" t="str">
        <f t="shared" si="46"/>
        <v>00/01/190039</v>
      </c>
      <c r="B1494" s="166">
        <f t="shared" si="47"/>
        <v>39</v>
      </c>
    </row>
    <row r="1495" spans="1:2" ht="30" customHeight="1">
      <c r="A1495" s="172" t="str">
        <f t="shared" si="46"/>
        <v>00/01/190040</v>
      </c>
      <c r="B1495" s="166">
        <f t="shared" si="47"/>
        <v>40</v>
      </c>
    </row>
    <row r="1496" spans="1:2" ht="30" customHeight="1">
      <c r="A1496" s="172" t="str">
        <f t="shared" si="46"/>
        <v>00/01/190041</v>
      </c>
      <c r="B1496" s="166">
        <f t="shared" si="47"/>
        <v>41</v>
      </c>
    </row>
    <row r="1497" spans="1:2" ht="30" customHeight="1">
      <c r="A1497" s="172" t="str">
        <f t="shared" si="46"/>
        <v>00/01/190042</v>
      </c>
      <c r="B1497" s="166">
        <f t="shared" si="47"/>
        <v>42</v>
      </c>
    </row>
    <row r="1498" spans="1:2" ht="30" customHeight="1">
      <c r="A1498" s="172" t="str">
        <f t="shared" si="46"/>
        <v>00/01/190043</v>
      </c>
      <c r="B1498" s="166">
        <f t="shared" si="47"/>
        <v>43</v>
      </c>
    </row>
    <row r="1499" spans="1:2" ht="30" customHeight="1">
      <c r="A1499" s="172" t="str">
        <f t="shared" si="46"/>
        <v>00/01/190044</v>
      </c>
      <c r="B1499" s="166">
        <f t="shared" si="47"/>
        <v>44</v>
      </c>
    </row>
    <row r="1500" spans="1:2" ht="30" customHeight="1">
      <c r="A1500" s="172" t="str">
        <f t="shared" si="46"/>
        <v>00/01/190045</v>
      </c>
      <c r="B1500" s="166">
        <f t="shared" si="47"/>
        <v>45</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60" priority="61">
      <formula>"SI(P115=""HOY"")"</formula>
    </cfRule>
  </conditionalFormatting>
  <conditionalFormatting sqref="C113:I113 K113:L113">
    <cfRule type="expression" dxfId="59" priority="60">
      <formula>"SI(P115=""HOY"")"</formula>
    </cfRule>
  </conditionalFormatting>
  <conditionalFormatting sqref="C113:I113 K113:L113">
    <cfRule type="expression" dxfId="58" priority="59">
      <formula>"SI(P115=""HOY"")"</formula>
    </cfRule>
  </conditionalFormatting>
  <conditionalFormatting sqref="C113:I113 K113:L113">
    <cfRule type="expression" dxfId="57" priority="58">
      <formula>"SI(P115=""HOY"")"</formula>
    </cfRule>
  </conditionalFormatting>
  <conditionalFormatting sqref="C113:I113 K113:L113">
    <cfRule type="expression" dxfId="56" priority="57">
      <formula>"SI(P115=""HOY"")"</formula>
    </cfRule>
  </conditionalFormatting>
  <conditionalFormatting sqref="C113:I113 K113:L113">
    <cfRule type="expression" dxfId="55" priority="56">
      <formula>"SI(P115=""HOY"")"</formula>
    </cfRule>
  </conditionalFormatting>
  <conditionalFormatting sqref="C113:I113 K113:L113">
    <cfRule type="expression" dxfId="54" priority="55">
      <formula>"SI(P115=""HOY"")"</formula>
    </cfRule>
  </conditionalFormatting>
  <conditionalFormatting sqref="C113:I113 K113:L113">
    <cfRule type="expression" dxfId="53" priority="54">
      <formula>"SI(P115=""HOY"")"</formula>
    </cfRule>
  </conditionalFormatting>
  <conditionalFormatting sqref="C113:I113 K113:L113">
    <cfRule type="expression" dxfId="52" priority="53">
      <formula>"SI(P115=""HOY"")"</formula>
    </cfRule>
  </conditionalFormatting>
  <conditionalFormatting sqref="C113:I113 K113:L113">
    <cfRule type="expression" dxfId="51" priority="52">
      <formula>"SI(P115=""HOY"")"</formula>
    </cfRule>
  </conditionalFormatting>
  <conditionalFormatting sqref="C113:I113 K113:L113">
    <cfRule type="expression" dxfId="50" priority="51">
      <formula>"SI(P115=""HOY"")"</formula>
    </cfRule>
  </conditionalFormatting>
  <conditionalFormatting sqref="C113:I113 K113:L113">
    <cfRule type="expression" dxfId="49" priority="50">
      <formula>"SI(P115=""HOY"")"</formula>
    </cfRule>
  </conditionalFormatting>
  <conditionalFormatting sqref="C113:I113 K113:L113">
    <cfRule type="expression" dxfId="48" priority="49">
      <formula>"SI(P115=""HOY"")"</formula>
    </cfRule>
  </conditionalFormatting>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055">
    <cfRule type="duplicateValues" dxfId="11" priority="11"/>
    <cfRule type="duplicateValues" dxfId="10" priority="12"/>
  </conditionalFormatting>
  <conditionalFormatting sqref="C1055">
    <cfRule type="duplicateValues" dxfId="9" priority="10"/>
  </conditionalFormatting>
  <conditionalFormatting sqref="C1055">
    <cfRule type="duplicateValues" dxfId="8" priority="8"/>
    <cfRule type="duplicateValues" dxfId="7" priority="9"/>
  </conditionalFormatting>
  <conditionalFormatting sqref="C1089">
    <cfRule type="duplicateValues" dxfId="6" priority="7"/>
  </conditionalFormatting>
  <conditionalFormatting sqref="C1096:C1097 C1091:C1092 C1094">
    <cfRule type="duplicateValues" dxfId="5" priority="5"/>
    <cfRule type="duplicateValues" dxfId="4" priority="6"/>
  </conditionalFormatting>
  <conditionalFormatting sqref="C1096 C1091:C1092 C1094">
    <cfRule type="duplicateValues" dxfId="3" priority="4"/>
  </conditionalFormatting>
  <conditionalFormatting sqref="C1096:C1097 C1091:C1092 C1094">
    <cfRule type="duplicateValues" dxfId="2" priority="3"/>
  </conditionalFormatting>
  <conditionalFormatting sqref="C1096:C1097 C1091:C1092 C1094">
    <cfRule type="duplicateValues" dxfId="1" priority="1"/>
    <cfRule type="duplicateValues" dxfId="0" priority="2"/>
  </conditionalFormatting>
  <dataValidations count="4">
    <dataValidation type="list" allowBlank="1" showInputMessage="1" showErrorMessage="1" sqref="K2:K1480">
      <formula1>'fiscalias penales'!$A$1:$A$268</formula1>
    </dataValidation>
    <dataValidation type="list" allowBlank="1" showInputMessage="1" showErrorMessage="1" sqref="I2:I1480">
      <formula1>Jueces!$A$1:$A$22</formula1>
    </dataValidation>
    <dataValidation type="list" allowBlank="1" showInputMessage="1" showErrorMessage="1" sqref="F2:F1480">
      <formula1>Internos!$A$1:$A$21</formula1>
    </dataValidation>
    <dataValidation type="list" allowBlank="1" showInputMessage="1" showErrorMessage="1" sqref="L2:L1236 L1238:L1480">
      <formula1>defensores!$A$2:$A$249</formula1>
    </dataValidation>
  </dataValidations>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27</vt:i4>
      </vt:variant>
      <vt:variant>
        <vt:lpstr>Rangos con nombre</vt:lpstr>
      </vt:variant>
      <vt:variant>
        <vt:i4>3</vt:i4>
      </vt:variant>
    </vt:vector>
  </HeadingPairs>
  <TitlesOfParts>
    <vt:vector size="30" baseType="lpstr">
      <vt:lpstr>EXPEDIENTES</vt:lpstr>
      <vt:lpstr>defensores</vt:lpstr>
      <vt:lpstr>ESTADISTICAS</vt:lpstr>
      <vt:lpstr>Informe Disponibilidad</vt:lpstr>
      <vt:lpstr>Exp por Jueces</vt:lpstr>
      <vt:lpstr>Prev. diarias</vt:lpstr>
      <vt:lpstr>Graficos Estadisticos</vt:lpstr>
      <vt:lpstr>Informe semana</vt:lpstr>
      <vt:lpstr>Informe de Gestión</vt:lpstr>
      <vt:lpstr>Licencias</vt:lpstr>
      <vt:lpstr>no realizadas</vt:lpstr>
      <vt:lpstr>Exp por Encargado</vt:lpstr>
      <vt:lpstr>Feriados</vt:lpstr>
      <vt:lpstr>Jueces</vt:lpstr>
      <vt:lpstr>Internos</vt:lpstr>
      <vt:lpstr>fiscalias penales</vt:lpstr>
      <vt:lpstr>Codigos</vt:lpstr>
      <vt:lpstr>Resultados</vt:lpstr>
      <vt:lpstr>Observac</vt:lpstr>
      <vt:lpstr>Horarios VIEJO</vt:lpstr>
      <vt:lpstr>Tecnicos</vt:lpstr>
      <vt:lpstr>Exp por Encargado - Alvaro</vt:lpstr>
      <vt:lpstr>Personal</vt:lpstr>
      <vt:lpstr>Notificaciones</vt:lpstr>
      <vt:lpstr>AGENDA</vt:lpstr>
      <vt:lpstr>Feria</vt:lpstr>
      <vt:lpstr>AUXAG</vt:lpstr>
      <vt:lpstr>Audiencia_cancelada___inimputabilidad</vt:lpstr>
      <vt:lpstr>Dra._Lamas</vt:lpstr>
      <vt:lpstr>Dra._Zunino</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kalancay</cp:lastModifiedBy>
  <cp:lastPrinted>2024-04-26T17:30:28Z</cp:lastPrinted>
  <dcterms:created xsi:type="dcterms:W3CDTF">2023-02-23T14:47:20Z</dcterms:created>
  <dcterms:modified xsi:type="dcterms:W3CDTF">2024-04-26T17:31:40Z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